
<file path=[Content_Types].xml><?xml version="1.0" encoding="utf-8"?>
<Types xmlns="http://schemas.openxmlformats.org/package/2006/content-types">
  <Default Extension="xml" ContentType="application/xml"/>
  <Default Extension="vml" ContentType="application/vnd.openxmlformats-officedocument.vmlDrawing"/>
  <Default Extension="png" ContentType="image/png"/>
  <Default Extension="rels" ContentType="application/vnd.openxmlformats-package.relationships+xml"/>
  <Override PartName="/customXml/itemProps1.xml" ContentType="application/vnd.openxmlformats-officedocument.customXmlProperties+xml"/>
  <Override PartName="/customXml/itemProps2.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externalLinks/externalLink1.xml" ContentType="application/vnd.openxmlformats-officedocument.spreadsheetml.externalLink+xml"/>
  <Override PartName="/xl/externalLinks/externalLink10.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EstaPastaDeTrabalho"/>
  <bookViews>
    <workbookView windowWidth="28800" windowHeight="12300" tabRatio="855" firstSheet="2" activeTab="12"/>
  </bookViews>
  <sheets>
    <sheet name="BD" sheetId="215" r:id="rId1"/>
    <sheet name="CPUs INTERNAS" sheetId="2" r:id="rId2"/>
    <sheet name="BANCO - EQP" sheetId="3" r:id="rId3"/>
    <sheet name="INSTRUÇÕES DE USO" sheetId="214" state="hidden" r:id="rId4"/>
    <sheet name="RESUMO DA VIABILIDADE" sheetId="210" r:id="rId5"/>
    <sheet name="DIMENSIONAMENTO DE EQUIPES" sheetId="208" r:id="rId6"/>
    <sheet name="CUSTO INDIRETO" sheetId="205" r:id="rId7"/>
    <sheet name="CUSTO DIRETO" sheetId="198" r:id="rId8"/>
    <sheet name="Anexo X - Planilha Orientativa" sheetId="220" state="hidden" r:id="rId9"/>
    <sheet name="INDICE CIVIL" sheetId="230" r:id="rId10"/>
    <sheet name="PLANILHA" sheetId="226" r:id="rId11"/>
    <sheet name="ABC" sheetId="232" r:id="rId12"/>
    <sheet name="ABC INSUMO" sheetId="224" r:id="rId13"/>
    <sheet name="COTAÇÃO" sheetId="221" r:id="rId14"/>
    <sheet name="ABC SERVIÇO" sheetId="231" r:id="rId15"/>
    <sheet name="ANALITICA" sheetId="233" r:id="rId16"/>
    <sheet name="CPU" sheetId="234" r:id="rId17"/>
    <sheet name="PLAN VENDA" sheetId="219" state="hidden" r:id="rId18"/>
    <sheet name="Planilha3" sheetId="222" state="hidden" r:id="rId19"/>
    <sheet name="ABC INSUMOS" sheetId="213" state="hidden" r:id="rId20"/>
  </sheets>
  <externalReferences>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s>
  <definedNames>
    <definedName name="_xlnm._FilterDatabase" localSheetId="9" hidden="1">'INDICE CIVIL'!$A$1:$J$78</definedName>
    <definedName name="_xlnm._FilterDatabase" localSheetId="10" hidden="1">PLANILHA!$A$1:$J$505</definedName>
    <definedName name="_xlnm._FilterDatabase" localSheetId="12" hidden="1">'ABC INSUMO'!$A$2:$R$570</definedName>
    <definedName name="_xlnm._FilterDatabase" localSheetId="14" hidden="1">'ABC SERVIÇO'!$A$1:$M$308</definedName>
    <definedName name="_xlnm._FilterDatabase" localSheetId="15" hidden="1">ANALITICA!$A$1:$I$2328</definedName>
    <definedName name="_xlnm._FilterDatabase" localSheetId="18" hidden="1">Planilha3!$A$1:$D$192</definedName>
    <definedName name="_\0" localSheetId="8">#REF!</definedName>
    <definedName name="__\0" localSheetId="6">#REF!</definedName>
    <definedName name="___\0" localSheetId="9">#REF!</definedName>
    <definedName name="____\0">#REF!</definedName>
    <definedName name="_\1" localSheetId="9">#REF!</definedName>
    <definedName name="__\1">#REF!</definedName>
    <definedName name="_\a" localSheetId="8">#REF!</definedName>
    <definedName name="__\a" localSheetId="6">#REF!</definedName>
    <definedName name="___\a">#REF!</definedName>
    <definedName name="_\b">#REF!</definedName>
    <definedName name="_\c">#REF!</definedName>
    <definedName name="_\d">#REF!</definedName>
    <definedName name="_\e">#REF!</definedName>
    <definedName name="_\f">#REF!</definedName>
    <definedName name="_\g">#REF!</definedName>
    <definedName name="_\h">#REF!</definedName>
    <definedName name="_\i">#REF!</definedName>
    <definedName name="_\j">#REF!</definedName>
    <definedName name="_">#REF!</definedName>
    <definedName name="______________FOG50">#REF!</definedName>
    <definedName name="______________PVC100">#REF!</definedName>
    <definedName name="______________PVC150">#REF!</definedName>
    <definedName name="______________PVC50">#REF!</definedName>
    <definedName name="______________PVC75">#REF!</definedName>
    <definedName name="_____________FOG50">#REF!</definedName>
    <definedName name="_____________PVC100">#REF!</definedName>
    <definedName name="_____________PVC150">#REF!</definedName>
    <definedName name="_____________PVC50">#REF!</definedName>
    <definedName name="_____________PVC75">#REF!</definedName>
    <definedName name="____________FOG50">#REF!</definedName>
    <definedName name="____________PVC100">#REF!</definedName>
    <definedName name="____________PVC150">#REF!</definedName>
    <definedName name="____________PVC50">#REF!</definedName>
    <definedName name="____________PVC75">#REF!</definedName>
    <definedName name="___________FOG50">"#ref!"</definedName>
    <definedName name="___________PVC100">"#ref!"</definedName>
    <definedName name="___________PVC150">"#ref!"</definedName>
    <definedName name="___________PVC50">"#ref!"</definedName>
    <definedName name="___________PVC75">"#ref!"</definedName>
    <definedName name="___________VBF1">"#ref!"</definedName>
    <definedName name="___________VE1">"#ref!"</definedName>
    <definedName name="___________VO1">"#ref!"</definedName>
    <definedName name="___________VR1">"#ref!"</definedName>
    <definedName name="__________FOG50">#REF!</definedName>
    <definedName name="__________PVC100">#REF!</definedName>
    <definedName name="__________PVC150">#REF!</definedName>
    <definedName name="__________PVC50">#REF!</definedName>
    <definedName name="__________PVC75">#REF!</definedName>
    <definedName name="__________VBF1">#REF!</definedName>
    <definedName name="__________VE1">#REF!</definedName>
    <definedName name="__________VO1">#REF!</definedName>
    <definedName name="__________VR1">#REF!</definedName>
    <definedName name="_________FOG50">#REF!</definedName>
    <definedName name="_________PVC100">#REF!</definedName>
    <definedName name="_________PVC150">#REF!</definedName>
    <definedName name="_________PVC50">#REF!</definedName>
    <definedName name="_________PVC75">#REF!</definedName>
    <definedName name="_________VBF1">#REF!</definedName>
    <definedName name="_________VE1">#REF!</definedName>
    <definedName name="_________VO1">#REF!</definedName>
    <definedName name="_________VR1">#REF!</definedName>
    <definedName name="________FOG50">#REF!</definedName>
    <definedName name="________PVC100">#REF!</definedName>
    <definedName name="________PVC150">#REF!</definedName>
    <definedName name="________PVC50">#REF!</definedName>
    <definedName name="________PVC75">#REF!</definedName>
    <definedName name="________VBF1">#REF!</definedName>
    <definedName name="________VE1">#REF!</definedName>
    <definedName name="________VO1">#REF!</definedName>
    <definedName name="________VR1">#REF!</definedName>
    <definedName name="_______FOG50">#REF!</definedName>
    <definedName name="_______PVC100">#REF!</definedName>
    <definedName name="_______PVC150">#REF!</definedName>
    <definedName name="_______PVC50">#REF!</definedName>
    <definedName name="_______PVC75">#REF!</definedName>
    <definedName name="_______VBF1">#REF!</definedName>
    <definedName name="_______VE1">#REF!</definedName>
    <definedName name="_______VO1">#REF!</definedName>
    <definedName name="_______VR1">#REF!</definedName>
    <definedName name="______DAT1" localSheetId="6">#REF!</definedName>
    <definedName name="______DAT1">#REF!</definedName>
    <definedName name="______DAT2">#REF!</definedName>
    <definedName name="______DAT3">#REF!</definedName>
    <definedName name="______DAT4">#REF!</definedName>
    <definedName name="______DAT5">#REF!</definedName>
    <definedName name="______DAT6">#REF!</definedName>
    <definedName name="______DAT7">#REF!</definedName>
    <definedName name="______DAT8">#REF!</definedName>
    <definedName name="______FOG50">#REF!</definedName>
    <definedName name="______PVC100">#REF!</definedName>
    <definedName name="______PVC150">#REF!</definedName>
    <definedName name="______PVC50">#REF!</definedName>
    <definedName name="______PVC75">#REF!</definedName>
    <definedName name="______VBF1">#REF!</definedName>
    <definedName name="______VE1">#REF!</definedName>
    <definedName name="______VO1">#REF!</definedName>
    <definedName name="______VR1">#REF!</definedName>
    <definedName name="_____DAT1">#REF!</definedName>
    <definedName name="_____DAT2">#REF!</definedName>
    <definedName name="_____DAT3">#REF!</definedName>
    <definedName name="_____DAT4">#REF!</definedName>
    <definedName name="_____DAT5">#REF!</definedName>
    <definedName name="_____DAT6">#REF!</definedName>
    <definedName name="_____DAT7">#REF!</definedName>
    <definedName name="_____DAT8">#REF!</definedName>
    <definedName name="_____FOG50">#REF!</definedName>
    <definedName name="_____JAN02" hidden="1">{"VENTAS1",#N/A,FALSE,"VENTAS";"VENTAS2",#N/A,FALSE,"VENTAS";"VENTAS3",#N/A,FALSE,"VENTAS";"VENTAS4",#N/A,FALSE,"VENTAS";"VENTAS5",#N/A,FALSE,"VENTAS";"VENTAS6",#N/A,FALSE,"VENTAS";"VENTAS7",#N/A,FALSE,"VENTAS";"VENTAS8",#N/A,FALSE,"VENTAS"}</definedName>
    <definedName name="_____PVC100">#REF!</definedName>
    <definedName name="_____PVC150">#REF!</definedName>
    <definedName name="_____PVC50">#REF!</definedName>
    <definedName name="_____PVC75">#REF!</definedName>
    <definedName name="_____VBF1">#REF!</definedName>
    <definedName name="_____VE1">#REF!</definedName>
    <definedName name="_____VO1">#REF!</definedName>
    <definedName name="_____VR1">#REF!</definedName>
    <definedName name="____DAT1">#REF!</definedName>
    <definedName name="____DAT2">#REF!</definedName>
    <definedName name="____DAT3">#REF!</definedName>
    <definedName name="____DAT4">#REF!</definedName>
    <definedName name="____DAT5">#REF!</definedName>
    <definedName name="____DAT6">#REF!</definedName>
    <definedName name="____DAT7">#REF!</definedName>
    <definedName name="____DAT8">#REF!</definedName>
    <definedName name="____Ele200502">#REF!</definedName>
    <definedName name="____Ele200609">#REF!</definedName>
    <definedName name="____FOG50">#REF!</definedName>
    <definedName name="____OAc881">[1]Oper!$N$167</definedName>
    <definedName name="____OAc88100">[1]Oper!$N$497</definedName>
    <definedName name="____OAc8811">[1]Oper!$N$662</definedName>
    <definedName name="____OAc8812">[1]Oper!$N$1157</definedName>
    <definedName name="____OAc88150">[1]Oper!$N$992</definedName>
    <definedName name="____OAc88200">[1]Oper!$N$2807</definedName>
    <definedName name="____OAc8821">[1]Oper!$N$1322</definedName>
    <definedName name="____OAc8822">[1]Oper!$N$1487</definedName>
    <definedName name="____OAc8823">[1]Oper!$N$1652</definedName>
    <definedName name="____OAc8824">[1]Oper!$N$1817</definedName>
    <definedName name="____OAc8825">[1]Oper!$N$1982</definedName>
    <definedName name="____OAc88250">[1]Oper!$N$2972</definedName>
    <definedName name="____OAc8826">[1]Oper!$N$2147</definedName>
    <definedName name="____OAc8827">[1]Oper!$N$2312</definedName>
    <definedName name="____OAc8830">[1]Oper!$N$3302</definedName>
    <definedName name="____OAc88300">[1]Oper!$N$3137</definedName>
    <definedName name="____OAc8831">[1]Oper!$N$3467</definedName>
    <definedName name="____OAc8832">[1]Oper!$N$3632</definedName>
    <definedName name="____OAc8833">[1]Oper!$N$3797</definedName>
    <definedName name="____OAc8834">[1]Oper!$N$4292</definedName>
    <definedName name="____OAc8835">[1]Oper!$N$4457</definedName>
    <definedName name="____OAc88350">[1]Oper!$N$3962</definedName>
    <definedName name="____OAc8836">[1]Oper!$N$4622</definedName>
    <definedName name="____OAc8839">[1]Oper!$N$4127</definedName>
    <definedName name="____OAc8840">[1]Oper!$N$4952</definedName>
    <definedName name="____OAc88400">[1]Oper!$N$4787</definedName>
    <definedName name="____OAc8841">[1]Oper!$N$5117</definedName>
    <definedName name="____OAc8842">[1]Oper!$N$5282</definedName>
    <definedName name="____OAc8843">[1]Oper!$N$5447</definedName>
    <definedName name="____OAc8846">[1]Oper!$N$5612</definedName>
    <definedName name="____OAc8851">[1]Oper!$N$2477</definedName>
    <definedName name="____OAc8853">[1]Oper!$N$827</definedName>
    <definedName name="____OAc8859">[1]Oper!$N$2642</definedName>
    <definedName name="____OAc88700">[1]Oper!$N$332</definedName>
    <definedName name="____OAc88810">#REF!</definedName>
    <definedName name="____OAc88820">#REF!</definedName>
    <definedName name="____OAc88830">#REF!</definedName>
    <definedName name="____OAc88840">#REF!</definedName>
    <definedName name="____OAc88850">#REF!</definedName>
    <definedName name="____OAn881">[1]Oper!$R$167</definedName>
    <definedName name="____OAn88100">[1]Oper!$R$497</definedName>
    <definedName name="____OAn8811">[1]Oper!$R$662</definedName>
    <definedName name="____OAn8812">[1]Oper!$R$1157</definedName>
    <definedName name="____OAn88150">[1]Oper!$R$992</definedName>
    <definedName name="____OAn882">#REF!</definedName>
    <definedName name="____OAn88200">[1]Oper!$R$2807</definedName>
    <definedName name="____OAn8821">[1]Oper!$R$1322</definedName>
    <definedName name="____OAn8822">[1]Oper!$R$1487</definedName>
    <definedName name="____OAn8823">[1]Oper!$R$1652</definedName>
    <definedName name="____OAn8824">[1]Oper!$R$1817</definedName>
    <definedName name="____OAn8825">[1]Oper!$R$1982</definedName>
    <definedName name="____OAn88250">[1]Oper!$R$2972</definedName>
    <definedName name="____OAn8826">[1]Oper!$R$2147</definedName>
    <definedName name="____OAn8827">[1]Oper!$R$2312</definedName>
    <definedName name="____OAn8830">[1]Oper!$R$3302</definedName>
    <definedName name="____OAn88300">[1]Oper!$R$3137</definedName>
    <definedName name="____OAn8831">[1]Oper!$R$3467</definedName>
    <definedName name="____OAn8832">[1]Oper!$R$3632</definedName>
    <definedName name="____OAn8833">[1]Oper!$R$3797</definedName>
    <definedName name="____OAn8834">[1]Oper!$R$4292</definedName>
    <definedName name="____OAn8835">[1]Oper!$R$4457</definedName>
    <definedName name="____OAn88350">[1]Oper!$R$3962</definedName>
    <definedName name="____OAn8836">[1]Oper!$R$4622</definedName>
    <definedName name="____OAn8839">[1]Oper!$R$4127</definedName>
    <definedName name="____OAn8840">[1]Oper!$R$4952</definedName>
    <definedName name="____OAn88400">[1]Oper!$R$4787</definedName>
    <definedName name="____OAn8841">[1]Oper!$R$5117</definedName>
    <definedName name="____OAn8842">[1]Oper!$R$5282</definedName>
    <definedName name="____OAn8843">[1]Oper!$R$5447</definedName>
    <definedName name="____OAn8846">[1]Oper!$R$5612</definedName>
    <definedName name="____OAn8851">[1]Oper!$R$2477</definedName>
    <definedName name="____OAn8853">[1]Oper!$R$827</definedName>
    <definedName name="____OAn8859">[1]Oper!$R$2642</definedName>
    <definedName name="____OAn88700">[1]Oper!$R$332</definedName>
    <definedName name="____OAn88810">#REF!</definedName>
    <definedName name="____OAn88820">#REF!</definedName>
    <definedName name="____OAn88830">#REF!</definedName>
    <definedName name="____OAn88840">#REF!</definedName>
    <definedName name="____OAn88850">#REF!</definedName>
    <definedName name="____OAt881">[1]Oper!$J$167</definedName>
    <definedName name="____OAt88100">[1]Oper!$J$497</definedName>
    <definedName name="____OAt8811">[1]Oper!$J$662</definedName>
    <definedName name="____OAt8812">[1]Oper!$J$1157</definedName>
    <definedName name="____OAt88150">[1]Oper!$J$992</definedName>
    <definedName name="____OAt88200">[1]Oper!$J$2807</definedName>
    <definedName name="____OAt8821">[1]Oper!$J$1322</definedName>
    <definedName name="____OAt8822">[1]Oper!$J$1487</definedName>
    <definedName name="____OAt8823">[1]Oper!$J$1652</definedName>
    <definedName name="____OAt8824">[1]Oper!$J$1817</definedName>
    <definedName name="____OAt8825">[1]Oper!$J$1982</definedName>
    <definedName name="____OAt88250">[1]Oper!$J$2972</definedName>
    <definedName name="____OAt8826">[1]Oper!$J$2147</definedName>
    <definedName name="____OAt8827">[1]Oper!$J$2312</definedName>
    <definedName name="____OAt8830">[1]Oper!$J$3302</definedName>
    <definedName name="____OAt88300">[1]Oper!$J$3137</definedName>
    <definedName name="____OAt8831">[1]Oper!$J$3467</definedName>
    <definedName name="____OAt8832">[1]Oper!$J$3632</definedName>
    <definedName name="____OAt8833">[1]Oper!$J$3797</definedName>
    <definedName name="____OAt8834">[1]Oper!$J$4292</definedName>
    <definedName name="____OAt8835">[1]Oper!$J$4457</definedName>
    <definedName name="____OAt88350">[1]Oper!$J$3962</definedName>
    <definedName name="____OAt8836">[1]Oper!$J$4622</definedName>
    <definedName name="____OAt8839">[1]Oper!$J$4127</definedName>
    <definedName name="____OAt8840">[1]Oper!$J$4952</definedName>
    <definedName name="____OAt88400">[1]Oper!$J$4787</definedName>
    <definedName name="____OAt8841">[1]Oper!$J$5117</definedName>
    <definedName name="____OAt8842">[1]Oper!$J$5282</definedName>
    <definedName name="____OAt8843">[1]Oper!$J$5447</definedName>
    <definedName name="____OAt8846">[1]Oper!$J$5612</definedName>
    <definedName name="____OAt8851">[1]Oper!$J$2477</definedName>
    <definedName name="____OAt8853">[1]Oper!$J$827</definedName>
    <definedName name="____OAt8859">[1]Oper!$J$2642</definedName>
    <definedName name="____OAt88700">[1]Oper!$J$332</definedName>
    <definedName name="____OAt88810">#REF!</definedName>
    <definedName name="____OAt88820">#REF!</definedName>
    <definedName name="____OAt88830">#REF!</definedName>
    <definedName name="____OAt88840">#REF!</definedName>
    <definedName name="____pv2">#REF!</definedName>
    <definedName name="____pv3">#REF!</definedName>
    <definedName name="____PVC100">#REF!</definedName>
    <definedName name="____PVC150">#REF!</definedName>
    <definedName name="____PVC50">#REF!</definedName>
    <definedName name="____PVC75">#REF!</definedName>
    <definedName name="____RAc881">[1]Oper!$M$167</definedName>
    <definedName name="____RAc88100">[1]Oper!$M$497</definedName>
    <definedName name="____RAc8811">[1]Oper!$M$662</definedName>
    <definedName name="____RAc8812">[1]Oper!$M$1157</definedName>
    <definedName name="____RAc88150">[1]Oper!$M$992</definedName>
    <definedName name="____RAc88200">[1]Oper!$M$2807</definedName>
    <definedName name="____RAc8821">[1]Oper!$M$1322</definedName>
    <definedName name="____RAc8822">[1]Oper!$M$1487</definedName>
    <definedName name="____RAc8823">[1]Oper!$M$1652</definedName>
    <definedName name="____RAc8824">[1]Oper!$M$1817</definedName>
    <definedName name="____RAc8825">[1]Oper!$M$1982</definedName>
    <definedName name="____RAc88250">[1]Oper!$M$2972</definedName>
    <definedName name="____RAc8826">[1]Oper!$M$2147</definedName>
    <definedName name="____RAc8827">[1]Oper!$M$2312</definedName>
    <definedName name="____RAc8830">[1]Oper!$M$3302</definedName>
    <definedName name="____RAc88300">[1]Oper!$M$3137</definedName>
    <definedName name="____RAc8831">[1]Oper!$M$3467</definedName>
    <definedName name="____RAc8832">[1]Oper!$M$3632</definedName>
    <definedName name="____RAc8833">[1]Oper!$M$3797</definedName>
    <definedName name="____RAc8834">[1]Oper!$M$4292</definedName>
    <definedName name="____RAc8835">[1]Oper!$M$4457</definedName>
    <definedName name="____RAc88350">[1]Oper!$M$3962</definedName>
    <definedName name="____RAc8836">[1]Oper!$M$4622</definedName>
    <definedName name="____RAc8839">[1]Oper!$M$4127</definedName>
    <definedName name="____RAc8840">[1]Oper!$M$4952</definedName>
    <definedName name="____RAc88400">[1]Oper!$M$4787</definedName>
    <definedName name="____RAc8841">[1]Oper!$M$5117</definedName>
    <definedName name="____RAc8842">[1]Oper!$M$5282</definedName>
    <definedName name="____RAc8843">[1]Oper!$M$5447</definedName>
    <definedName name="____RAc8846">[1]Oper!$M$5612</definedName>
    <definedName name="____RAc8851">[1]Oper!$M$2477</definedName>
    <definedName name="____RAc8853">[1]Oper!$M$827</definedName>
    <definedName name="____RAc8859">[1]Oper!$M$2642</definedName>
    <definedName name="____RAc88700">[1]Oper!$M$332</definedName>
    <definedName name="____RAc88810">#REF!</definedName>
    <definedName name="____RAc88820">#REF!</definedName>
    <definedName name="____RAc88830">#REF!</definedName>
    <definedName name="____RAc88840">#REF!</definedName>
    <definedName name="____RAc88850">#REF!</definedName>
    <definedName name="____RAt881">[1]Oper!$I$167</definedName>
    <definedName name="____RAt88100">[1]Oper!$I$497</definedName>
    <definedName name="____RAt8811">[1]Oper!$I$662</definedName>
    <definedName name="____RAt8812">[1]Oper!$I$1157</definedName>
    <definedName name="____RAt88150">[1]Oper!$I$992</definedName>
    <definedName name="____RAt88200">[1]Oper!$I$2807</definedName>
    <definedName name="____RAt8821">[1]Oper!$I$1322</definedName>
    <definedName name="____RAt8822">[1]Oper!$I$1487</definedName>
    <definedName name="____RAt8823">[1]Oper!$I$1652</definedName>
    <definedName name="____RAt8824">[1]Oper!$I$1817</definedName>
    <definedName name="____RAt8825">[1]Oper!$I$1982</definedName>
    <definedName name="____RAt88250">[1]Oper!$I$2972</definedName>
    <definedName name="____RAt8826">[1]Oper!$I$2147</definedName>
    <definedName name="____RAt8827">[1]Oper!$I$2312</definedName>
    <definedName name="____RAt8830">[1]Oper!$I$3302</definedName>
    <definedName name="____RAt88300">[1]Oper!$I$3137</definedName>
    <definedName name="____RAt8831">[1]Oper!$I$3467</definedName>
    <definedName name="____RAt8832">[1]Oper!$I$3632</definedName>
    <definedName name="____RAt8833">[1]Oper!$I$3797</definedName>
    <definedName name="____RAt8834">[1]Oper!$I$4292</definedName>
    <definedName name="____RAt8835">[1]Oper!$I$4457</definedName>
    <definedName name="____RAt88350">[1]Oper!$I$3962</definedName>
    <definedName name="____RAt8836">[1]Oper!$I$4622</definedName>
    <definedName name="____RAt8839">[1]Oper!$I$4127</definedName>
    <definedName name="____RAt8840">[1]Oper!$I$4952</definedName>
    <definedName name="____RAt88400">[1]Oper!$I$4787</definedName>
    <definedName name="____RAt8841">[1]Oper!$I$5117</definedName>
    <definedName name="____RAt8842">[1]Oper!$I$5282</definedName>
    <definedName name="____RAt8843">[1]Oper!$I$5447</definedName>
    <definedName name="____RAt8846">[1]Oper!$I$5612</definedName>
    <definedName name="____RAt8851">[1]Oper!$I$2477</definedName>
    <definedName name="____RAt8853">[1]Oper!$I$827</definedName>
    <definedName name="____RAt8859">[1]Oper!$I$2642</definedName>
    <definedName name="____RAt88700">[1]Oper!$I$332</definedName>
    <definedName name="____RAt88810">#REF!</definedName>
    <definedName name="____RAt88820">#REF!</definedName>
    <definedName name="____RAt88830">#REF!</definedName>
    <definedName name="____RAt88840">#REF!</definedName>
    <definedName name="____RAt88850">#REF!</definedName>
    <definedName name="____REV5">#REF!</definedName>
    <definedName name="____Ser200506">#REF!</definedName>
    <definedName name="____Ser200705">#REF!</definedName>
    <definedName name="____Ser200712">#REF!</definedName>
    <definedName name="____Ser201104">#REF!</definedName>
    <definedName name="____TR2">#REF!</definedName>
    <definedName name="____TR5">#REF!</definedName>
    <definedName name="____VBF1">#REF!</definedName>
    <definedName name="____VE1">#REF!</definedName>
    <definedName name="____VO1">#REF!</definedName>
    <definedName name="____VR1">#REF!</definedName>
    <definedName name="____x1" hidden="1">{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name="___Abr02">#REF!</definedName>
    <definedName name="___ADM2">#REF!</definedName>
    <definedName name="___Ago02">#REF!</definedName>
    <definedName name="___BDI1">#REF!</definedName>
    <definedName name="___BDI2">#REF!</definedName>
    <definedName name="___DAT1">#REF!</definedName>
    <definedName name="___DAT2">#REF!</definedName>
    <definedName name="___DAT3">#REF!</definedName>
    <definedName name="___DAT4">#REF!</definedName>
    <definedName name="___DAT5">#REF!</definedName>
    <definedName name="___DAT6">#REF!</definedName>
    <definedName name="___DAT7">#REF!</definedName>
    <definedName name="___DAT8">#REF!</definedName>
    <definedName name="___Dez02">#REF!</definedName>
    <definedName name="___Ele200502">#REF!</definedName>
    <definedName name="___Ele200609">#REF!</definedName>
    <definedName name="___Fev02">#REF!</definedName>
    <definedName name="___FOG50">#REF!</definedName>
    <definedName name="___JAN02" hidden="1">{"VENTAS1",#N/A,FALSE,"VENTAS";"VENTAS2",#N/A,FALSE,"VENTAS";"VENTAS3",#N/A,FALSE,"VENTAS";"VENTAS4",#N/A,FALSE,"VENTAS";"VENTAS5",#N/A,FALSE,"VENTAS";"VENTAS6",#N/A,FALSE,"VENTAS";"VENTAS7",#N/A,FALSE,"VENTAS";"VENTAS8",#N/A,FALSE,"VENTAS"}</definedName>
    <definedName name="___Jul02">#REF!</definedName>
    <definedName name="___Jun02">#REF!</definedName>
    <definedName name="___Mai02">#REF!</definedName>
    <definedName name="___Mar02">#REF!</definedName>
    <definedName name="___Nov02">#REF!</definedName>
    <definedName name="___OAc881">[2]Oper!$N$167</definedName>
    <definedName name="___OAc88100">[2]Oper!$N$497</definedName>
    <definedName name="___OAc8811">[2]Oper!$N$662</definedName>
    <definedName name="___OAc8812">[2]Oper!$N$1157</definedName>
    <definedName name="___OAc88150">[2]Oper!$N$992</definedName>
    <definedName name="___OAc882">#REF!</definedName>
    <definedName name="___OAc88200">[2]Oper!$N$2807</definedName>
    <definedName name="___OAc8821">[2]Oper!$N$1322</definedName>
    <definedName name="___OAc8822">[2]Oper!$N$1487</definedName>
    <definedName name="___OAc8823">[2]Oper!$N$1652</definedName>
    <definedName name="___OAc8824">[2]Oper!$N$1817</definedName>
    <definedName name="___OAc8825">[2]Oper!$N$1982</definedName>
    <definedName name="___OAc88250">[2]Oper!$N$2972</definedName>
    <definedName name="___OAc8826">[2]Oper!$N$2147</definedName>
    <definedName name="___OAc8827">[2]Oper!$N$2312</definedName>
    <definedName name="___OAc8830">[2]Oper!$N$3302</definedName>
    <definedName name="___OAc88300">[2]Oper!$N$3137</definedName>
    <definedName name="___OAc8831">[2]Oper!$N$3467</definedName>
    <definedName name="___OAc8832">[2]Oper!$N$3632</definedName>
    <definedName name="___OAc8833">[2]Oper!$N$3797</definedName>
    <definedName name="___OAc8834">[2]Oper!$N$4292</definedName>
    <definedName name="___OAc8835">[2]Oper!$N$4457</definedName>
    <definedName name="___OAc88350">[2]Oper!$N$3962</definedName>
    <definedName name="___OAc8836">[2]Oper!$N$4622</definedName>
    <definedName name="___OAc8839">[2]Oper!$N$4127</definedName>
    <definedName name="___OAc8840">[2]Oper!$N$4952</definedName>
    <definedName name="___OAc88400">[2]Oper!$N$4787</definedName>
    <definedName name="___OAc8841">[2]Oper!$N$5117</definedName>
    <definedName name="___OAc8842">[2]Oper!$N$5282</definedName>
    <definedName name="___OAc8843">[2]Oper!$N$5447</definedName>
    <definedName name="___OAc8846">[2]Oper!$N$5612</definedName>
    <definedName name="___OAc8851">[2]Oper!$N$2477</definedName>
    <definedName name="___OAc8853">[2]Oper!$N$827</definedName>
    <definedName name="___OAc8859">[2]Oper!$N$2642</definedName>
    <definedName name="___OAc88700">[2]Oper!$N$332</definedName>
    <definedName name="___OAc99110">#REF!</definedName>
    <definedName name="___OAc99120">#REF!</definedName>
    <definedName name="___OAc99130">#REF!</definedName>
    <definedName name="___OAc99140">#REF!</definedName>
    <definedName name="___OAc99150">#REF!</definedName>
    <definedName name="___OAc992">#REF!</definedName>
    <definedName name="___OAc99210">#REF!</definedName>
    <definedName name="___OAc99220">#REF!</definedName>
    <definedName name="___OAc99230">#REF!</definedName>
    <definedName name="___OAc99240">#REF!</definedName>
    <definedName name="___OAc99250">#REF!</definedName>
    <definedName name="___OAc99260">#REF!</definedName>
    <definedName name="___OAn881">[2]Oper!$R$167</definedName>
    <definedName name="___OAn88100">[2]Oper!$R$497</definedName>
    <definedName name="___OAn8811">[2]Oper!$R$662</definedName>
    <definedName name="___OAn8812">[2]Oper!$R$1157</definedName>
    <definedName name="___OAn88150">[2]Oper!$R$992</definedName>
    <definedName name="___OAn88200">[3]Oper!$R$2807</definedName>
    <definedName name="___OAn8821">[2]Oper!$R$1322</definedName>
    <definedName name="___OAn8822">[2]Oper!$R$1487</definedName>
    <definedName name="___OAn8823">[2]Oper!$R$1652</definedName>
    <definedName name="___OAn8824">[2]Oper!$R$1817</definedName>
    <definedName name="___OAn8825">[2]Oper!$R$1982</definedName>
    <definedName name="___OAn88250">[2]Oper!$R$2972</definedName>
    <definedName name="___OAn8826">[2]Oper!$R$2147</definedName>
    <definedName name="___OAn8827">[2]Oper!$R$2312</definedName>
    <definedName name="___OAn8830">[2]Oper!$R$3302</definedName>
    <definedName name="___OAn88300">[2]Oper!$R$3137</definedName>
    <definedName name="___OAn8831">[2]Oper!$R$3467</definedName>
    <definedName name="___OAn8832">[2]Oper!$R$3632</definedName>
    <definedName name="___OAn8833">[2]Oper!$R$3797</definedName>
    <definedName name="___OAn8834">[2]Oper!$R$4292</definedName>
    <definedName name="___OAn8835">[2]Oper!$R$4457</definedName>
    <definedName name="___OAn88350">[2]Oper!$R$3962</definedName>
    <definedName name="___OAn8836">[2]Oper!$R$4622</definedName>
    <definedName name="___OAn8839">[2]Oper!$R$4127</definedName>
    <definedName name="___OAn8840">[2]Oper!$R$4952</definedName>
    <definedName name="___OAn88400">[2]Oper!$R$4787</definedName>
    <definedName name="___OAn8841">[2]Oper!$R$5117</definedName>
    <definedName name="___OAn8842">[2]Oper!$R$5282</definedName>
    <definedName name="___OAn8843">[2]Oper!$R$5447</definedName>
    <definedName name="___OAn8846">[2]Oper!$R$5612</definedName>
    <definedName name="___OAn8851">[2]Oper!$R$2477</definedName>
    <definedName name="___OAn8853">[2]Oper!$R$827</definedName>
    <definedName name="___OAn8859">[2]Oper!$R$2642</definedName>
    <definedName name="___OAn88700">[2]Oper!$R$332</definedName>
    <definedName name="___OAn99110">#REF!</definedName>
    <definedName name="___OAn99120">#REF!</definedName>
    <definedName name="___OAn99130">#REF!</definedName>
    <definedName name="___OAn99140">#REF!</definedName>
    <definedName name="___OAn99150">#REF!</definedName>
    <definedName name="___OAn992">#REF!</definedName>
    <definedName name="___OAn99210">#REF!</definedName>
    <definedName name="___OAn99220">#REF!</definedName>
    <definedName name="___OAn99230">#REF!</definedName>
    <definedName name="___OAn99240">#REF!</definedName>
    <definedName name="___OAn99250">#REF!</definedName>
    <definedName name="___OAn99260">#REF!</definedName>
    <definedName name="___OAt881">[2]Oper!$J$167</definedName>
    <definedName name="___OAt88100">[2]Oper!$J$497</definedName>
    <definedName name="___OAt8811">[2]Oper!$J$662</definedName>
    <definedName name="___OAt8812">[2]Oper!$J$1157</definedName>
    <definedName name="___OAt88150">[2]Oper!$J$992</definedName>
    <definedName name="___OAt882">#REF!</definedName>
    <definedName name="___OAt88200">[2]Oper!$J$2807</definedName>
    <definedName name="___OAt8821">[2]Oper!$J$1322</definedName>
    <definedName name="___OAt8822">[2]Oper!$J$1487</definedName>
    <definedName name="___OAt8823">[2]Oper!$J$1652</definedName>
    <definedName name="___OAt8824">[2]Oper!$J$1817</definedName>
    <definedName name="___OAt8825">[2]Oper!$J$1982</definedName>
    <definedName name="___OAt88250">[2]Oper!$J$2972</definedName>
    <definedName name="___OAt8826">[2]Oper!$J$2147</definedName>
    <definedName name="___OAt8827">[2]Oper!$J$2312</definedName>
    <definedName name="___OAt8830">[2]Oper!$J$3302</definedName>
    <definedName name="___OAt88300">[2]Oper!$J$3137</definedName>
    <definedName name="___OAt8831">[2]Oper!$J$3467</definedName>
    <definedName name="___OAt8832">[2]Oper!$J$3632</definedName>
    <definedName name="___OAt8833">[2]Oper!$J$3797</definedName>
    <definedName name="___OAt8834">[2]Oper!$J$4292</definedName>
    <definedName name="___OAt8835">[2]Oper!$J$4457</definedName>
    <definedName name="___OAt88350">[2]Oper!$J$3962</definedName>
    <definedName name="___OAt8836">[2]Oper!$J$4622</definedName>
    <definedName name="___OAt8839">[2]Oper!$J$4127</definedName>
    <definedName name="___OAt8840">[2]Oper!$J$4952</definedName>
    <definedName name="___OAt88400">[2]Oper!$J$4787</definedName>
    <definedName name="___OAt8841">[2]Oper!$J$5117</definedName>
    <definedName name="___OAt8842">[2]Oper!$J$5282</definedName>
    <definedName name="___OAt8843">[2]Oper!$J$5447</definedName>
    <definedName name="___OAt8846">[2]Oper!$J$5612</definedName>
    <definedName name="___OAt8851">[2]Oper!$J$2477</definedName>
    <definedName name="___OAt8853">[2]Oper!$J$827</definedName>
    <definedName name="___OAt8859">[2]Oper!$J$2642</definedName>
    <definedName name="___OAt88700">[2]Oper!$J$332</definedName>
    <definedName name="___OAt99110">#REF!</definedName>
    <definedName name="___OAt99120">#REF!</definedName>
    <definedName name="___OAt99130">#REF!</definedName>
    <definedName name="___OAt99140">#REF!</definedName>
    <definedName name="___OAt99150">#REF!</definedName>
    <definedName name="___OAt992">#REF!</definedName>
    <definedName name="___OAt99210">#REF!</definedName>
    <definedName name="___OAt99220">#REF!</definedName>
    <definedName name="___OAt99230">#REF!</definedName>
    <definedName name="___OAt99240">#REF!</definedName>
    <definedName name="___OAt99250">#REF!</definedName>
    <definedName name="___OAt99260">#REF!</definedName>
    <definedName name="___Out02">#REF!</definedName>
    <definedName name="___pv2">#REF!</definedName>
    <definedName name="___pv3">#REF!</definedName>
    <definedName name="___PVC100">#REF!</definedName>
    <definedName name="___PVC150">#REF!</definedName>
    <definedName name="___PVC50">#REF!</definedName>
    <definedName name="___PVC75">#REF!</definedName>
    <definedName name="___RAc881">[2]Oper!$M$167</definedName>
    <definedName name="___RAc88100">[2]Oper!$M$497</definedName>
    <definedName name="___RAc8811">[2]Oper!$M$662</definedName>
    <definedName name="___RAc8812">[2]Oper!$M$1157</definedName>
    <definedName name="___RAc88150">[2]Oper!$M$992</definedName>
    <definedName name="___RAc882">#REF!</definedName>
    <definedName name="___RAc88200">[2]Oper!$M$2807</definedName>
    <definedName name="___RAc8821">[2]Oper!$M$1322</definedName>
    <definedName name="___RAc8822">[2]Oper!$M$1487</definedName>
    <definedName name="___RAc8823">[2]Oper!$M$1652</definedName>
    <definedName name="___RAc8824">[2]Oper!$M$1817</definedName>
    <definedName name="___RAc8825">[2]Oper!$M$1982</definedName>
    <definedName name="___RAc88250">[2]Oper!$M$2972</definedName>
    <definedName name="___RAc8826">[2]Oper!$M$2147</definedName>
    <definedName name="___RAc8827">[2]Oper!$M$2312</definedName>
    <definedName name="___RAc8830">[2]Oper!$M$3302</definedName>
    <definedName name="___RAc88300">[2]Oper!$M$3137</definedName>
    <definedName name="___RAc8831">[2]Oper!$M$3467</definedName>
    <definedName name="___RAc8832">[2]Oper!$M$3632</definedName>
    <definedName name="___RAc8833">[2]Oper!$M$3797</definedName>
    <definedName name="___RAc8834">[2]Oper!$M$4292</definedName>
    <definedName name="___RAc8835">[2]Oper!$M$4457</definedName>
    <definedName name="___RAc88350">[2]Oper!$M$3962</definedName>
    <definedName name="___RAc8836">[2]Oper!$M$4622</definedName>
    <definedName name="___RAc8839">[2]Oper!$M$4127</definedName>
    <definedName name="___RAc8840">[2]Oper!$M$4952</definedName>
    <definedName name="___RAc88400">[2]Oper!$M$4787</definedName>
    <definedName name="___RAc8841">[2]Oper!$M$5117</definedName>
    <definedName name="___RAc8842">[2]Oper!$M$5282</definedName>
    <definedName name="___RAc8843">[2]Oper!$M$5447</definedName>
    <definedName name="___RAc8846">[2]Oper!$M$5612</definedName>
    <definedName name="___RAc8851">[2]Oper!$M$2477</definedName>
    <definedName name="___RAc8853">[2]Oper!$M$827</definedName>
    <definedName name="___RAc8859">[2]Oper!$M$2642</definedName>
    <definedName name="___RAc88700">[2]Oper!$M$332</definedName>
    <definedName name="___RAc99110">#REF!</definedName>
    <definedName name="___RAc99120">#REF!</definedName>
    <definedName name="___RAc99130">#REF!</definedName>
    <definedName name="___RAc99140">#REF!</definedName>
    <definedName name="___RAc99150">#REF!</definedName>
    <definedName name="___RAc992">#REF!</definedName>
    <definedName name="___RAc99210">#REF!</definedName>
    <definedName name="___RAc99220">#REF!</definedName>
    <definedName name="___RAc99230">#REF!</definedName>
    <definedName name="___RAc99240">#REF!</definedName>
    <definedName name="___RAc99250">#REF!</definedName>
    <definedName name="___RAc99260">#REF!</definedName>
    <definedName name="___RAt881">[2]Oper!$I$167</definedName>
    <definedName name="___RAt88100">[2]Oper!$I$497</definedName>
    <definedName name="___RAt8811">[2]Oper!$I$662</definedName>
    <definedName name="___RAt8812">[2]Oper!$I$1157</definedName>
    <definedName name="___RAt88150">[2]Oper!$I$992</definedName>
    <definedName name="___RAt882">#REF!</definedName>
    <definedName name="___RAt88200">[2]Oper!$I$2807</definedName>
    <definedName name="___RAt8821">[2]Oper!$I$1322</definedName>
    <definedName name="___RAt8822">[2]Oper!$I$1487</definedName>
    <definedName name="___RAt8823">[2]Oper!$I$1652</definedName>
    <definedName name="___RAt8824">[2]Oper!$I$1817</definedName>
    <definedName name="___RAt8825">[2]Oper!$I$1982</definedName>
    <definedName name="___RAt88250">[2]Oper!$I$2972</definedName>
    <definedName name="___RAt8826">[2]Oper!$I$2147</definedName>
    <definedName name="___RAt8827">[2]Oper!$I$2312</definedName>
    <definedName name="___RAt8830">[2]Oper!$I$3302</definedName>
    <definedName name="___RAt88300">[2]Oper!$I$3137</definedName>
    <definedName name="___RAt8831">[2]Oper!$I$3467</definedName>
    <definedName name="___RAt8832">[2]Oper!$I$3632</definedName>
    <definedName name="___RAt8833">[2]Oper!$I$3797</definedName>
    <definedName name="___RAt8834">[2]Oper!$I$4292</definedName>
    <definedName name="___RAt8835">[2]Oper!$I$4457</definedName>
    <definedName name="___RAt88350">[2]Oper!$I$3962</definedName>
    <definedName name="___RAt8836">[2]Oper!$I$4622</definedName>
    <definedName name="___RAt8839">[2]Oper!$I$4127</definedName>
    <definedName name="___RAt8840">[2]Oper!$I$4952</definedName>
    <definedName name="___RAt88400">[2]Oper!$I$4787</definedName>
    <definedName name="___RAt8841">[2]Oper!$I$5117</definedName>
    <definedName name="___RAt8842">[2]Oper!$I$5282</definedName>
    <definedName name="___RAt8843">[2]Oper!$I$5447</definedName>
    <definedName name="___RAt8846">[2]Oper!$I$5612</definedName>
    <definedName name="___RAt8851">[2]Oper!$I$2477</definedName>
    <definedName name="___RAt8853">[2]Oper!$I$827</definedName>
    <definedName name="___RAt8859">[2]Oper!$I$2642</definedName>
    <definedName name="___RAt88700">[2]Oper!$I$332</definedName>
    <definedName name="___RAt99110">#REF!</definedName>
    <definedName name="___RAt99120">#REF!</definedName>
    <definedName name="___RAt99130">#REF!</definedName>
    <definedName name="___RAt99140">#REF!</definedName>
    <definedName name="___RAt99150">#REF!</definedName>
    <definedName name="___RAt992">#REF!</definedName>
    <definedName name="___RAt99210">#REF!</definedName>
    <definedName name="___RAt99220">#REF!</definedName>
    <definedName name="___RAt99230">#REF!</definedName>
    <definedName name="___RAt99240">#REF!</definedName>
    <definedName name="___RAt99250">#REF!</definedName>
    <definedName name="___RAt99260">#REF!</definedName>
    <definedName name="___REV5">#REF!</definedName>
    <definedName name="___Ser200506">#REF!</definedName>
    <definedName name="___Ser200705">#REF!</definedName>
    <definedName name="___Ser200712">#REF!</definedName>
    <definedName name="___Ser201104">#REF!</definedName>
    <definedName name="___Set02">#REF!</definedName>
    <definedName name="___TR2">#REF!</definedName>
    <definedName name="___TR5">#REF!</definedName>
    <definedName name="___VBF1">#REF!</definedName>
    <definedName name="___VE1">#REF!</definedName>
    <definedName name="___VO1">#REF!</definedName>
    <definedName name="___VR1">#REF!</definedName>
    <definedName name="___x1" hidden="1">{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name="__123Graph_ASIDECO" hidden="1">'[4]CONSSID12-96'!#REF!</definedName>
    <definedName name="__123Graph_B" hidden="1">[5]Assum!$C$12:$C$19</definedName>
    <definedName name="__123Graph_BSIDECO" hidden="1">'[4]CONSSID12-96'!#REF!</definedName>
    <definedName name="__123Graph_C" hidden="1">[5]Assum!$D$12:$D$19</definedName>
    <definedName name="__123Graph_CSIDECO" hidden="1">'[4]CONSSID12-96'!#REF!</definedName>
    <definedName name="__123Graph_D" hidden="1">[5]Assum!$E$12:$E$19</definedName>
    <definedName name="__123Graph_E" hidden="1">[5]Assum!$F$12:$F$19</definedName>
    <definedName name="__123Graph_XSIDECO" hidden="1">'[4]CONSSID12-96'!#REF!</definedName>
    <definedName name="__ago1"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__DAT1" localSheetId="9">#REF!</definedName>
    <definedName name="__DAT1">#REF!</definedName>
    <definedName name="__DAT2" localSheetId="9">#REF!</definedName>
    <definedName name="__DAT2">#REF!</definedName>
    <definedName name="__DAT3" localSheetId="9">#REF!</definedName>
    <definedName name="__DAT3">#REF!</definedName>
    <definedName name="__DAT4">#REF!</definedName>
    <definedName name="__DAT5">#REF!</definedName>
    <definedName name="__DAT6">#REF!</definedName>
    <definedName name="__DAT7">#REF!</definedName>
    <definedName name="__DAT8">#REF!</definedName>
    <definedName name="__Ele200502">#REF!</definedName>
    <definedName name="__Ele200609">#REF!</definedName>
    <definedName name="__FDS_HYPERLINK_TOGGLE_STATE__" hidden="1">"ON"</definedName>
    <definedName name="__FOG50">#REF!</definedName>
    <definedName name="__JAN02" hidden="1">{"VENTAS1",#N/A,FALSE,"VENTAS";"VENTAS2",#N/A,FALSE,"VENTAS";"VENTAS3",#N/A,FALSE,"VENTAS";"VENTAS4",#N/A,FALSE,"VENTAS";"VENTAS5",#N/A,FALSE,"VENTAS";"VENTAS6",#N/A,FALSE,"VENTAS";"VENTAS7",#N/A,FALSE,"VENTAS";"VENTAS8",#N/A,FALSE,"VENTAS"}</definedName>
    <definedName name="__OAc881">[1]Oper!$N$167</definedName>
    <definedName name="__OAc88100">[2]Oper!$N$497</definedName>
    <definedName name="__OAc8811">[2]Oper!$N$662</definedName>
    <definedName name="__OAc8812">[2]Oper!$N$1157</definedName>
    <definedName name="__OAc88150">[2]Oper!$N$992</definedName>
    <definedName name="__OAc88200">[1]Oper!$N$2807</definedName>
    <definedName name="__OAc8821">[2]Oper!$N$1322</definedName>
    <definedName name="__OAc8822">[2]Oper!$N$1487</definedName>
    <definedName name="__OAc8823">[2]Oper!$N$1652</definedName>
    <definedName name="__OAc8824">[2]Oper!$N$1817</definedName>
    <definedName name="__OAc8825">[2]Oper!$N$1982</definedName>
    <definedName name="__OAc88250">[2]Oper!$N$2972</definedName>
    <definedName name="__OAc8826">[2]Oper!$N$2147</definedName>
    <definedName name="__OAc8827">[2]Oper!$N$2312</definedName>
    <definedName name="__OAc8830">[2]Oper!$N$3302</definedName>
    <definedName name="__OAc88300">[2]Oper!$N$3137</definedName>
    <definedName name="__OAc8831">[2]Oper!$N$3467</definedName>
    <definedName name="__OAc8832">[2]Oper!$N$3632</definedName>
    <definedName name="__OAc8833">[2]Oper!$N$3797</definedName>
    <definedName name="__OAc8834">[2]Oper!$N$4292</definedName>
    <definedName name="__OAc8835">[2]Oper!$N$4457</definedName>
    <definedName name="__OAc88350">[2]Oper!$N$3962</definedName>
    <definedName name="__OAc8836">[2]Oper!$N$4622</definedName>
    <definedName name="__OAc8839">[2]Oper!$N$4127</definedName>
    <definedName name="__OAc8840">[2]Oper!$N$4952</definedName>
    <definedName name="__OAc88400">[2]Oper!$N$4787</definedName>
    <definedName name="__OAc8841">[2]Oper!$N$5117</definedName>
    <definedName name="__OAc8842">[2]Oper!$N$5282</definedName>
    <definedName name="__OAc8843">[2]Oper!$N$5447</definedName>
    <definedName name="__OAc8846">[2]Oper!$N$5612</definedName>
    <definedName name="__OAc8851">[2]Oper!$N$2477</definedName>
    <definedName name="__OAc8853">[2]Oper!$N$827</definedName>
    <definedName name="__OAc8859">[2]Oper!$N$2642</definedName>
    <definedName name="__OAc88700">[2]Oper!$N$332</definedName>
    <definedName name="__OAn881">[1]Oper!$R$167</definedName>
    <definedName name="__OAn88100">[2]Oper!$R$497</definedName>
    <definedName name="__OAn8811">[2]Oper!$R$662</definedName>
    <definedName name="__OAn8812">[2]Oper!$R$1157</definedName>
    <definedName name="__OAn88150">[2]Oper!$R$992</definedName>
    <definedName name="__OAn88200">[1]Oper!$R$2807</definedName>
    <definedName name="__OAn8821">[2]Oper!$R$1322</definedName>
    <definedName name="__OAn8822">[2]Oper!$R$1487</definedName>
    <definedName name="__OAn8823">[2]Oper!$R$1652</definedName>
    <definedName name="__OAn8824">[2]Oper!$R$1817</definedName>
    <definedName name="__OAn8825">[2]Oper!$R$1982</definedName>
    <definedName name="__OAn88250">[2]Oper!$R$2972</definedName>
    <definedName name="__OAn8826">[2]Oper!$R$2147</definedName>
    <definedName name="__OAn8827">[2]Oper!$R$2312</definedName>
    <definedName name="__OAn8830">[2]Oper!$R$3302</definedName>
    <definedName name="__OAn88300">[2]Oper!$R$3137</definedName>
    <definedName name="__OAn8831">[2]Oper!$R$3467</definedName>
    <definedName name="__OAn8832">[2]Oper!$R$3632</definedName>
    <definedName name="__OAn8833">[2]Oper!$R$3797</definedName>
    <definedName name="__OAn8834">[2]Oper!$R$4292</definedName>
    <definedName name="__OAn8835">[2]Oper!$R$4457</definedName>
    <definedName name="__OAn88350">[2]Oper!$R$3962</definedName>
    <definedName name="__OAn8836">[2]Oper!$R$4622</definedName>
    <definedName name="__OAn8839">[2]Oper!$R$4127</definedName>
    <definedName name="__OAn8840">[2]Oper!$R$4952</definedName>
    <definedName name="__OAn88400">[2]Oper!$R$4787</definedName>
    <definedName name="__OAn8841">[2]Oper!$R$5117</definedName>
    <definedName name="__OAn8842">[2]Oper!$R$5282</definedName>
    <definedName name="__OAn8843">[2]Oper!$R$5447</definedName>
    <definedName name="__OAn8846">[2]Oper!$R$5612</definedName>
    <definedName name="__OAn8851">[2]Oper!$R$2477</definedName>
    <definedName name="__OAn8853">[2]Oper!$R$827</definedName>
    <definedName name="__OAn8859">[2]Oper!$R$2642</definedName>
    <definedName name="__OAn88700">[2]Oper!$R$332</definedName>
    <definedName name="__OAt881">[1]Oper!$J$167</definedName>
    <definedName name="__OAt88100">[2]Oper!$J$497</definedName>
    <definedName name="__OAt8811">[2]Oper!$J$662</definedName>
    <definedName name="__OAt8812">[2]Oper!$J$1157</definedName>
    <definedName name="__OAt88150">[2]Oper!$J$992</definedName>
    <definedName name="__OAt88200">[1]Oper!$J$2807</definedName>
    <definedName name="__OAt8821">[2]Oper!$J$1322</definedName>
    <definedName name="__OAt8822">[2]Oper!$J$1487</definedName>
    <definedName name="__OAt8823">[2]Oper!$J$1652</definedName>
    <definedName name="__OAt8824">[2]Oper!$J$1817</definedName>
    <definedName name="__OAt8825">[2]Oper!$J$1982</definedName>
    <definedName name="__OAt88250">[2]Oper!$J$2972</definedName>
    <definedName name="__OAt8826">[2]Oper!$J$2147</definedName>
    <definedName name="__OAt8827">[2]Oper!$J$2312</definedName>
    <definedName name="__OAt8830">[2]Oper!$J$3302</definedName>
    <definedName name="__OAt88300">[2]Oper!$J$3137</definedName>
    <definedName name="__OAt8831">[2]Oper!$J$3467</definedName>
    <definedName name="__OAt8832">[2]Oper!$J$3632</definedName>
    <definedName name="__OAt8833">[2]Oper!$J$3797</definedName>
    <definedName name="__OAt8834">[2]Oper!$J$4292</definedName>
    <definedName name="__OAt8835">[2]Oper!$J$4457</definedName>
    <definedName name="__OAt88350">[2]Oper!$J$3962</definedName>
    <definedName name="__OAt8836">[2]Oper!$J$4622</definedName>
    <definedName name="__OAt8839">[2]Oper!$J$4127</definedName>
    <definedName name="__OAt8840">[2]Oper!$J$4952</definedName>
    <definedName name="__OAt88400">[2]Oper!$J$4787</definedName>
    <definedName name="__OAt8841">[2]Oper!$J$5117</definedName>
    <definedName name="__OAt8842">[2]Oper!$J$5282</definedName>
    <definedName name="__OAt8843">[2]Oper!$J$5447</definedName>
    <definedName name="__OAt8846">[2]Oper!$J$5612</definedName>
    <definedName name="__OAt8851">[2]Oper!$J$2477</definedName>
    <definedName name="__OAt8853">[2]Oper!$J$827</definedName>
    <definedName name="__OAt8859">[2]Oper!$J$2642</definedName>
    <definedName name="__OAt88700">[2]Oper!$J$332</definedName>
    <definedName name="__pv2" localSheetId="9">#REF!</definedName>
    <definedName name="__pv2">#REF!</definedName>
    <definedName name="__pv3" localSheetId="9">#REF!</definedName>
    <definedName name="__pv3">#REF!</definedName>
    <definedName name="__PVC100">#REF!</definedName>
    <definedName name="__PVC150">#REF!</definedName>
    <definedName name="__PVC50">#REF!</definedName>
    <definedName name="__PVC75">#REF!</definedName>
    <definedName name="__RAc881">[1]Oper!$M$167</definedName>
    <definedName name="__RAc88100">[2]Oper!$M$497</definedName>
    <definedName name="__RAc8811">[2]Oper!$M$662</definedName>
    <definedName name="__RAc8812">[2]Oper!$M$1157</definedName>
    <definedName name="__RAc88150">[2]Oper!$M$992</definedName>
    <definedName name="__RAc88200">[1]Oper!$M$2807</definedName>
    <definedName name="__RAc8821">[2]Oper!$M$1322</definedName>
    <definedName name="__RAc8822">[2]Oper!$M$1487</definedName>
    <definedName name="__RAc8823">[2]Oper!$M$1652</definedName>
    <definedName name="__RAc8824">[2]Oper!$M$1817</definedName>
    <definedName name="__RAc8825">[2]Oper!$M$1982</definedName>
    <definedName name="__RAc88250">[2]Oper!$M$2972</definedName>
    <definedName name="__RAc8826">[2]Oper!$M$2147</definedName>
    <definedName name="__RAc8827">[2]Oper!$M$2312</definedName>
    <definedName name="__RAc8830">[2]Oper!$M$3302</definedName>
    <definedName name="__RAc88300">[2]Oper!$M$3137</definedName>
    <definedName name="__RAc8831">[2]Oper!$M$3467</definedName>
    <definedName name="__RAc8832">[2]Oper!$M$3632</definedName>
    <definedName name="__RAc8833">[2]Oper!$M$3797</definedName>
    <definedName name="__RAc8834">[2]Oper!$M$4292</definedName>
    <definedName name="__RAc8835">[2]Oper!$M$4457</definedName>
    <definedName name="__RAc88350">[2]Oper!$M$3962</definedName>
    <definedName name="__RAc8836">[2]Oper!$M$4622</definedName>
    <definedName name="__RAc8839">[2]Oper!$M$4127</definedName>
    <definedName name="__RAc8840">[2]Oper!$M$4952</definedName>
    <definedName name="__RAc88400">[2]Oper!$M$4787</definedName>
    <definedName name="__RAc8841">[2]Oper!$M$5117</definedName>
    <definedName name="__RAc8842">[2]Oper!$M$5282</definedName>
    <definedName name="__RAc8843">[2]Oper!$M$5447</definedName>
    <definedName name="__RAc8846">[2]Oper!$M$5612</definedName>
    <definedName name="__RAc8851">[2]Oper!$M$2477</definedName>
    <definedName name="__RAc8853">[2]Oper!$M$827</definedName>
    <definedName name="__RAc8859">[2]Oper!$M$2642</definedName>
    <definedName name="__RAc88700">[2]Oper!$M$332</definedName>
    <definedName name="__RAt881">[1]Oper!$I$167</definedName>
    <definedName name="__RAt88100">[2]Oper!$I$497</definedName>
    <definedName name="__RAt8811">[2]Oper!$I$662</definedName>
    <definedName name="__RAt8812">[2]Oper!$I$1157</definedName>
    <definedName name="__RAt88150">[2]Oper!$I$992</definedName>
    <definedName name="__RAt88200">[1]Oper!$I$2807</definedName>
    <definedName name="__RAt8821">[2]Oper!$I$1322</definedName>
    <definedName name="__RAt8822">[2]Oper!$I$1487</definedName>
    <definedName name="__RAt8823">[2]Oper!$I$1652</definedName>
    <definedName name="__RAt8824">[2]Oper!$I$1817</definedName>
    <definedName name="__RAt8825">[2]Oper!$I$1982</definedName>
    <definedName name="__RAt88250">[2]Oper!$I$2972</definedName>
    <definedName name="__RAt8826">[2]Oper!$I$2147</definedName>
    <definedName name="__RAt8827">[2]Oper!$I$2312</definedName>
    <definedName name="__RAt8830">[2]Oper!$I$3302</definedName>
    <definedName name="__RAt88300">[2]Oper!$I$3137</definedName>
    <definedName name="__RAt8831">[2]Oper!$I$3467</definedName>
    <definedName name="__RAt8832">[2]Oper!$I$3632</definedName>
    <definedName name="__RAt8833">[2]Oper!$I$3797</definedName>
    <definedName name="__RAt8834">[2]Oper!$I$4292</definedName>
    <definedName name="__RAt8835">[2]Oper!$I$4457</definedName>
    <definedName name="__RAt88350">[2]Oper!$I$3962</definedName>
    <definedName name="__RAt8836">[2]Oper!$I$4622</definedName>
    <definedName name="__RAt8839">[2]Oper!$I$4127</definedName>
    <definedName name="__RAt8840">[2]Oper!$I$4952</definedName>
    <definedName name="__RAt88400">[2]Oper!$I$4787</definedName>
    <definedName name="__RAt8841">[2]Oper!$I$5117</definedName>
    <definedName name="__RAt8842">[2]Oper!$I$5282</definedName>
    <definedName name="__RAt8843">[2]Oper!$I$5447</definedName>
    <definedName name="__RAt8846">[2]Oper!$I$5612</definedName>
    <definedName name="__RAt8851">[2]Oper!$I$2477</definedName>
    <definedName name="__RAt8853">[2]Oper!$I$827</definedName>
    <definedName name="__RAt8859">[2]Oper!$I$2642</definedName>
    <definedName name="__RAt88700">[2]Oper!$I$332</definedName>
    <definedName name="__REV5" localSheetId="9">#REF!</definedName>
    <definedName name="__REV5">#REF!</definedName>
    <definedName name="__Ser200506" localSheetId="9">#REF!</definedName>
    <definedName name="__Ser200506">#REF!</definedName>
    <definedName name="__Ser200705" localSheetId="9">#REF!</definedName>
    <definedName name="__Ser200705">#REF!</definedName>
    <definedName name="__Ser200712">#REF!</definedName>
    <definedName name="__Ser201104">#REF!</definedName>
    <definedName name="__TR2">#REF!</definedName>
    <definedName name="__TR5">#REF!</definedName>
    <definedName name="__VBF1">#REF!</definedName>
    <definedName name="__VE1">#REF!</definedName>
    <definedName name="__VO1">#REF!</definedName>
    <definedName name="__VR1">#REF!</definedName>
    <definedName name="__x1" hidden="1">{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name="_1">#REF!</definedName>
    <definedName name="_1Excel_BuiltIn_Print_Area_2_1">#REF!</definedName>
    <definedName name="_1Excel_BuiltIn_Print_Area_5_1" localSheetId="9">#REF!</definedName>
    <definedName name="_1Excel_BuiltIn_Print_Area_5_1">#REF!</definedName>
    <definedName name="_2">#REF!</definedName>
    <definedName name="_2Excel_BuiltIn_Print_Titles_1_1">#REF!,#REF!</definedName>
    <definedName name="_3">#REF!</definedName>
    <definedName name="_3Excel_BuiltIn_Print_Titles_1_1">#REF!,#REF!</definedName>
    <definedName name="_4">#REF!</definedName>
    <definedName name="_5" localSheetId="8">#N/A</definedName>
    <definedName name="_5" localSheetId="9">#REF!</definedName>
    <definedName name="_5">#REF!</definedName>
    <definedName name="_6">#N/A</definedName>
    <definedName name="_7">#N/A</definedName>
    <definedName name="_8">#N/A</definedName>
    <definedName name="_ADM2">#REF!</definedName>
    <definedName name="_ago1"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_BDI1" localSheetId="8">#REF!</definedName>
    <definedName name="_BDI1">#REF!</definedName>
    <definedName name="_BDI2" localSheetId="8">#REF!</definedName>
    <definedName name="_BDI2">#REF!</definedName>
    <definedName name="_BLA1" hidden="1">"SRVEXACT;041;marleen;0"</definedName>
    <definedName name="_BLA2">2002</definedName>
    <definedName name="_DAT1" localSheetId="9">#REF!</definedName>
    <definedName name="_DAT1">#REF!</definedName>
    <definedName name="_DAT2" localSheetId="9">#REF!</definedName>
    <definedName name="_DAT2">#REF!</definedName>
    <definedName name="_DAT3" localSheetId="9">#REF!</definedName>
    <definedName name="_DAT3">#REF!</definedName>
    <definedName name="_DAT4">#REF!</definedName>
    <definedName name="_DAT5">#REF!</definedName>
    <definedName name="_DAT6">#REF!</definedName>
    <definedName name="_DAT7">#REF!</definedName>
    <definedName name="_DAT8">#REF!</definedName>
    <definedName name="_Ele200502">#REF!</definedName>
    <definedName name="_Ele200609">#REF!</definedName>
    <definedName name="_Fill" localSheetId="8" hidden="1">#REF!</definedName>
    <definedName name="_Fill" hidden="1">#REF!</definedName>
    <definedName name="_xlnm._FilterDatabase" localSheetId="19" hidden="1">'ABC INSUMOS'!$D$3:$L$392</definedName>
    <definedName name="_xlnm._FilterDatabase" localSheetId="2" hidden="1">'BANCO - EQP'!$A$2:$F$54</definedName>
    <definedName name="_xlnm._FilterDatabase" localSheetId="1" hidden="1">'CPUs INTERNAS'!#REF!</definedName>
    <definedName name="_xlnm._FilterDatabase" hidden="1">#REF!</definedName>
    <definedName name="_FOG50">#REF!</definedName>
    <definedName name="_JAN02" hidden="1">{"VENTAS1",#N/A,FALSE,"VENTAS";"VENTAS2",#N/A,FALSE,"VENTAS";"VENTAS3",#N/A,FALSE,"VENTAS";"VENTAS4",#N/A,FALSE,"VENTAS";"VENTAS5",#N/A,FALSE,"VENTAS";"VENTAS6",#N/A,FALSE,"VENTAS";"VENTAS7",#N/A,FALSE,"VENTAS";"VENTAS8",#N/A,FALSE,"VENTAS"}</definedName>
    <definedName name="_Key1" hidden="1">#REF!</definedName>
    <definedName name="_Key2" hidden="1">#REF!</definedName>
    <definedName name="_OAc881">[2]Oper!$N$167</definedName>
    <definedName name="_OAc88100">[2]Oper!$N$497</definedName>
    <definedName name="_OAc8811">[2]Oper!$N$662</definedName>
    <definedName name="_OAc8812">[2]Oper!$N$1157</definedName>
    <definedName name="_OAc88150">[2]Oper!$N$992</definedName>
    <definedName name="_OAc882">#REF!</definedName>
    <definedName name="_OAc88200">[2]Oper!$N$2807</definedName>
    <definedName name="_OAc8821">[2]Oper!$N$1322</definedName>
    <definedName name="_OAc8822">[2]Oper!$N$1487</definedName>
    <definedName name="_OAc8823">[2]Oper!$N$1652</definedName>
    <definedName name="_OAc8824">[2]Oper!$N$1817</definedName>
    <definedName name="_OAc8825">[2]Oper!$N$1982</definedName>
    <definedName name="_OAc88250">[2]Oper!$N$2972</definedName>
    <definedName name="_OAc8826">[2]Oper!$N$2147</definedName>
    <definedName name="_OAc8827">[2]Oper!$N$2312</definedName>
    <definedName name="_OAc8830">[2]Oper!$N$3302</definedName>
    <definedName name="_OAc88300">[2]Oper!$N$3137</definedName>
    <definedName name="_OAc8831">[2]Oper!$N$3467</definedName>
    <definedName name="_OAc8832">[2]Oper!$N$3632</definedName>
    <definedName name="_OAc8833">[2]Oper!$N$3797</definedName>
    <definedName name="_OAc8834">[2]Oper!$N$4292</definedName>
    <definedName name="_OAc8835">[2]Oper!$N$4457</definedName>
    <definedName name="_OAc88350">[2]Oper!$N$3962</definedName>
    <definedName name="_OAc8836">[2]Oper!$N$4622</definedName>
    <definedName name="_OAc8839">[2]Oper!$N$4127</definedName>
    <definedName name="_OAc8840">[2]Oper!$N$4952</definedName>
    <definedName name="_OAc88400">[2]Oper!$N$4787</definedName>
    <definedName name="_OAc8841">[2]Oper!$N$5117</definedName>
    <definedName name="_OAc8842">[2]Oper!$N$5282</definedName>
    <definedName name="_OAc8843">[2]Oper!$N$5447</definedName>
    <definedName name="_OAc8846">[2]Oper!$N$5612</definedName>
    <definedName name="_OAc8851">[2]Oper!$N$2477</definedName>
    <definedName name="_OAc8853">[2]Oper!$N$827</definedName>
    <definedName name="_OAc8859">[2]Oper!$N$2642</definedName>
    <definedName name="_OAc88700">[2]Oper!$N$332</definedName>
    <definedName name="_OAc88810">#REF!</definedName>
    <definedName name="_OAc88820">#REF!</definedName>
    <definedName name="_OAc88830">#REF!</definedName>
    <definedName name="_OAc88840">#REF!</definedName>
    <definedName name="_OAc88850">#REF!</definedName>
    <definedName name="_OAn881">[2]Oper!$R$167</definedName>
    <definedName name="_OAn88100">[2]Oper!$R$497</definedName>
    <definedName name="_OAn8811">[2]Oper!$R$662</definedName>
    <definedName name="_OAn8812">[2]Oper!$R$1157</definedName>
    <definedName name="_OAn88150">[2]Oper!$R$992</definedName>
    <definedName name="_OAn882">#REF!</definedName>
    <definedName name="_OAn88200">[2]Oper!$R$2807</definedName>
    <definedName name="_OAn8821">[2]Oper!$R$1322</definedName>
    <definedName name="_OAn8822">[2]Oper!$R$1487</definedName>
    <definedName name="_OAn8823">[2]Oper!$R$1652</definedName>
    <definedName name="_OAn8824">[2]Oper!$R$1817</definedName>
    <definedName name="_OAn8825">[2]Oper!$R$1982</definedName>
    <definedName name="_OAn88250">[2]Oper!$R$2972</definedName>
    <definedName name="_OAn8826">[2]Oper!$R$2147</definedName>
    <definedName name="_OAn8827">[2]Oper!$R$2312</definedName>
    <definedName name="_OAn8830">[2]Oper!$R$3302</definedName>
    <definedName name="_OAn88300">[2]Oper!$R$3137</definedName>
    <definedName name="_OAn8831">[2]Oper!$R$3467</definedName>
    <definedName name="_OAn8832">[2]Oper!$R$3632</definedName>
    <definedName name="_OAn8833">[2]Oper!$R$3797</definedName>
    <definedName name="_OAn8834">[2]Oper!$R$4292</definedName>
    <definedName name="_OAn8835">[2]Oper!$R$4457</definedName>
    <definedName name="_OAn88350">[2]Oper!$R$3962</definedName>
    <definedName name="_OAn8836">[2]Oper!$R$4622</definedName>
    <definedName name="_OAn8839">[2]Oper!$R$4127</definedName>
    <definedName name="_OAn8840">[2]Oper!$R$4952</definedName>
    <definedName name="_OAn88400">[2]Oper!$R$4787</definedName>
    <definedName name="_OAn8841">[2]Oper!$R$5117</definedName>
    <definedName name="_OAn8842">[2]Oper!$R$5282</definedName>
    <definedName name="_OAn8843">[2]Oper!$R$5447</definedName>
    <definedName name="_OAn8846">[2]Oper!$R$5612</definedName>
    <definedName name="_OAn8851">[2]Oper!$R$2477</definedName>
    <definedName name="_OAn8853">[2]Oper!$R$827</definedName>
    <definedName name="_OAn8859">[2]Oper!$R$2642</definedName>
    <definedName name="_OAn88700">[2]Oper!$R$332</definedName>
    <definedName name="_OAn88810">#REF!</definedName>
    <definedName name="_OAn88820">#REF!</definedName>
    <definedName name="_OAn88830">#REF!</definedName>
    <definedName name="_OAn88840">#REF!</definedName>
    <definedName name="_OAn88850">#REF!</definedName>
    <definedName name="_OAt881">[2]Oper!$J$167</definedName>
    <definedName name="_OAt88100">[2]Oper!$J$497</definedName>
    <definedName name="_OAt8811">[2]Oper!$J$662</definedName>
    <definedName name="_OAt8812">[2]Oper!$J$1157</definedName>
    <definedName name="_OAt88150">[2]Oper!$J$992</definedName>
    <definedName name="_OAt882">#REF!</definedName>
    <definedName name="_OAt88200">[2]Oper!$J$2807</definedName>
    <definedName name="_OAt8821">[2]Oper!$J$1322</definedName>
    <definedName name="_OAt8822">[2]Oper!$J$1487</definedName>
    <definedName name="_OAt8823">[2]Oper!$J$1652</definedName>
    <definedName name="_OAt8824">[2]Oper!$J$1817</definedName>
    <definedName name="_OAt8825">[2]Oper!$J$1982</definedName>
    <definedName name="_OAt88250">[2]Oper!$J$2972</definedName>
    <definedName name="_OAt8826">[2]Oper!$J$2147</definedName>
    <definedName name="_OAt8827">[2]Oper!$J$2312</definedName>
    <definedName name="_OAt8830">[2]Oper!$J$3302</definedName>
    <definedName name="_OAt88300">[2]Oper!$J$3137</definedName>
    <definedName name="_OAt8831">[2]Oper!$J$3467</definedName>
    <definedName name="_OAt8832">[2]Oper!$J$3632</definedName>
    <definedName name="_OAt8833">[2]Oper!$J$3797</definedName>
    <definedName name="_OAt8834">[2]Oper!$J$4292</definedName>
    <definedName name="_OAt8835">[2]Oper!$J$4457</definedName>
    <definedName name="_OAt88350">[2]Oper!$J$3962</definedName>
    <definedName name="_OAt8836">[2]Oper!$J$4622</definedName>
    <definedName name="_OAt8839">[2]Oper!$J$4127</definedName>
    <definedName name="_OAt8840">[2]Oper!$J$4952</definedName>
    <definedName name="_OAt88400">[2]Oper!$J$4787</definedName>
    <definedName name="_OAt8841">[2]Oper!$J$5117</definedName>
    <definedName name="_OAt8842">[2]Oper!$J$5282</definedName>
    <definedName name="_OAt8843">[2]Oper!$J$5447</definedName>
    <definedName name="_OAt8846">[2]Oper!$J$5612</definedName>
    <definedName name="_OAt8851">[2]Oper!$J$2477</definedName>
    <definedName name="_OAt8853">[2]Oper!$J$827</definedName>
    <definedName name="_OAt8859">[2]Oper!$J$2642</definedName>
    <definedName name="_OAt88700">[2]Oper!$J$332</definedName>
    <definedName name="_OAt88810">#REF!</definedName>
    <definedName name="_OAt88820">#REF!</definedName>
    <definedName name="_OAt88830">#REF!</definedName>
    <definedName name="_OAt88840">#REF!</definedName>
    <definedName name="_Order1" hidden="1">255</definedName>
    <definedName name="_Order2" hidden="1">255</definedName>
    <definedName name="_Parse_On" hidden="1">#REF!</definedName>
    <definedName name="_Parse_Out" hidden="1">#REF!</definedName>
    <definedName name="_pv1" localSheetId="9">#REF!</definedName>
    <definedName name="_pv1">#REF!</definedName>
    <definedName name="_pv2" localSheetId="9">#REF!</definedName>
    <definedName name="_pv2">#REF!</definedName>
    <definedName name="_pv3" localSheetId="9">#REF!</definedName>
    <definedName name="_pv3">#REF!</definedName>
    <definedName name="_PVC100">#REF!</definedName>
    <definedName name="_PVC150">#REF!</definedName>
    <definedName name="_PVC50">#REF!</definedName>
    <definedName name="_PVC75">#REF!</definedName>
    <definedName name="_RAc881">[2]Oper!$M$167</definedName>
    <definedName name="_RAc88100">[2]Oper!$M$497</definedName>
    <definedName name="_RAc8811">[2]Oper!$M$662</definedName>
    <definedName name="_RAc8812">[2]Oper!$M$1157</definedName>
    <definedName name="_RAc88150">[2]Oper!$M$992</definedName>
    <definedName name="_RAc882">#REF!</definedName>
    <definedName name="_RAc88200">[2]Oper!$M$2807</definedName>
    <definedName name="_RAc8821">[2]Oper!$M$1322</definedName>
    <definedName name="_RAc8822">[2]Oper!$M$1487</definedName>
    <definedName name="_RAc8823">[2]Oper!$M$1652</definedName>
    <definedName name="_RAc8824">[2]Oper!$M$1817</definedName>
    <definedName name="_RAc8825">[2]Oper!$M$1982</definedName>
    <definedName name="_RAc88250">[2]Oper!$M$2972</definedName>
    <definedName name="_RAc8826">[2]Oper!$M$2147</definedName>
    <definedName name="_RAc8827">[2]Oper!$M$2312</definedName>
    <definedName name="_RAc8830">[2]Oper!$M$3302</definedName>
    <definedName name="_RAc88300">[2]Oper!$M$3137</definedName>
    <definedName name="_RAc8831">[2]Oper!$M$3467</definedName>
    <definedName name="_RAc8832">[2]Oper!$M$3632</definedName>
    <definedName name="_RAc8833">[2]Oper!$M$3797</definedName>
    <definedName name="_RAc8834">[2]Oper!$M$4292</definedName>
    <definedName name="_RAc8835">[2]Oper!$M$4457</definedName>
    <definedName name="_RAc88350">[2]Oper!$M$3962</definedName>
    <definedName name="_RAc8836">[2]Oper!$M$4622</definedName>
    <definedName name="_RAc8839">[2]Oper!$M$4127</definedName>
    <definedName name="_RAc8840">[2]Oper!$M$4952</definedName>
    <definedName name="_RAc88400">[2]Oper!$M$4787</definedName>
    <definedName name="_RAc8841">[2]Oper!$M$5117</definedName>
    <definedName name="_RAc8842">[2]Oper!$M$5282</definedName>
    <definedName name="_RAc8843">[2]Oper!$M$5447</definedName>
    <definedName name="_RAc8846">[2]Oper!$M$5612</definedName>
    <definedName name="_RAc8851">[2]Oper!$M$2477</definedName>
    <definedName name="_RAc8853">[2]Oper!$M$827</definedName>
    <definedName name="_RAc8859">[2]Oper!$M$2642</definedName>
    <definedName name="_RAc88700">[2]Oper!$M$332</definedName>
    <definedName name="_RAc88810">#REF!</definedName>
    <definedName name="_RAc88820">#REF!</definedName>
    <definedName name="_RAc88830">#REF!</definedName>
    <definedName name="_RAc88840">#REF!</definedName>
    <definedName name="_RAc88850">#REF!</definedName>
    <definedName name="_RAt881">[2]Oper!$I$167</definedName>
    <definedName name="_RAt88100">[2]Oper!$I$497</definedName>
    <definedName name="_RAt8811">[2]Oper!$I$662</definedName>
    <definedName name="_RAt8812">[2]Oper!$I$1157</definedName>
    <definedName name="_RAt88150">[2]Oper!$I$992</definedName>
    <definedName name="_RAt882">#REF!</definedName>
    <definedName name="_RAt88200">[2]Oper!$I$2807</definedName>
    <definedName name="_RAt8821">[2]Oper!$I$1322</definedName>
    <definedName name="_RAt8822">[2]Oper!$I$1487</definedName>
    <definedName name="_RAt8823">[2]Oper!$I$1652</definedName>
    <definedName name="_RAt8824">[2]Oper!$I$1817</definedName>
    <definedName name="_RAt8825">[2]Oper!$I$1982</definedName>
    <definedName name="_RAt88250">[2]Oper!$I$2972</definedName>
    <definedName name="_RAt8826">[2]Oper!$I$2147</definedName>
    <definedName name="_RAt8827">[2]Oper!$I$2312</definedName>
    <definedName name="_RAt8830">[2]Oper!$I$3302</definedName>
    <definedName name="_RAt88300">[2]Oper!$I$3137</definedName>
    <definedName name="_RAt8831">[2]Oper!$I$3467</definedName>
    <definedName name="_RAt8832">[2]Oper!$I$3632</definedName>
    <definedName name="_RAt8833">[2]Oper!$I$3797</definedName>
    <definedName name="_RAt8834">[2]Oper!$I$4292</definedName>
    <definedName name="_RAt8835">[2]Oper!$I$4457</definedName>
    <definedName name="_RAt88350">[2]Oper!$I$3962</definedName>
    <definedName name="_RAt8836">[2]Oper!$I$4622</definedName>
    <definedName name="_RAt8839">[2]Oper!$I$4127</definedName>
    <definedName name="_RAt8840">[2]Oper!$I$4952</definedName>
    <definedName name="_RAt88400">[2]Oper!$I$4787</definedName>
    <definedName name="_RAt8841">[2]Oper!$I$5117</definedName>
    <definedName name="_RAt8842">[2]Oper!$I$5282</definedName>
    <definedName name="_RAt8843">[2]Oper!$I$5447</definedName>
    <definedName name="_RAt8846">[2]Oper!$I$5612</definedName>
    <definedName name="_RAt8851">[2]Oper!$I$2477</definedName>
    <definedName name="_RAt8853">[2]Oper!$I$827</definedName>
    <definedName name="_RAt8859">[2]Oper!$I$2642</definedName>
    <definedName name="_RAt88700">[2]Oper!$I$332</definedName>
    <definedName name="_RAt88810">#REF!</definedName>
    <definedName name="_RAt88820">#REF!</definedName>
    <definedName name="_RAt88830">#REF!</definedName>
    <definedName name="_RAt88840">#REF!</definedName>
    <definedName name="_RAt88850">#REF!</definedName>
    <definedName name="_Report">"Print All"</definedName>
    <definedName name="_REV5" localSheetId="9">#REF!</definedName>
    <definedName name="_REV5">#REF!</definedName>
    <definedName name="_Sam" localSheetId="9" hidden="1">#REF!</definedName>
    <definedName name="_Sam" hidden="1">#REF!</definedName>
    <definedName name="_Ser200506" localSheetId="9">#REF!</definedName>
    <definedName name="_Ser200506">#REF!</definedName>
    <definedName name="_Ser200705">#REF!</definedName>
    <definedName name="_Ser200712">#REF!</definedName>
    <definedName name="_Ser201104">#REF!</definedName>
    <definedName name="_Sort" hidden="1">#REF!</definedName>
    <definedName name="_Table1_In1" hidden="1">'[6]DCF Assumptions'!$G$41</definedName>
    <definedName name="_Table1_Out" hidden="1">'[6]PV Calcs'!$Q$10:$R$23</definedName>
    <definedName name="_Table2_In1" hidden="1">'[6]DCF Assumptions'!$G$41</definedName>
    <definedName name="_Table2_In2" hidden="1">'[6]DCF Assumptions'!$K$35</definedName>
    <definedName name="_TR2" localSheetId="9">#REF!</definedName>
    <definedName name="_TR2">#REF!</definedName>
    <definedName name="_TR5" localSheetId="9">#REF!</definedName>
    <definedName name="_TR5">#REF!</definedName>
    <definedName name="_VBF1">#REF!</definedName>
    <definedName name="_VE1">#REF!</definedName>
    <definedName name="_VO1">#REF!</definedName>
    <definedName name="_VR1">#REF!</definedName>
    <definedName name="_x1" hidden="1">{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name="a" localSheetId="9">#REF!</definedName>
    <definedName name="a">#REF!</definedName>
    <definedName name="A__1">#REF!</definedName>
    <definedName name="A__1_1">#REF!</definedName>
    <definedName name="A__2">#REF!</definedName>
    <definedName name="A__2_1">#REF!</definedName>
    <definedName name="A__3">#REF!</definedName>
    <definedName name="A__3_1">#REF!</definedName>
    <definedName name="A__4">#REF!</definedName>
    <definedName name="A__4_1">#REF!</definedName>
    <definedName name="A__5">#REF!</definedName>
    <definedName name="A__5_1">#REF!</definedName>
    <definedName name="A__6">#REF!</definedName>
    <definedName name="A__6_1">#REF!</definedName>
    <definedName name="A_1">#REF!</definedName>
    <definedName name="A_1_1">#REF!</definedName>
    <definedName name="A_2">#REF!</definedName>
    <definedName name="A_2_1">#REF!</definedName>
    <definedName name="A_3">#REF!</definedName>
    <definedName name="A_3_1">#REF!</definedName>
    <definedName name="A010160100" localSheetId="9">'[7]DADOS COLETATO'!$L$9</definedName>
    <definedName name="A010160100">#REF!</definedName>
    <definedName name="A010505000" localSheetId="9">'[7]DADOS COLETATO'!$L$10</definedName>
    <definedName name="A010505000">#REF!</definedName>
    <definedName name="A020200010" localSheetId="9">'[7]DADOS COLETATO'!$L$11</definedName>
    <definedName name="A020200010">#REF!</definedName>
    <definedName name="A020200080" localSheetId="9">'[7]DADOS COLETATO'!$L$12</definedName>
    <definedName name="A020200080">#REF!</definedName>
    <definedName name="A03.020.0851" localSheetId="9">'[7]DADOS COLETATO'!$L$23</definedName>
    <definedName name="A03.020.0851">#REF!</definedName>
    <definedName name="A030130010" localSheetId="9">'[7]DADOS COLETATO'!$L$13</definedName>
    <definedName name="A030130010">#REF!</definedName>
    <definedName name="A030130011" localSheetId="9">'[7]DADOS COLETATO'!$L$14</definedName>
    <definedName name="A030130011">#REF!</definedName>
    <definedName name="A030160501" localSheetId="9">'[7]DADOS COLETATO'!$L$15</definedName>
    <definedName name="A030160501">#REF!</definedName>
    <definedName name="A030250100" localSheetId="9">'[7]DADOS COLETATO'!$L$16</definedName>
    <definedName name="A030250100">#REF!</definedName>
    <definedName name="A040050130" localSheetId="9">'[7]DADOS COLETATO'!$L$17</definedName>
    <definedName name="A040050130">#REF!</definedName>
    <definedName name="A040110511" localSheetId="9">'[7]DADOS COLETATO'!$L$18</definedName>
    <definedName name="A040110511">#REF!</definedName>
    <definedName name="A050150050" localSheetId="9">'[7]DADOS COLETATO'!$L$19</definedName>
    <definedName name="A050150050">#REF!</definedName>
    <definedName name="A050200140" localSheetId="9">'[7]DADOS COLETATO'!$L$20</definedName>
    <definedName name="A050200140">#REF!</definedName>
    <definedName name="A050210050" localSheetId="9">'[7]DADOS COLETATO'!$L$21</definedName>
    <definedName name="A050210050">#REF!</definedName>
    <definedName name="A050210100" localSheetId="9">'[7]DADOS COLETATO'!$L$22</definedName>
    <definedName name="A050210100">#REF!</definedName>
    <definedName name="A050210750" localSheetId="9">'[7]DADOS COLETATO'!$O$9</definedName>
    <definedName name="A050210750">#REF!</definedName>
    <definedName name="a06.004.0320" localSheetId="9">'[7]DADOS COLETATO'!$O$23</definedName>
    <definedName name="a06.004.0320">#REF!</definedName>
    <definedName name="A060030500" localSheetId="9">'[7]DADOS COLETATO'!$O$10</definedName>
    <definedName name="A060030500">#REF!</definedName>
    <definedName name="A060040300" localSheetId="9">'[7]DADOS COLETATO'!$O$11</definedName>
    <definedName name="A060040300">#REF!</definedName>
    <definedName name="A060140120" localSheetId="9">'[7]DADOS COLETATO'!$O$12</definedName>
    <definedName name="A060140120">#REF!</definedName>
    <definedName name="A060160120" localSheetId="9">'[7]DADOS COLETATO'!$O$13</definedName>
    <definedName name="A060160120">#REF!</definedName>
    <definedName name="A060160410" localSheetId="9">'[7]DADOS COLETATO'!$O$14</definedName>
    <definedName name="A060160410">#REF!</definedName>
    <definedName name="A080010030" localSheetId="9">'[7]DADOS COLETATO'!$O$15</definedName>
    <definedName name="A080010030">#REF!</definedName>
    <definedName name="A080150100" localSheetId="9">'[7]DADOS COLETATO'!$O$16</definedName>
    <definedName name="A080150100">#REF!</definedName>
    <definedName name="A080270120" localSheetId="9">'[7]DADOS COLETATO'!$O$17</definedName>
    <definedName name="A080270120">#REF!</definedName>
    <definedName name="A150010310" localSheetId="9">'[7]DADOS COLETATO'!$O$18</definedName>
    <definedName name="A150010310">#REF!</definedName>
    <definedName name="A200040031" localSheetId="9">'[7]DADOS COLETATO'!$O$19</definedName>
    <definedName name="A200040031">#REF!</definedName>
    <definedName name="A200090011" localSheetId="9">'[7]DADOS COLETATO'!$O$20</definedName>
    <definedName name="A200090011">#REF!</definedName>
    <definedName name="A200280200" localSheetId="9">'[7]DADOS COLETATO'!$O$21</definedName>
    <definedName name="A200280200">#REF!</definedName>
    <definedName name="aa" localSheetId="9">#REF!</definedName>
    <definedName name="aa">#REF!</definedName>
    <definedName name="aaa" localSheetId="8"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aaa" localSheetId="9">#REF!</definedName>
    <definedName name="aaa">#REF!</definedName>
    <definedName name="AAA_DOCTOPS" hidden="1">"AAA_SET"</definedName>
    <definedName name="AAA_duser" hidden="1">"OFF"</definedName>
    <definedName name="aaaa" localSheetId="9">#REF!</definedName>
    <definedName name="AAAA">#REF!</definedName>
    <definedName name="AAAAA" localSheetId="8" hidden="1">{"VENTAS1",#N/A,FALSE,"VENTAS";"VENTAS2",#N/A,FALSE,"VENTAS";"VENTAS3",#N/A,FALSE,"VENTAS";"VENTAS4",#N/A,FALSE,"VENTAS";"VENTAS5",#N/A,FALSE,"VENTAS";"VENTAS6",#N/A,FALSE,"VENTAS";"VENTAS7",#N/A,FALSE,"VENTAS";"VENTAS8",#N/A,FALSE,"VENTAS"}</definedName>
    <definedName name="aaaaa" localSheetId="9">#REF!</definedName>
    <definedName name="aaaaa">#REF!</definedName>
    <definedName name="aaaaaa2">#REF!,#REF!</definedName>
    <definedName name="AAAAAAA">#REF!</definedName>
    <definedName name="AAAAAAAA">#REF!,#REF!</definedName>
    <definedName name="aaaaaaaaa">#REF!</definedName>
    <definedName name="aaaaaaaaaaa">#REF!,#REF!</definedName>
    <definedName name="aaaaaaaaaaaaaaaaaaaaaaaaaaaaaaaa" localSheetId="9">#REF!</definedName>
    <definedName name="aaaaaaaaaaaaaaaaaaaaaaaaaaaaaaaa">#REF!</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br">#REF!</definedName>
    <definedName name="Abr02_Cred">[8]Dados!$P$1:$P$65536</definedName>
    <definedName name="Abr02_Deb">[8]Dados!$O$1:$O$65536</definedName>
    <definedName name="Abrigo_moto_gerador_consulta" localSheetId="9">#REF!</definedName>
    <definedName name="Abrigo_moto_gerador_consulta">#REF!</definedName>
    <definedName name="acabamento">#REF!</definedName>
    <definedName name="ACABAMENTO___FERREIRA_ARAÚJO">#REF!</definedName>
    <definedName name="AcAntAbr">[9]anterior!$AB$1:$AB$65536</definedName>
    <definedName name="AcAntAgo">[9]anterior!$AF$1:$AF$65536</definedName>
    <definedName name="AcAntDez">[9]anterior!$AJ$1:$AJ$65536</definedName>
    <definedName name="AcAntFev">[9]anterior!$Z$1:$Z$65536</definedName>
    <definedName name="AcAntJan">[10]anterior!$Y$1:$Y$65536</definedName>
    <definedName name="AcAntJul">[9]anterior!$AE$1:$AE$65536</definedName>
    <definedName name="AcAntJun">[9]anterior!$AD$1:$AD$65536</definedName>
    <definedName name="AcAntMai">[9]anterior!$AC$1:$AC$65536</definedName>
    <definedName name="AcAntMar">[9]anterior!$AA$1:$AA$65536</definedName>
    <definedName name="AcAntNov">[9]anterior!$AI$1:$AI$65536</definedName>
    <definedName name="AcAntOut">[9]anterior!$AH$1:$AH$65536</definedName>
    <definedName name="AcAntSet">[9]anterior!$AG$1:$AG$65536</definedName>
    <definedName name="Account_breakdowns">[11]Index!$A$69:$E$86</definedName>
    <definedName name="accts_unit">[12]Summary!$L$53</definedName>
    <definedName name="Acesso_Estacao_01" localSheetId="9">#REF!</definedName>
    <definedName name="Acesso_Estacao_01">#REF!</definedName>
    <definedName name="AcFoAbr">[9]forecast!$W$1:$W$65536</definedName>
    <definedName name="AcFoAgo">[9]forecast!$AA$1:$AA$65536</definedName>
    <definedName name="AcFoDez">[9]forecast!$AE$1:$AE$65536</definedName>
    <definedName name="AcFoFev">[9]forecast!$U$1:$U$65536</definedName>
    <definedName name="AcFoJan">[9]forecast!$T$1:$T$65536</definedName>
    <definedName name="AcFoJul">[9]forecast!$Z$1:$Z$65536</definedName>
    <definedName name="AcFoJun">[9]forecast!$Y$1:$Y$65536</definedName>
    <definedName name="AcFoMai">[9]forecast!$X$1:$X$65536</definedName>
    <definedName name="AcFoMar">[9]forecast!$V$1:$V$65536</definedName>
    <definedName name="AcFoNov">[9]forecast!$AD$1:$AD$65536</definedName>
    <definedName name="AcFoOut">[9]forecast!$AC$1:$AC$65536</definedName>
    <definedName name="AcFoSet">[9]forecast!$AB$1:$AB$65536</definedName>
    <definedName name="AcOrAbr">[9]orçamento!$W$1:$W$65536</definedName>
    <definedName name="AcOrAgo">[9]orçamento!$AA$1:$AA$65536</definedName>
    <definedName name="AcOrDez">[10]orçamento!$AE$1:$AE$65536</definedName>
    <definedName name="AcOrFev">[9]orçamento!$U$1:$U$65536</definedName>
    <definedName name="AcOrJan">[10]orçamento!$T$1:$T$65536</definedName>
    <definedName name="AcOrJul">[9]orçamento!$Z$1:$Z$65536</definedName>
    <definedName name="AcOrJun">[9]orçamento!$Y$1:$Y$65536</definedName>
    <definedName name="AcOrMai">[9]orçamento!$X$1:$X$65536</definedName>
    <definedName name="AcOrMar">[9]orçamento!$V$1:$V$65536</definedName>
    <definedName name="AcOrNov">[9]orçamento!$AD$1:$AD$65536</definedName>
    <definedName name="AcOrOut">[9]orçamento!$AC$1:$AC$65536</definedName>
    <definedName name="AcOrSet">[9]orçamento!$AB$1:$AB$65536</definedName>
    <definedName name="AcPMR03">[13]Orcto!$BE$1:$BE$65536</definedName>
    <definedName name="AcReAbr">[9]atual!$AC$1:$AC$65536</definedName>
    <definedName name="AcReAgo">[9]atual!$AG$1:$AG$65536</definedName>
    <definedName name="AcReDez">[9]atual!$AK$1:$AK$65536</definedName>
    <definedName name="AcReFev">[9]atual!$AA$1:$AA$65536</definedName>
    <definedName name="AcReJan">[14]Atual!$AD$1:$AD$65536</definedName>
    <definedName name="AcReJul">[9]atual!$AF$1:$AF$65536</definedName>
    <definedName name="AcReJun">[9]atual!$AE$1:$AE$65536</definedName>
    <definedName name="AcReMa">#REF!</definedName>
    <definedName name="AcReMAi">[9]atual!$AD$1:$AD$65536</definedName>
    <definedName name="AcReMar">[9]atual!$AB$1:$AB$65536</definedName>
    <definedName name="AcReNov">[9]atual!$AJ$1:$AJ$65536</definedName>
    <definedName name="AcReOut">[9]atual!$AI$1:$AI$65536</definedName>
    <definedName name="Acréscimo" localSheetId="9">#REF!</definedName>
    <definedName name="Acréscimo">#REF!</definedName>
    <definedName name="AcReSet">[9]atual!$AH$1:$AH$65536</definedName>
    <definedName name="Acum04">#REF!</definedName>
    <definedName name="ademir" hidden="1">{#N/A,#N/A,FALSE,"Cronograma";#N/A,#N/A,FALSE,"Cronogr. 2"}</definedName>
    <definedName name="adfv" localSheetId="9">#REF!</definedName>
    <definedName name="adfv">#REF!</definedName>
    <definedName name="ADM">#REF!</definedName>
    <definedName name="Administração" localSheetId="9">#REF!</definedName>
    <definedName name="Administração">#REF!</definedName>
    <definedName name="ADNOTURNO">[15]Base_folha!#REF!</definedName>
    <definedName name="ADUTORABUZIOS">'[16]Quadro II '!#REF!</definedName>
    <definedName name="ADUTORAMONTEALTOFIGUEIRA">'[16]Quadro II '!#REF!</definedName>
    <definedName name="ADUTORATAMOIOS">'[16]Quadro II '!#REF!</definedName>
    <definedName name="AG" localSheetId="9">#REF!</definedName>
    <definedName name="AG">#REF!</definedName>
    <definedName name="ago"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ajustevol">[17]Premissas!$B$112</definedName>
    <definedName name="ALT._CORTE" localSheetId="9">#REF!</definedName>
    <definedName name="ALT._CORTE">#REF!</definedName>
    <definedName name="ALT_ESCAV" localSheetId="9">#REF!</definedName>
    <definedName name="ALT_ESCAV">#REF!</definedName>
    <definedName name="ALTURA" localSheetId="9">#REF!</definedName>
    <definedName name="ALTURA">#REF!</definedName>
    <definedName name="alturadocorte" localSheetId="9">'[7]DADOS COLETATO'!$G$9</definedName>
    <definedName name="alturadocorte">#REF!</definedName>
    <definedName name="AMPLIACAOETESAOPEDRO">'[16]Quadro II '!#REF!</definedName>
    <definedName name="AnalisarAterro" localSheetId="9">#REF!</definedName>
    <definedName name="AnalisarAterro">#REF!</definedName>
    <definedName name="AnalisarCorte" localSheetId="9">#REF!</definedName>
    <definedName name="AnalisarCorte">#REF!</definedName>
    <definedName name="anos">[18]Plan1!$S$3:$S$8</definedName>
    <definedName name="anscount" hidden="1">1</definedName>
    <definedName name="antabr">[9]anterior!$L$1:$L$65536</definedName>
    <definedName name="antago">[9]anterior!$P$1:$P$65536</definedName>
    <definedName name="antdez">[9]anterior!$T$1:$T$65536</definedName>
    <definedName name="antfev">[9]anterior!$J$1:$J$65536</definedName>
    <definedName name="antjan">[10]anterior!$I$1:$I$65536</definedName>
    <definedName name="antjul">[9]anterior!$O$1:$O$65536</definedName>
    <definedName name="antjun">[9]anterior!$N$1:$N$65536</definedName>
    <definedName name="antmai">[9]anterior!$M$1:$M$65536</definedName>
    <definedName name="antmar">[9]anterior!$K$1:$K$65536</definedName>
    <definedName name="antnov">[9]anterior!$S$1:$S$65536</definedName>
    <definedName name="antout">[9]anterior!$R$1:$R$65536</definedName>
    <definedName name="antset">[9]anterior!$Q$1:$Q$65536</definedName>
    <definedName name="anuenio">[15]Base_folha!#REF!</definedName>
    <definedName name="ao" localSheetId="9">#REF!</definedName>
    <definedName name="ao">#REF!</definedName>
    <definedName name="ap">[19]FCF!$N$54</definedName>
    <definedName name="AP_">#REF!</definedName>
    <definedName name="APARENTE">#REF!</definedName>
    <definedName name="Application">'[11]1. Instellingen'!$B$20</definedName>
    <definedName name="AR">#REF!</definedName>
    <definedName name="_xlnm.Print_Area" localSheetId="11">ABC!$A$1:$I$759</definedName>
    <definedName name="_xlnm.Print_Area" localSheetId="12">'ABC INSUMO'!$A$2:$I$570</definedName>
    <definedName name="_xlnm.Print_Area" localSheetId="14">'ABC SERVIÇO'!$A$1:$I$245</definedName>
    <definedName name="_xlnm.Print_Area" localSheetId="15">ANALITICA!$A$1:$I$5536</definedName>
    <definedName name="_xlnm.Print_Area" localSheetId="8">'Anexo X - Planilha Orientativa'!$B$4:$D$4</definedName>
    <definedName name="_xlnm.Print_Area" localSheetId="16">CPU!$A$1:$E$13361</definedName>
    <definedName name="_xlnm.Print_Area" localSheetId="7">'CUSTO DIRETO'!#REF!</definedName>
    <definedName name="_xlnm.Print_Area" localSheetId="6">'CUSTO INDIRETO'!$B$1:$P$101</definedName>
    <definedName name="_xlnm.Print_Area" localSheetId="9">[20]Plan1!#REF!</definedName>
    <definedName name="_xlnm.Print_Area" localSheetId="10">PLANILHA!$A$1:$G$293</definedName>
    <definedName name="_xlnm.Print_Area">#REF!</definedName>
    <definedName name="Área_impressão_IM" localSheetId="8">[21]FICBIOM!$A$4:$I$43</definedName>
    <definedName name="Área_impressão_IM" localSheetId="6">#REF!</definedName>
    <definedName name="Área_impressão_IM" localSheetId="9">#REF!</definedName>
    <definedName name="Área_impressão_IM">#REF!</definedName>
    <definedName name="Arial">#REF!</definedName>
    <definedName name="ARN">#REF!</definedName>
    <definedName name="ARNALDO">#REF!</definedName>
    <definedName name="as">#REF!</definedName>
    <definedName name="AS2DocOpenMode" hidden="1">"AS2DocumentEdit"</definedName>
    <definedName name="AS2HasNoAutoHeaderFooter" hidden="1">" "</definedName>
    <definedName name="AS2ReportLS" hidden="1">1</definedName>
    <definedName name="AS2SyncStepLS" hidden="1">0</definedName>
    <definedName name="AS2VersionLS" hidden="1">300</definedName>
    <definedName name="asd">[22]Banco_Servico!$B$31215:$G$37389</definedName>
    <definedName name="asdfadsf">#REF!</definedName>
    <definedName name="ASFALTO">#REF!</definedName>
    <definedName name="ASFALTO_1">#REF!</definedName>
    <definedName name="Aterros" localSheetId="6">#REF!</definedName>
    <definedName name="Aterros">#REF!</definedName>
    <definedName name="Atualização">#REF!</definedName>
    <definedName name="au">#REF!</definedName>
    <definedName name="AUXILIAR">#N/A</definedName>
    <definedName name="b" localSheetId="6">#REF!</definedName>
    <definedName name="b">#REF!</definedName>
    <definedName name="balance">#REF!</definedName>
    <definedName name="balance_type">1</definedName>
    <definedName name="balanco">#REF!</definedName>
    <definedName name="BALANÇO">#REF!</definedName>
    <definedName name="BALASEO">#REF!</definedName>
    <definedName name="BALAUSOL">#REF!</definedName>
    <definedName name="BALCENTRO">#REF!</definedName>
    <definedName name="BALCORR">#REF!</definedName>
    <definedName name="BALCUYO">#REF!</definedName>
    <definedName name="baliecsa">#REF!</definedName>
    <definedName name="BALMANLIBA">#REF!</definedName>
    <definedName name="balnce">#REF!</definedName>
    <definedName name="BALSERVIAL">#REF!</definedName>
    <definedName name="BANCO" localSheetId="9">#REF!</definedName>
    <definedName name="BANCO">#REF!</definedName>
    <definedName name="BANCO_1_INSUMO">[23]Banco_Insumo!$B$17211:$F$27375</definedName>
    <definedName name="BANCO_1_SERVICO">[23]Banco_Servico!$B$28971:$G$35145</definedName>
    <definedName name="BANCO_10_SERVICO">[23]Banco_Servico!$B$99986:$G$107817</definedName>
    <definedName name="BANCO_2_INSUMO">[23]Banco_Insumo!$B$27377:$F$33760</definedName>
    <definedName name="BANCO_2_SERVICO">[23]Banco_Servico!$B$35147:$G$42978</definedName>
    <definedName name="BANCO_3_INSUMO">[23]Banco_Insumo!$B$33762:$F$40558</definedName>
    <definedName name="BANCO_3_SERVICO">[23]Banco_Servico!$B$42980:$G$54315</definedName>
    <definedName name="BANCO_4_INSUMO">[23]Banco_Insumo!$B$40560:$F$47995</definedName>
    <definedName name="BANCO_4_SERVICO">[23]Banco_Servico!$B$54316:$G$60825</definedName>
    <definedName name="BANCO_5_SERVICO">[23]Banco_Servico!$B$60826:$G$68657</definedName>
    <definedName name="BANCO_6_SERVICO">[23]Banco_Servico!$B$68658:$G$76489</definedName>
    <definedName name="BANCO_7_SERVICO">[23]Banco_Servico!$B$76490:$G$84321</definedName>
    <definedName name="BANCO_8_SERVICO">[23]Banco_Servico!$B$84322:$G$92153</definedName>
    <definedName name="BANCO_9_SERVICO">[23]Banco_Servico!$B$92154:$G$99985</definedName>
    <definedName name="Database" localSheetId="8">#REF!</definedName>
    <definedName name="Database" localSheetId="6">#REF!</definedName>
    <definedName name="Database" localSheetId="9">#REF!</definedName>
    <definedName name="Database">#REF!</definedName>
    <definedName name="Banco_de_dadoss">#REF!</definedName>
    <definedName name="BaseYear">[24]Controls!$C$13</definedName>
    <definedName name="BASICO" localSheetId="6">#REF!</definedName>
    <definedName name="BASICO" localSheetId="9">#REF!</definedName>
    <definedName name="BASICO">#REF!</definedName>
    <definedName name="bb">#REF!</definedName>
    <definedName name="BBB">#REF!,#REF!</definedName>
    <definedName name="BBBB">#REF!,#REF!</definedName>
    <definedName name="BCODADOS">[25]Plan1!$A$8:$G$278</definedName>
    <definedName name="BDI" localSheetId="8">#REF!</definedName>
    <definedName name="BDI" localSheetId="9">#REF!</definedName>
    <definedName name="BDI">#REF!</definedName>
    <definedName name="BDI.Opcao" hidden="1">[26]DADOS!$F$18</definedName>
    <definedName name="BDI.TipoObra" hidden="1">[26]BDI!$A$138:$A$146</definedName>
    <definedName name="Begroting">[27]Parameters!$B$3</definedName>
    <definedName name="BF">#REF!</definedName>
    <definedName name="BF_1">#REF!</definedName>
    <definedName name="BG_Del" hidden="1">15</definedName>
    <definedName name="BG_Ins" hidden="1">4</definedName>
    <definedName name="BG_Mod" hidden="1">6</definedName>
    <definedName name="bhhgh">#REF!</definedName>
    <definedName name="Bidder">'[28]Base data'!$E$8</definedName>
    <definedName name="Bkrs">'[29]BU TV &amp; Ancillary'!$V$1</definedName>
    <definedName name="BLA" hidden="1">"SRVEXACT;030;marleen;0"</definedName>
    <definedName name="Blocking_rate">[30]Constants!$B$2</definedName>
    <definedName name="BLOCRET">#REF!</definedName>
    <definedName name="BLOCRET_1">#REF!</definedName>
    <definedName name="bonificação" localSheetId="9">#REF!</definedName>
    <definedName name="bonificação">#REF!</definedName>
    <definedName name="bosta" hidden="1">{#N/A,#N/A,FALSE,"Cronograma";#N/A,#N/A,FALSE,"Cronogr. 2"}</definedName>
    <definedName name="botafora" localSheetId="9">'[7]DADOS COLETATO'!$C$40</definedName>
    <definedName name="botafora">#REF!</definedName>
    <definedName name="BP" localSheetId="9">#REF!</definedName>
    <definedName name="BP">#REF!</definedName>
    <definedName name="Bradesco2">'[31]BRADESCO - 2ª'!$D$21:$T$63</definedName>
    <definedName name="Bradesco3">'[31]BRADESCO - SAMPCO (2)'!$D$21:$T$33</definedName>
    <definedName name="brita" localSheetId="9">'[7]DADOS COLETATO'!$G$10</definedName>
    <definedName name="brita">#REF!</definedName>
    <definedName name="bstc20" localSheetId="9">'[7]DADOS COLETATO'!$I$31</definedName>
    <definedName name="bstc20">#REF!</definedName>
    <definedName name="bstc40" localSheetId="9">'[7]DADOS COLETATO'!$I$30</definedName>
    <definedName name="bstc40">#REF!</definedName>
    <definedName name="bstc60" localSheetId="9">'[7]DADOS COLETATO'!$I$29</definedName>
    <definedName name="bstc60">#REF!</definedName>
    <definedName name="bstc80" localSheetId="9">'[7]DADOS COLETATO'!$I$28</definedName>
    <definedName name="bstc80">#REF!</definedName>
    <definedName name="BU_list">[11]Index!$A$43:$C$64</definedName>
    <definedName name="C_" localSheetId="9">#REF!</definedName>
    <definedName name="C_">#REF!</definedName>
    <definedName name="CA´L" hidden="1">{#N/A,#N/A,FALSE,"Cronograma";#N/A,#N/A,FALSE,"Cronogr. 2"}</definedName>
    <definedName name="CABEC" localSheetId="9">#REF!</definedName>
    <definedName name="CABEC">#REF!</definedName>
    <definedName name="Cabeçalho" localSheetId="9">#REF!</definedName>
    <definedName name="Cabeçalho">#REF!</definedName>
    <definedName name="Cadista_SABESP">#REF!</definedName>
    <definedName name="Caixa">'[4]CONSSID12-96'!#REF!</definedName>
    <definedName name="caixadecentro" localSheetId="9">'[7]DADOS COLETATO'!$C$28</definedName>
    <definedName name="caixadecentro">#REF!</definedName>
    <definedName name="calc">1</definedName>
    <definedName name="CalcularAgora" localSheetId="9">#REF!</definedName>
    <definedName name="CalcularAgora">#REF!</definedName>
    <definedName name="capex_driver">[32]Controls!$N$11</definedName>
    <definedName name="capina">#REF!</definedName>
    <definedName name="Casa_de_maquinas" localSheetId="9">#REF!</definedName>
    <definedName name="Casa_de_maquinas">#REF!</definedName>
    <definedName name="caseall">'[33]Control Panel'!$C$12</definedName>
    <definedName name="categorie_budget">[34]parameters!$B$12</definedName>
    <definedName name="categorie_estimate">[34]parameters!$B$9</definedName>
    <definedName name="categorie_lopend_jaar">[34]parameters!$B$8</definedName>
    <definedName name="categorie_vorig_jaar">[34]parameters!$B$11</definedName>
    <definedName name="Category">'[11]1. Instellingen'!$B$14</definedName>
    <definedName name="CBasica">#REF!</definedName>
    <definedName name="cbuq2">#REF!,#REF!</definedName>
    <definedName name="CBWorkbookPriority" hidden="1">-864555524</definedName>
    <definedName name="cc">#REF!</definedName>
    <definedName name="ccc">#REF!,#REF!</definedName>
    <definedName name="CCSET">'[35]Cargo CC Set'!$I$2:$BA$582</definedName>
    <definedName name="CDI">[36]DADOS!$A$1:$G$3766</definedName>
    <definedName name="Celulas_geral">[37]Resultado!$T$8:$AD$48</definedName>
    <definedName name="Celulas_mes">[37]Resultado!$X$8:$X$48</definedName>
    <definedName name="CENTROCUSTO">#REF!</definedName>
    <definedName name="CERCA" localSheetId="9">#REF!</definedName>
    <definedName name="CERCA">#REF!</definedName>
    <definedName name="Charges_OtherServices">'[38]Assump. '!$F$17:$N$17</definedName>
    <definedName name="Charges_VoiceMail">'[38]Assump. '!$F$15:$N$15</definedName>
    <definedName name="CI" localSheetId="9">#REF!</definedName>
    <definedName name="CI">#REF!</definedName>
    <definedName name="ciclopico">#REF!</definedName>
    <definedName name="ciclopico_1">#REF!</definedName>
    <definedName name="Cisterna_e_Castelo_d_agua_Consulta">#REF!</definedName>
    <definedName name="CLAYTON">#REF!</definedName>
    <definedName name="CLIENTE">#REF!</definedName>
    <definedName name="co">40</definedName>
    <definedName name="Code">[39]RetrieveParameters!$D$18</definedName>
    <definedName name="Codigos" localSheetId="9">#REF!</definedName>
    <definedName name="Codigos">#REF!</definedName>
    <definedName name="COEF_LINEAR" localSheetId="9">#REF!</definedName>
    <definedName name="COEF_LINEAR">#REF!</definedName>
    <definedName name="COMP._DA_CRUZETA" localSheetId="9">#REF!</definedName>
    <definedName name="COMP._DA_CRUZETA">#REF!</definedName>
    <definedName name="comp001101" localSheetId="9">'[40]assemblies A _ E'!$B$2108:$H$2111</definedName>
    <definedName name="comp001101">#REF!</definedName>
    <definedName name="comp001102" localSheetId="9">'[40]assemblies A _ E'!$B$2070:$H$2073</definedName>
    <definedName name="comp001102">#REF!</definedName>
    <definedName name="comp001103" localSheetId="9">'[41]assemblies L _ Q'!$B$633:$H$636</definedName>
    <definedName name="comp001103">#REF!</definedName>
    <definedName name="comp001201" localSheetId="9">'[41]assemblies L _ Q'!$B$426:$H$448</definedName>
    <definedName name="comp001201">#REF!</definedName>
    <definedName name="comp001202" localSheetId="9">'[41]assemblies L _ Q'!$B$450:$H$464</definedName>
    <definedName name="comp001202">#REF!</definedName>
    <definedName name="comp001301" localSheetId="9">'[41]assemblies L _ Q'!$B$466:$H$469</definedName>
    <definedName name="comp001301">#REF!</definedName>
    <definedName name="comp002201" localSheetId="9">'[42]assemblies R _ Z'!$B$834:$H$837</definedName>
    <definedName name="comp002201">#REF!</definedName>
    <definedName name="comp010102" localSheetId="9">'[41]assemblies L _ Q'!$B$2205:$H$2208</definedName>
    <definedName name="comp010102">#REF!</definedName>
    <definedName name="comp010103" localSheetId="9">'[41]assemblies L _ Q'!$B$2210:$H$2213</definedName>
    <definedName name="comp010103">#REF!</definedName>
    <definedName name="comp010104" localSheetId="9">'[41]assemblies L _ Q'!$B$2215:$H$2218</definedName>
    <definedName name="comp010104">#REF!</definedName>
    <definedName name="comp010105" localSheetId="9">'[41]assemblies L _ Q'!$B$2220:$H$2223</definedName>
    <definedName name="comp010105">#REF!</definedName>
    <definedName name="comp010111" localSheetId="9">'[41]assemblies L _ Q'!$B$1335:$H$1346</definedName>
    <definedName name="comp010111">#REF!</definedName>
    <definedName name="comp010113" localSheetId="9">'[41]assemblies L _ Q'!$B$1348:$H$1359</definedName>
    <definedName name="comp010113">#REF!</definedName>
    <definedName name="comp010121" localSheetId="9">'[42]assemblies R _ Z'!$B$940:$H$951</definedName>
    <definedName name="comp010121">#REF!</definedName>
    <definedName name="comp010151" localSheetId="9">'[41]assemblies L _ Q'!$B$490:$H$493</definedName>
    <definedName name="comp010151">#REF!</definedName>
    <definedName name="comp010152" localSheetId="9">'[40]assemblies A _ E'!$B$1696:$H$1699</definedName>
    <definedName name="comp010152">#REF!</definedName>
    <definedName name="comp010153" localSheetId="9">'[42]assemblies R _ Z'!$B$66:$H$69</definedName>
    <definedName name="comp010153">#REF!</definedName>
    <definedName name="comp010154" localSheetId="9">'[41]assemblies L _ Q'!$B$476:$H$479</definedName>
    <definedName name="comp010154">#REF!</definedName>
    <definedName name="comp010155" localSheetId="9">'[41]assemblies L _ Q'!$B$471:$H$474</definedName>
    <definedName name="comp010155">#REF!</definedName>
    <definedName name="comp010156" localSheetId="9">'[40]assemblies A _ E'!$B$1930:$H$1938</definedName>
    <definedName name="comp010156">#REF!</definedName>
    <definedName name="comp010157" localSheetId="9">'[42]assemblies R _ Z'!$B$667:$H$670</definedName>
    <definedName name="comp010157">#REF!</definedName>
    <definedName name="comp010158" localSheetId="9">'[40]assemblies A _ E'!$B$1945:$H$1948</definedName>
    <definedName name="comp010158">#REF!</definedName>
    <definedName name="comp010159" localSheetId="9">'[41]assemblies L _ Q'!$B$2265:$H$2268</definedName>
    <definedName name="comp010159">#REF!</definedName>
    <definedName name="comp010160" localSheetId="9">'[40]assemblies A _ E'!$B$345:$H$352</definedName>
    <definedName name="comp010160">#REF!</definedName>
    <definedName name="comp010161" localSheetId="9">'[41]assemblies L _ Q'!$B$481:$H$488</definedName>
    <definedName name="comp010161">#REF!</definedName>
    <definedName name="comp010201" localSheetId="9">'[40]assemblies A _ E'!$B$1783:$H$1787</definedName>
    <definedName name="comp010201">#REF!</definedName>
    <definedName name="comp010202" localSheetId="9">'[40]assemblies A _ E'!$B$1789:$H$1793</definedName>
    <definedName name="comp010202">#REF!</definedName>
    <definedName name="comp010203" localSheetId="9">'[40]assemblies A _ E'!$B$1812:$H$1816</definedName>
    <definedName name="comp010203">#REF!</definedName>
    <definedName name="comp010204" localSheetId="9">'[40]assemblies A _ E'!$B$1847:$H$1851</definedName>
    <definedName name="comp010204">#REF!</definedName>
    <definedName name="comp010205" localSheetId="9">'[40]assemblies A _ E'!$B$1818:$H$1827</definedName>
    <definedName name="comp010205">#REF!</definedName>
    <definedName name="comp010206" localSheetId="9">'[40]assemblies A _ E'!$B$1835:$H$1839</definedName>
    <definedName name="comp010206">#REF!</definedName>
    <definedName name="comp010207" localSheetId="9">'[40]assemblies A _ E'!$B$1841:$H$1845</definedName>
    <definedName name="comp010207">#REF!</definedName>
    <definedName name="comp010208" localSheetId="9">'[40]assemblies A _ E'!$B$1853:$H$1857</definedName>
    <definedName name="comp010208">#REF!</definedName>
    <definedName name="comp010209" localSheetId="9">'[40]assemblies A _ E'!$B$1859:$H$1863</definedName>
    <definedName name="comp010209">#REF!</definedName>
    <definedName name="comp010210" localSheetId="9">'[40]assemblies A _ E'!$B$1871:$H$1875</definedName>
    <definedName name="comp010210">#REF!</definedName>
    <definedName name="comp010211" localSheetId="9">'[40]assemblies A _ E'!$B$1877:$H$1880</definedName>
    <definedName name="comp010211">#REF!</definedName>
    <definedName name="comp010212" localSheetId="9">'[40]assemblies A _ E'!$B$1882:$H$1886</definedName>
    <definedName name="comp010212">#REF!</definedName>
    <definedName name="comp010213" localSheetId="9">'[40]assemblies A _ E'!$B$1888:$H$1892</definedName>
    <definedName name="comp010213">#REF!</definedName>
    <definedName name="comp010214" localSheetId="9">'[40]assemblies A _ E'!$B$1894:$H$1898</definedName>
    <definedName name="comp010214">#REF!</definedName>
    <definedName name="comp010215" localSheetId="9">'[40]assemblies A _ E'!$B$1900:$H$1904</definedName>
    <definedName name="comp010215">#REF!</definedName>
    <definedName name="comp010216" localSheetId="9">'[40]assemblies A _ E'!$B$1906:$H$1910</definedName>
    <definedName name="comp010216">#REF!</definedName>
    <definedName name="comp010217" localSheetId="9">'[40]assemblies A _ E'!$B$1912:$H$1916</definedName>
    <definedName name="comp010217">#REF!</definedName>
    <definedName name="comp010218" localSheetId="9">'[40]assemblies A _ E'!$B$1918:$H$1922</definedName>
    <definedName name="comp010218">#REF!</definedName>
    <definedName name="comp010219" localSheetId="9">'[40]assemblies A _ E'!$B$1924:$H$1928</definedName>
    <definedName name="comp010219">#REF!</definedName>
    <definedName name="comp010220" localSheetId="9">'[40]assemblies A _ E'!$B$1940:$H$1943</definedName>
    <definedName name="comp010220">#REF!</definedName>
    <definedName name="comp010221" localSheetId="9">'[40]assemblies A _ E'!$B$1775:$H$1781</definedName>
    <definedName name="comp010221">#REF!</definedName>
    <definedName name="comp010222" localSheetId="9">'[40]assemblies A _ E'!$B$1800:$H$1804</definedName>
    <definedName name="comp010222">#REF!</definedName>
    <definedName name="comp010223" localSheetId="9">'[40]assemblies A _ E'!$B$1795:$H$1798</definedName>
    <definedName name="comp010223">#REF!</definedName>
    <definedName name="comp010224" localSheetId="9">'[40]assemblies A _ E'!$B$1806:$H$1810</definedName>
    <definedName name="comp010224">#REF!</definedName>
    <definedName name="comp010225" localSheetId="9">'[40]assemblies A _ E'!$B$1829:$H$1833</definedName>
    <definedName name="comp010225">#REF!</definedName>
    <definedName name="comp010226" localSheetId="9">'[42]assemblies R _ Z'!$B$439:$H$442</definedName>
    <definedName name="comp010226">#REF!</definedName>
    <definedName name="comp010227" localSheetId="9">'[40]assemblies A _ E'!$B$1865:$H$1869</definedName>
    <definedName name="comp010227">#REF!</definedName>
    <definedName name="comp010228" localSheetId="9">'[42]assemblies R _ Z'!$B$444:$H$448</definedName>
    <definedName name="comp010228">#REF!</definedName>
    <definedName name="comp010301" localSheetId="9">'[41]assemblies L _ Q'!$B$516:$H$527</definedName>
    <definedName name="comp010301">#REF!</definedName>
    <definedName name="comp020001" localSheetId="9">'[40]assemblies A _ E'!$B$1980:$H$1983</definedName>
    <definedName name="comp020001">#REF!</definedName>
    <definedName name="comp020011" localSheetId="9">'[42]assemblies R _ Z'!$B$849:$H$861</definedName>
    <definedName name="comp020011">#REF!</definedName>
    <definedName name="comp020101" localSheetId="9">'[40]assemblies A _ E'!$B$2270:$H$2273</definedName>
    <definedName name="comp020101">#REF!</definedName>
    <definedName name="comp020102" localSheetId="9">'[40]assemblies A _ E'!$B$2275:$H$2278</definedName>
    <definedName name="comp020102">#REF!</definedName>
    <definedName name="comp020103" localSheetId="9">'[40]assemblies A _ E'!$B$2280:$H$2283</definedName>
    <definedName name="comp020103">#REF!</definedName>
    <definedName name="comp020104" localSheetId="9">'[40]assemblies A _ E'!$B$2285:$H$2288</definedName>
    <definedName name="comp020104">#REF!</definedName>
    <definedName name="comp020105" localSheetId="9">'[40]assemblies A _ E'!$B$2290:$H$2293</definedName>
    <definedName name="comp020105">#REF!</definedName>
    <definedName name="comp020106" localSheetId="9">'[40]assemblies A _ E'!$B$2295:$H$2298</definedName>
    <definedName name="comp020106">#REF!</definedName>
    <definedName name="comp020111" localSheetId="9">'[40]assemblies A _ E'!$B$2264:$H$2268</definedName>
    <definedName name="comp020111">#REF!</definedName>
    <definedName name="comp020121" localSheetId="9">'[40]assemblies A _ E'!$B$2491:$H$2502</definedName>
    <definedName name="comp020121">#REF!</definedName>
    <definedName name="comp020122" localSheetId="9">'[40]assemblies A _ E'!$B$2504:$H$2515</definedName>
    <definedName name="comp020122">#REF!</definedName>
    <definedName name="comp020125" localSheetId="9">'[40]assemblies A _ E'!$B$1585:$H$1588</definedName>
    <definedName name="comp020125">#REF!</definedName>
    <definedName name="comp020131" localSheetId="9">'[40]assemblies A _ E'!$B$2310:$H$2317</definedName>
    <definedName name="comp020131">#REF!</definedName>
    <definedName name="comp020132" localSheetId="9">'[40]assemblies A _ E'!$B$2319:$H$2326</definedName>
    <definedName name="comp020132">#REF!</definedName>
    <definedName name="comp020133" localSheetId="9">'[40]assemblies A _ E'!$B$2328:$H$2335</definedName>
    <definedName name="comp020133">#REF!</definedName>
    <definedName name="comp020134" localSheetId="9">'[40]assemblies A _ E'!$B$2337:$H$2344</definedName>
    <definedName name="comp020134">#REF!</definedName>
    <definedName name="comp020135" localSheetId="9">'[40]assemblies A _ E'!$B$2346:$H$2353</definedName>
    <definedName name="comp020135">#REF!</definedName>
    <definedName name="comp020136" localSheetId="9">'[40]assemblies A _ E'!$B$2355:$H$2362</definedName>
    <definedName name="comp020136">#REF!</definedName>
    <definedName name="comp020137" localSheetId="9">'[40]assemblies A _ E'!$B$2364:$H$2371</definedName>
    <definedName name="comp020137">#REF!</definedName>
    <definedName name="comp020138" localSheetId="9">'[40]assemblies A _ E'!$B$2373:$H$2393</definedName>
    <definedName name="comp020138">#REF!</definedName>
    <definedName name="comp020139" localSheetId="9">'[40]assemblies A _ E'!$B$2395:$H$2415</definedName>
    <definedName name="comp020139">#REF!</definedName>
    <definedName name="comp020140" localSheetId="9">'[40]assemblies A _ E'!$B$2417:$H$2437</definedName>
    <definedName name="comp020140">#REF!</definedName>
    <definedName name="comp020141" localSheetId="9">'[40]assemblies A _ E'!$B$2183:$H$2192</definedName>
    <definedName name="comp020141">#REF!</definedName>
    <definedName name="comp020142" localSheetId="9">'[40]assemblies A _ E'!$B$2305:$H$2308</definedName>
    <definedName name="comp020142">#REF!</definedName>
    <definedName name="comp020143" localSheetId="9">'[40]assemblies A _ E'!$B$2194:$H$2207</definedName>
    <definedName name="comp020143">#REF!</definedName>
    <definedName name="comp020144" localSheetId="9">'[40]assemblies A _ E'!$B$2222:$H$2232</definedName>
    <definedName name="comp020144">#REF!</definedName>
    <definedName name="comp020145" localSheetId="9">'[40]assemblies A _ E'!$B$2234:$H$2257</definedName>
    <definedName name="comp020145">#REF!</definedName>
    <definedName name="comp020146" localSheetId="9">'[40]assemblies A _ E'!$B$2300:$H$2303</definedName>
    <definedName name="comp020146">#REF!</definedName>
    <definedName name="comp020147" localSheetId="9">'[40]assemblies A _ E'!$B$2209:$H$2220</definedName>
    <definedName name="comp020147">#REF!</definedName>
    <definedName name="comp020151" localSheetId="9">'[42]assemblies R _ Z'!$B$1056:$H$1059</definedName>
    <definedName name="comp020151">#REF!</definedName>
    <definedName name="comp020152" localSheetId="9">'[42]assemblies R _ Z'!$B$1061:$H$1064</definedName>
    <definedName name="comp020152">#REF!</definedName>
    <definedName name="comp020153" localSheetId="9">'[42]assemblies R _ Z'!$B$1066:$H$1069</definedName>
    <definedName name="comp020153">#REF!</definedName>
    <definedName name="comp020154" localSheetId="9">'[42]assemblies R _ Z'!$B$1071:$H$1074</definedName>
    <definedName name="comp020154">#REF!</definedName>
    <definedName name="comp020155" localSheetId="9">'[42]assemblies R _ Z'!$B$1076:$H$1079</definedName>
    <definedName name="comp020155">#REF!</definedName>
    <definedName name="comp020156" localSheetId="9">'[41]assemblies L _ Q'!$B$638:$H$641</definedName>
    <definedName name="comp020156">#REF!</definedName>
    <definedName name="comp020161" localSheetId="9">'[40]assemblies A _ E'!$B$1394:$H$1402</definedName>
    <definedName name="comp020161">#REF!</definedName>
    <definedName name="comp020171" localSheetId="9">'[41]assemblies L _ Q'!$B$821:$H$824</definedName>
    <definedName name="comp020171">#REF!</definedName>
    <definedName name="comp020172" localSheetId="9">'[41]assemblies L _ Q'!$B$826:$H$829</definedName>
    <definedName name="comp020172">#REF!</definedName>
    <definedName name="comp020173" localSheetId="9">'[41]assemblies L _ Q'!$B$831:$H$834</definedName>
    <definedName name="comp020173">#REF!</definedName>
    <definedName name="comp020174" localSheetId="9">'[41]assemblies L _ Q'!$B$836:$H$839</definedName>
    <definedName name="comp020174">#REF!</definedName>
    <definedName name="comp020175" localSheetId="9">'[41]assemblies L _ Q'!$B$841:$H$844</definedName>
    <definedName name="comp020175">#REF!</definedName>
    <definedName name="comp020176" localSheetId="9">'[41]assemblies L _ Q'!$B$846:$H$849</definedName>
    <definedName name="comp020176">#REF!</definedName>
    <definedName name="comp020177" localSheetId="9">'[41]assemblies L _ Q'!$B$851:$H$854</definedName>
    <definedName name="comp020177">#REF!</definedName>
    <definedName name="comp020178" localSheetId="9">'[41]assemblies L _ Q'!$B$856:$H$859</definedName>
    <definedName name="comp020178">#REF!</definedName>
    <definedName name="comp020179" localSheetId="9">'[41]assemblies L _ Q'!$B$861:$H$864</definedName>
    <definedName name="comp020179">#REF!</definedName>
    <definedName name="comp020180" localSheetId="9">'[41]assemblies L _ Q'!$B$866:$H$869</definedName>
    <definedName name="comp020180">#REF!</definedName>
    <definedName name="comp020181" localSheetId="9">'[41]assemblies L _ Q'!$B$871:$H$874</definedName>
    <definedName name="comp020181">#REF!</definedName>
    <definedName name="comp020182" localSheetId="9">'[41]assemblies L _ Q'!$B$876:$H$879</definedName>
    <definedName name="comp020182">#REF!</definedName>
    <definedName name="comp020201" localSheetId="9">'[42]assemblies R _ Z'!$B$96:$H$100</definedName>
    <definedName name="comp020201">#REF!</definedName>
    <definedName name="comp020202" localSheetId="9">'[42]assemblies R _ Z'!$B$91:$H$94</definedName>
    <definedName name="comp020202">#REF!</definedName>
    <definedName name="comp020203" localSheetId="9">'[42]assemblies R _ Z'!$B$71:$H$78</definedName>
    <definedName name="comp020203">#REF!</definedName>
    <definedName name="comp020204" localSheetId="9">'[42]assemblies R _ Z'!$B$80:$H$84</definedName>
    <definedName name="comp020204">#REF!</definedName>
    <definedName name="comp020205" localSheetId="9">'[42]assemblies R _ Z'!$B$86:$H$89</definedName>
    <definedName name="comp020205">#REF!</definedName>
    <definedName name="comp020301" localSheetId="9">'[42]assemblies R _ Z'!$B$1050:$H$1054</definedName>
    <definedName name="comp020301">#REF!</definedName>
    <definedName name="comp020302" localSheetId="9">'[40]assemblies A _ E'!$B$647:$H$655</definedName>
    <definedName name="comp020302">#REF!</definedName>
    <definedName name="comp020303" localSheetId="9">'[40]assemblies A _ E'!$B$1580:$H$1583</definedName>
    <definedName name="comp020303">#REF!</definedName>
    <definedName name="comp020304" localSheetId="9">'[40]assemblies A _ E'!$B$680:$H$694</definedName>
    <definedName name="comp020304">#REF!</definedName>
    <definedName name="comp020305" localSheetId="9">'[40]assemblies A _ E'!$B$727:$H$737</definedName>
    <definedName name="comp020305">#REF!</definedName>
    <definedName name="comp020306" localSheetId="9">'[40]assemblies A _ E'!$B$657:$H$672</definedName>
    <definedName name="comp020306">#REF!</definedName>
    <definedName name="comp020307" localSheetId="9">'[40]assemblies A _ E'!$B$696:$H$715</definedName>
    <definedName name="comp020307">#REF!</definedName>
    <definedName name="comp020308" localSheetId="9">'[40]assemblies A _ E'!$B$674:$H$678</definedName>
    <definedName name="comp020308">#REF!</definedName>
    <definedName name="comp020309" localSheetId="9">'[40]assemblies A _ E'!$B$717:$H$725</definedName>
    <definedName name="comp020309">#REF!</definedName>
    <definedName name="comp020310" localSheetId="9">'[40]assemblies A _ E'!$B$1575:$H$1578</definedName>
    <definedName name="comp020310">#REF!</definedName>
    <definedName name="comp020321" localSheetId="9">'[42]assemblies R _ Z'!$B$422:$H$426</definedName>
    <definedName name="comp020321">#REF!</definedName>
    <definedName name="comp020331" localSheetId="9">'[42]assemblies R _ Z'!$B$637:$H$655</definedName>
    <definedName name="comp020331">#REF!</definedName>
    <definedName name="comp020341" localSheetId="9">'[40]assemblies A _ E'!$B$2113:$H$2137</definedName>
    <definedName name="comp020341">#REF!</definedName>
    <definedName name="comp020342" localSheetId="9">'[40]assemblies A _ E'!$B$2139:$H$2163</definedName>
    <definedName name="comp020342">#REF!</definedName>
    <definedName name="comp020351" localSheetId="9">'[40]assemblies A _ E'!$B$924:$H$942</definedName>
    <definedName name="comp020351">#REF!</definedName>
    <definedName name="comp020361" localSheetId="9">'[41]assemblies L _ Q'!$B$2225:$H$2233</definedName>
    <definedName name="comp020361">#REF!</definedName>
    <definedName name="comp020401" localSheetId="9">'[40]assemblies A _ E'!$B$153:$H$163</definedName>
    <definedName name="comp020401">#REF!</definedName>
    <definedName name="comp020402" localSheetId="9">'[40]assemblies A _ E'!$B$2040:$H$2051</definedName>
    <definedName name="comp020402">#REF!</definedName>
    <definedName name="comp020403" localSheetId="9">'[42]assemblies R _ Z'!$B$10:$H$28</definedName>
    <definedName name="comp020403">#REF!</definedName>
    <definedName name="comp020501" localSheetId="9">'[40]assemblies A _ E'!$B$1683:$H$1694</definedName>
    <definedName name="comp020501">#REF!</definedName>
    <definedName name="comp020502" localSheetId="9">'[40]assemblies A _ E'!$B$1665:$H$1681</definedName>
    <definedName name="comp020502">#REF!</definedName>
    <definedName name="comp020601" localSheetId="9">'[42]assemblies R _ Z'!$B$892:$H$904</definedName>
    <definedName name="comp020601">#REF!</definedName>
    <definedName name="comp020901" localSheetId="9">'[40]assemblies A _ E'!$B$969:$H$977</definedName>
    <definedName name="comp020901">#REF!</definedName>
    <definedName name="comp030101" localSheetId="9">'[43]assemblies F _ K'!$B$199:$H$211</definedName>
    <definedName name="comp030101">#REF!</definedName>
    <definedName name="comp030102" localSheetId="9">'[43]assemblies F _ K'!$B$213:$H$224</definedName>
    <definedName name="comp030102">#REF!</definedName>
    <definedName name="comp030103" localSheetId="9">'[43]assemblies F _ K'!$B$173:$H$186</definedName>
    <definedName name="comp030103">#REF!</definedName>
    <definedName name="comp030104" localSheetId="9">'[41]assemblies L _ Q'!$B$643:$H$647</definedName>
    <definedName name="comp030104">#REF!</definedName>
    <definedName name="comp030105" localSheetId="9">'[43]assemblies F _ K'!$B$262:$H$271</definedName>
    <definedName name="comp030105">#REF!</definedName>
    <definedName name="comp030106" localSheetId="9">'[43]assemblies F _ K'!$B$226:$H$236</definedName>
    <definedName name="comp030106">#REF!</definedName>
    <definedName name="comp030107" localSheetId="9">'[43]assemblies F _ K'!$B$188:$H$197</definedName>
    <definedName name="comp030107">#REF!</definedName>
    <definedName name="comp030108" localSheetId="9">'[43]assemblies F _ K'!$B$250:$H$260</definedName>
    <definedName name="comp030108">#REF!</definedName>
    <definedName name="comp030109" localSheetId="9">'[43]assemblies F _ K'!$B$238:$H$248</definedName>
    <definedName name="comp030109">#REF!</definedName>
    <definedName name="comp030204" localSheetId="9">'[40]assemblies A _ E'!$B$439:$H$448</definedName>
    <definedName name="comp030204">#REF!</definedName>
    <definedName name="comp030205" localSheetId="9">'[40]assemblies A _ E'!$B$461:$H$470</definedName>
    <definedName name="comp030205">#REF!</definedName>
    <definedName name="comp030206" localSheetId="9">'[40]assemblies A _ E'!$B$450:$H$459</definedName>
    <definedName name="comp030206">#REF!</definedName>
    <definedName name="comp030207" localSheetId="9">'[40]assemblies A _ E'!$B$472:$H$481</definedName>
    <definedName name="comp030207">#REF!</definedName>
    <definedName name="comp030209" localSheetId="9">'[40]assemblies A _ E'!$B$483:$H$491</definedName>
    <definedName name="comp030209">#REF!</definedName>
    <definedName name="comp030221" localSheetId="9">'[40]assemblies A _ E'!$B$336:$H$343</definedName>
    <definedName name="comp030221">#REF!</definedName>
    <definedName name="comp030301" localSheetId="9">'[41]assemblies L _ Q'!$B$1800:$H$1814</definedName>
    <definedName name="comp030301">#REF!</definedName>
    <definedName name="comp030302" localSheetId="9">'[41]assemblies L _ Q'!$B$1816:$H$1826</definedName>
    <definedName name="comp030302">#REF!</definedName>
    <definedName name="comp030303" localSheetId="9">'[41]assemblies L _ Q'!$B$1828:$H$1842</definedName>
    <definedName name="comp030303">#REF!</definedName>
    <definedName name="comp030304" localSheetId="9">'[41]assemblies L _ Q'!$B$1844:$H$1854</definedName>
    <definedName name="comp030304">#REF!</definedName>
    <definedName name="comp030305" localSheetId="9">'[41]assemblies L _ Q'!$B$1856:$H$1870</definedName>
    <definedName name="comp030305">#REF!</definedName>
    <definedName name="comp030306" localSheetId="9">'[41]assemblies L _ Q'!$B$1872:$H$1882</definedName>
    <definedName name="comp030306">#REF!</definedName>
    <definedName name="comp030307" localSheetId="9">'[41]assemblies L _ Q'!$B$1884:$H$1898</definedName>
    <definedName name="comp030307">#REF!</definedName>
    <definedName name="comp030308" localSheetId="9">'[41]assemblies L _ Q'!$B$1900:$H$1910</definedName>
    <definedName name="comp030308">#REF!</definedName>
    <definedName name="comp030309" localSheetId="9">'[41]assemblies L _ Q'!$B$1912:$H$1926</definedName>
    <definedName name="comp030309">#REF!</definedName>
    <definedName name="comp030310" localSheetId="9">'[41]assemblies L _ Q'!$B$1928:$H$1942</definedName>
    <definedName name="comp030310">#REF!</definedName>
    <definedName name="comp030311" localSheetId="9">'[41]assemblies L _ Q'!$B$1944:$H$1954</definedName>
    <definedName name="comp030311">#REF!</definedName>
    <definedName name="comp030312" localSheetId="9">'[41]assemblies L _ Q'!$B$1956:$H$1970</definedName>
    <definedName name="comp030312">#REF!</definedName>
    <definedName name="comp030313" localSheetId="9">'[41]assemblies L _ Q'!$B$1972:$H$1986</definedName>
    <definedName name="comp030313">#REF!</definedName>
    <definedName name="comp030314" localSheetId="9">'[41]assemblies L _ Q'!$B$1988:$H$2002</definedName>
    <definedName name="comp030314">#REF!</definedName>
    <definedName name="comp030315" localSheetId="9">'[41]assemblies L _ Q'!$B$2004:$H$2018</definedName>
    <definedName name="comp030315">#REF!</definedName>
    <definedName name="comp030321" localSheetId="9">'[41]assemblies L _ Q'!$B$2139:$H$2157</definedName>
    <definedName name="comp030321">#REF!</definedName>
    <definedName name="comp030322" localSheetId="9">'[41]assemblies L _ Q'!$B$2159:$H$2177</definedName>
    <definedName name="comp030322">#REF!</definedName>
    <definedName name="comp030323" localSheetId="9">'[41]assemblies L _ Q'!$B$2179:$H$2197</definedName>
    <definedName name="comp030323">#REF!</definedName>
    <definedName name="comp030331" localSheetId="9">'[41]assemblies L _ Q'!$B$2031:$H$2041</definedName>
    <definedName name="comp030331">#REF!</definedName>
    <definedName name="comp030332" localSheetId="9">'[41]assemblies L _ Q'!$B$2043:$H$2057</definedName>
    <definedName name="comp030332">#REF!</definedName>
    <definedName name="comp030333" localSheetId="9">'[41]assemblies L _ Q'!$B$2059:$H$2068</definedName>
    <definedName name="comp030333">#REF!</definedName>
    <definedName name="comp030334" localSheetId="9">'[41]assemblies L _ Q'!$B$2070:$H$2083</definedName>
    <definedName name="comp030334">#REF!</definedName>
    <definedName name="comp030335" localSheetId="9">'[41]assemblies L _ Q'!$B$2085:$H$2095</definedName>
    <definedName name="comp030335">#REF!</definedName>
    <definedName name="comp030336" localSheetId="9">'[41]assemblies L _ Q'!$B$2097:$H$2111</definedName>
    <definedName name="comp030336">#REF!</definedName>
    <definedName name="comp030337" localSheetId="9">'[41]assemblies L _ Q'!$B$2113:$H$2122</definedName>
    <definedName name="comp030337">#REF!</definedName>
    <definedName name="comp030338" localSheetId="9">'[41]assemblies L _ Q'!$B$2124:$H$2137</definedName>
    <definedName name="comp030338">#REF!</definedName>
    <definedName name="comp030341" localSheetId="9">'[41]assemblies L _ Q'!$B$2020:$H$2029</definedName>
    <definedName name="comp030341">#REF!</definedName>
    <definedName name="comp030401" localSheetId="9">'[41]assemblies L _ Q'!$B$64:$H$68</definedName>
    <definedName name="comp030401">#REF!</definedName>
    <definedName name="comp030402" localSheetId="9">'[41]assemblies L _ Q'!$B$52:$H$56</definedName>
    <definedName name="comp030402">#REF!</definedName>
    <definedName name="comp030403" localSheetId="9">'[41]assemblies L _ Q'!$B$58:$H$62</definedName>
    <definedName name="comp030403">#REF!</definedName>
    <definedName name="comp030410" localSheetId="9">'[40]assemblies A _ E'!$B$58:$H$66</definedName>
    <definedName name="comp030410">#REF!</definedName>
    <definedName name="comp030501" localSheetId="9">'[40]assemblies A _ E'!$B$2479:$H$2489</definedName>
    <definedName name="comp030501">#REF!</definedName>
    <definedName name="comp030502" localSheetId="9">'[41]assemblies L _ Q'!$B$10:$H$29</definedName>
    <definedName name="comp030502">#REF!</definedName>
    <definedName name="comp030503" localSheetId="9">'[41]assemblies L _ Q'!$B$31:$H$50</definedName>
    <definedName name="comp030503">#REF!</definedName>
    <definedName name="comp030601" localSheetId="9">'[41]assemblies L _ Q'!$B$921:$H$932</definedName>
    <definedName name="comp030601">#REF!</definedName>
    <definedName name="comp030611" localSheetId="9">'[41]assemblies L _ Q'!$B$900:$H$919</definedName>
    <definedName name="comp030611">#REF!</definedName>
    <definedName name="comp030621" localSheetId="9">'[40]assemblies A _ E'!$B$811:$H$832</definedName>
    <definedName name="comp030621">#REF!</definedName>
    <definedName name="comp040001" localSheetId="9">'[40]assemblies A _ E'!$B$359:$H$367</definedName>
    <definedName name="comp040001">#REF!</definedName>
    <definedName name="comp040002" localSheetId="9">'[40]assemblies A _ E'!$B$369:$H$377</definedName>
    <definedName name="comp040002">#REF!</definedName>
    <definedName name="comp040003" localSheetId="9">'[40]assemblies A _ E'!$B$379:$H$387</definedName>
    <definedName name="comp040003">#REF!</definedName>
    <definedName name="comp040004" localSheetId="9">'[40]assemblies A _ E'!$B$389:$H$397</definedName>
    <definedName name="comp040004">#REF!</definedName>
    <definedName name="comp040005" localSheetId="9">'[40]assemblies A _ E'!$B$399:$H$407</definedName>
    <definedName name="comp040005">#REF!</definedName>
    <definedName name="comp040006" localSheetId="9">'[40]assemblies A _ E'!$B$409:$H$417</definedName>
    <definedName name="comp040006">#REF!</definedName>
    <definedName name="comp040007" localSheetId="9">'[40]assemblies A _ E'!$B$419:$H$427</definedName>
    <definedName name="comp040007">#REF!</definedName>
    <definedName name="comp040008" localSheetId="9">'[40]assemblies A _ E'!$B$429:$H$437</definedName>
    <definedName name="comp040008">#REF!</definedName>
    <definedName name="comp040101" localSheetId="9">'[40]assemblies A _ E'!$B$264:$H$280</definedName>
    <definedName name="comp040101">#REF!</definedName>
    <definedName name="comp040102" localSheetId="9">'[40]assemblies A _ E'!$B$246:$H$262</definedName>
    <definedName name="comp040102">#REF!</definedName>
    <definedName name="comp040110" localSheetId="9">'[40]assemblies A _ E'!$B$318:$H$334</definedName>
    <definedName name="comp040110">#REF!</definedName>
    <definedName name="comp040111" localSheetId="9">'[40]assemblies A _ E'!$B$300:$H$316</definedName>
    <definedName name="comp040111">#REF!</definedName>
    <definedName name="comp040112" localSheetId="9">'[40]assemblies A _ E'!$B$282:$H$298</definedName>
    <definedName name="comp040112">#REF!</definedName>
    <definedName name="comp040121" localSheetId="9">'[40]assemblies A _ E'!$B$165:$H$177</definedName>
    <definedName name="comp040121">#REF!</definedName>
    <definedName name="comp040131" localSheetId="9">'[40]assemblies A _ E'!$B$205:$H$215</definedName>
    <definedName name="comp040131">#REF!</definedName>
    <definedName name="comp040132" localSheetId="9">'[40]assemblies A _ E'!$B$217:$H$244</definedName>
    <definedName name="comp040132">#REF!</definedName>
    <definedName name="comp040141" localSheetId="9">'[40]assemblies A _ E'!$B$192:$H$203</definedName>
    <definedName name="comp040141">#REF!</definedName>
    <definedName name="comp040201" localSheetId="9">'[40]assemblies A _ E'!$B$179:$H$190</definedName>
    <definedName name="comp040201">#REF!</definedName>
    <definedName name="comp040301" localSheetId="9">'[40]assemblies A _ E'!$B$1950:$H$1953</definedName>
    <definedName name="comp040301">#REF!</definedName>
    <definedName name="comp040302" localSheetId="9">'[40]assemblies A _ E'!$B$1955:$H$1958</definedName>
    <definedName name="comp040302">#REF!</definedName>
    <definedName name="comp040401" localSheetId="9">'[42]assemblies R _ Z'!$B$1392:$H$1404</definedName>
    <definedName name="comp040401">#REF!</definedName>
    <definedName name="comp040410" localSheetId="9">'[42]assemblies R _ Z'!$B$1406:$H$1418</definedName>
    <definedName name="comp040410">#REF!</definedName>
    <definedName name="comp050101" localSheetId="9">'[41]assemblies L _ Q'!$B$1486:$H$1501</definedName>
    <definedName name="comp050101">#REF!</definedName>
    <definedName name="comp050102" localSheetId="9">'[41]assemblies L _ Q'!$B$1503:$H$1518</definedName>
    <definedName name="comp050102">#REF!</definedName>
    <definedName name="comp050103" localSheetId="9">'[41]assemblies L _ Q'!$B$1520:$H$1535</definedName>
    <definedName name="comp050103">#REF!</definedName>
    <definedName name="comp050104" localSheetId="9">'[41]assemblies L _ Q'!$B$1537:$H$1552</definedName>
    <definedName name="comp050104">#REF!</definedName>
    <definedName name="comp050105" localSheetId="9">'[41]assemblies L _ Q'!$B$1554:$H$1569</definedName>
    <definedName name="comp050105">#REF!</definedName>
    <definedName name="comp050106" localSheetId="9">'[41]assemblies L _ Q'!$B$1571:$H$1586</definedName>
    <definedName name="comp050106">#REF!</definedName>
    <definedName name="comp050107" localSheetId="9">'[41]assemblies L _ Q'!$B$1588:$H$1603</definedName>
    <definedName name="comp050107">#REF!</definedName>
    <definedName name="comp050108" localSheetId="9">'[41]assemblies L _ Q'!$B$1605:$H$1620</definedName>
    <definedName name="comp050108">#REF!</definedName>
    <definedName name="comp050151" localSheetId="9">'[41]assemblies L _ Q'!$B$1622:$H$1637</definedName>
    <definedName name="comp050151">#REF!</definedName>
    <definedName name="comp050152" localSheetId="9">'[41]assemblies L _ Q'!$B$1639:$H$1654</definedName>
    <definedName name="comp050152">#REF!</definedName>
    <definedName name="comp050153" localSheetId="9">'[41]assemblies L _ Q'!$B$1656:$H$1671</definedName>
    <definedName name="comp050153">#REF!</definedName>
    <definedName name="comp050154" localSheetId="9">'[41]assemblies L _ Q'!$B$1673:$H$1688</definedName>
    <definedName name="comp050154">#REF!</definedName>
    <definedName name="comp050201" localSheetId="9">'[41]assemblies L _ Q'!$B$1459:$H$1471</definedName>
    <definedName name="comp050201">#REF!</definedName>
    <definedName name="comp050202" localSheetId="9">'[40]assemblies A _ E'!$B$944:$H$955</definedName>
    <definedName name="comp050202">#REF!</definedName>
    <definedName name="comp050203" localSheetId="9">'[43]assemblies F _ K'!$B$1709:$H$1717</definedName>
    <definedName name="comp050203">#REF!</definedName>
    <definedName name="comp050204" localSheetId="9">'[43]assemblies F _ K'!$B$143:$H$151</definedName>
    <definedName name="comp050204">#REF!</definedName>
    <definedName name="comp050205" localSheetId="9">'[43]assemblies F _ K'!$B$153:$H$161</definedName>
    <definedName name="comp050205">#REF!</definedName>
    <definedName name="comp050206" localSheetId="9">'[43]assemblies F _ K'!$B$163:$H$171</definedName>
    <definedName name="comp050206">#REF!</definedName>
    <definedName name="comp050207" localSheetId="9">'[42]assemblies R _ Z'!$B$455:$H$458</definedName>
    <definedName name="comp050207">#REF!</definedName>
    <definedName name="comp050208" localSheetId="9">'[42]assemblies R _ Z'!$B$460:$H$463</definedName>
    <definedName name="comp050208">#REF!</definedName>
    <definedName name="comp050210" localSheetId="9">'[41]assemblies L _ Q'!$B$1391:$H$1405</definedName>
    <definedName name="comp050210">#REF!</definedName>
    <definedName name="comp050211" localSheetId="9">'[41]assemblies L _ Q'!$B$1407:$H$1422</definedName>
    <definedName name="comp050211">#REF!</definedName>
    <definedName name="comp050212" localSheetId="9">'[41]assemblies L _ Q'!$B$1424:$H$1439</definedName>
    <definedName name="comp050212">#REF!</definedName>
    <definedName name="comp050213" localSheetId="9">'[41]assemblies L _ Q'!$B$1441:$H$1457</definedName>
    <definedName name="comp050213">#REF!</definedName>
    <definedName name="comp050301" localSheetId="9">'[43]assemblies F _ K'!$B$2951:$H$2963</definedName>
    <definedName name="comp050301">#REF!</definedName>
    <definedName name="comp050302" localSheetId="9">'[43]assemblies F _ K'!$B$2965:$H$2978</definedName>
    <definedName name="comp050302">#REF!</definedName>
    <definedName name="comp050310" localSheetId="9">'[43]assemblies F _ K'!$B$2869:$H$2883</definedName>
    <definedName name="comp050310">#REF!</definedName>
    <definedName name="comp050311" localSheetId="9">'[43]assemblies F _ K'!$B$2885:$H$2899</definedName>
    <definedName name="comp050311">#REF!</definedName>
    <definedName name="comp050312" localSheetId="9">'[43]assemblies F _ K'!$B$2901:$H$2916</definedName>
    <definedName name="comp050312">#REF!</definedName>
    <definedName name="comp050313" localSheetId="9">'[43]assemblies F _ K'!$B$2918:$H$2932</definedName>
    <definedName name="comp050313">#REF!</definedName>
    <definedName name="comp050314" localSheetId="9">'[43]assemblies F _ K'!$B$2934:$H$2949</definedName>
    <definedName name="comp050314">#REF!</definedName>
    <definedName name="comp050401" localSheetId="9">'[43]assemblies F _ K'!$B$36:$H$43</definedName>
    <definedName name="comp050401">#REF!</definedName>
    <definedName name="comp050402" localSheetId="9">'[43]assemblies F _ K'!$B$100:$H$110</definedName>
    <definedName name="comp050402">#REF!</definedName>
    <definedName name="comp050403" localSheetId="9">'[43]assemblies F _ K'!$B$112:$H$120</definedName>
    <definedName name="comp050403">#REF!</definedName>
    <definedName name="comp050410" localSheetId="9">'[43]assemblies F _ K'!$B$45:$H$53</definedName>
    <definedName name="comp050410">#REF!</definedName>
    <definedName name="comp050501" localSheetId="9">'[40]assemblies A _ E'!$B$881:$H$893</definedName>
    <definedName name="comp050501">#REF!</definedName>
    <definedName name="comp050601" localSheetId="9">'[41]assemblies L _ Q'!$B$1776:$H$1787</definedName>
    <definedName name="comp050601">#REF!</definedName>
    <definedName name="comp050602" localSheetId="9">'[41]assemblies L _ Q'!$B$1473:$H$1484</definedName>
    <definedName name="comp050602">#REF!</definedName>
    <definedName name="comp051101" localSheetId="9">'[40]assemblies A _ E'!$B$2527:$H$2538</definedName>
    <definedName name="comp051101">#REF!</definedName>
    <definedName name="comp051102" localSheetId="9">'[40]assemblies A _ E'!$B$2540:$H$2551</definedName>
    <definedName name="comp051102">#REF!</definedName>
    <definedName name="comp051103" localSheetId="9">'[40]assemblies A _ E'!$B$2553:$H$2564</definedName>
    <definedName name="comp051103">#REF!</definedName>
    <definedName name="comp051104" localSheetId="9">'[40]assemblies A _ E'!$B$2566:$H$2577</definedName>
    <definedName name="comp051104">#REF!</definedName>
    <definedName name="comp051110" localSheetId="9">'[41]assemblies L _ Q'!$B$1376:$H$1389</definedName>
    <definedName name="comp051110">#REF!</definedName>
    <definedName name="comp051201" localSheetId="9">'[40]assemblies A _ E'!$B$2584:$H$2587</definedName>
    <definedName name="comp051201">#REF!</definedName>
    <definedName name="comp051301" localSheetId="9">'[41]assemblies L _ Q'!$B$1695:$H$1705</definedName>
    <definedName name="comp051301">#REF!</definedName>
    <definedName name="comp051401" localSheetId="9">'[43]assemblies F _ K'!$B$1658:$H$1669</definedName>
    <definedName name="comp051401">#REF!</definedName>
    <definedName name="comp051501" localSheetId="9">'[43]assemblies F _ K'!$B$27:$H$34</definedName>
    <definedName name="comp051501">#REF!</definedName>
    <definedName name="comp051502" localSheetId="9">'[43]assemblies F _ K'!$B$60:$H$67</definedName>
    <definedName name="comp051502">#REF!</definedName>
    <definedName name="comp051503" localSheetId="9">'[43]assemblies F _ K'!$B$69:$H$77</definedName>
    <definedName name="comp051503">#REF!</definedName>
    <definedName name="comp051504" localSheetId="9">'[43]assemblies F _ K'!$B$79:$H$88</definedName>
    <definedName name="comp051504">#REF!</definedName>
    <definedName name="comp051505" localSheetId="9">'[43]assemblies F _ K'!$B$122:$H$130</definedName>
    <definedName name="comp051505">#REF!</definedName>
    <definedName name="comp051506" localSheetId="9">'[43]assemblies F _ K'!$B$132:$H$141</definedName>
    <definedName name="comp051506">#REF!</definedName>
    <definedName name="comp051601" localSheetId="9">'[43]assemblies F _ K'!$B$2851:$H$2862</definedName>
    <definedName name="comp051601">#REF!</definedName>
    <definedName name="comp060101" localSheetId="9">'[41]assemblies L _ Q'!$B$1371:$H$1374</definedName>
    <definedName name="comp060101">#REF!</definedName>
    <definedName name="comp060110" localSheetId="9">'[43]assemblies F _ K'!$B$55:$H$58</definedName>
    <definedName name="comp060110">#REF!</definedName>
    <definedName name="comp060201" localSheetId="9">'[40]assemblies A _ E'!$B$2579:$H$2582</definedName>
    <definedName name="comp060201">#REF!</definedName>
    <definedName name="comp060210" localSheetId="9">'[41]assemblies L _ Q'!$B$1690:$H$1693</definedName>
    <definedName name="comp060210">#REF!</definedName>
    <definedName name="comp060220" localSheetId="9">'[43]assemblies F _ K'!$B$2864:$H$2867</definedName>
    <definedName name="comp060220">#REF!</definedName>
    <definedName name="comp060301" localSheetId="9">'[41]assemblies L _ Q'!$B$1366:$H$1369</definedName>
    <definedName name="comp060301">#REF!</definedName>
    <definedName name="comp060310" localSheetId="9">'[43]assemblies F _ K'!$B$2846:$H$2849</definedName>
    <definedName name="comp060310">#REF!</definedName>
    <definedName name="comp060401" localSheetId="9">'[42]assemblies R _ Z'!$B$42:$H$52</definedName>
    <definedName name="comp060401">#REF!</definedName>
    <definedName name="comp060402" localSheetId="9">'[42]assemblies R _ Z'!$B$54:$H$64</definedName>
    <definedName name="comp060402">#REF!</definedName>
    <definedName name="comp070001" localSheetId="9">'[42]assemblies R _ Z'!$B$657:$H$665</definedName>
    <definedName name="comp070001">#REF!</definedName>
    <definedName name="comp070101" localSheetId="9">'[40]assemblies A _ E'!$B$2602:$H$2616</definedName>
    <definedName name="comp070101">#REF!</definedName>
    <definedName name="comp070102" localSheetId="9">'[40]assemblies A _ E'!$B$2618:$H$2628</definedName>
    <definedName name="comp070102">#REF!</definedName>
    <definedName name="comp070103" localSheetId="9">'[40]assemblies A _ E'!$B$2630:$H$2642</definedName>
    <definedName name="comp070103">#REF!</definedName>
    <definedName name="comp070104" localSheetId="9">'[40]assemblies A _ E'!$B$2644:$H$2657</definedName>
    <definedName name="comp070104">#REF!</definedName>
    <definedName name="comp070105" localSheetId="9">'[40]assemblies A _ E'!$B$2659:$H$2670</definedName>
    <definedName name="comp070105">#REF!</definedName>
    <definedName name="comp070106" localSheetId="9">'[40]assemblies A _ E'!$B$2672:$H$2685</definedName>
    <definedName name="comp070106">#REF!</definedName>
    <definedName name="comp070107" localSheetId="9">'[40]assemblies A _ E'!$B$2687:$H$2696</definedName>
    <definedName name="comp070107">#REF!</definedName>
    <definedName name="comp070108" localSheetId="9">'[40]assemblies A _ E'!$B$2698:$H$2709</definedName>
    <definedName name="comp070108">#REF!</definedName>
    <definedName name="comp070109" localSheetId="9">'[40]assemblies A _ E'!$B$2711:$H$2714</definedName>
    <definedName name="comp070109">#REF!</definedName>
    <definedName name="comp070201" localSheetId="9">'[43]assemblies F _ K'!$B$1757:$H$1764</definedName>
    <definedName name="comp070201">#REF!</definedName>
    <definedName name="comp070301" localSheetId="9">'[42]assemblies R _ Z'!$B$953:$H$961</definedName>
    <definedName name="comp070301">#REF!</definedName>
    <definedName name="comp070311" localSheetId="9">'[42]assemblies R _ Z'!$B$968:$H$977</definedName>
    <definedName name="comp070311">#REF!</definedName>
    <definedName name="comp070321" localSheetId="9">'[42]assemblies R _ Z'!$B$963:$H$966</definedName>
    <definedName name="comp070321">#REF!</definedName>
    <definedName name="comp070331" localSheetId="9">'[42]assemblies R _ Z'!$B$979:$H$982</definedName>
    <definedName name="comp070331">#REF!</definedName>
    <definedName name="comp070341" localSheetId="9">'[41]assemblies L _ Q'!$B$1361:$H$1364</definedName>
    <definedName name="comp070341">#REF!</definedName>
    <definedName name="comp070401" localSheetId="9">'[40]assemblies A _ E'!$B$1741:$H$1752</definedName>
    <definedName name="comp070401">#REF!</definedName>
    <definedName name="comp070411" localSheetId="9">'[40]assemblies A _ E'!$B$1754:$H$1762</definedName>
    <definedName name="comp070411">#REF!</definedName>
    <definedName name="comp070421" localSheetId="9">'[40]assemblies A _ E'!$B$46:$H$56</definedName>
    <definedName name="comp070421">#REF!</definedName>
    <definedName name="comp070431" localSheetId="9">'[40]assemblies A _ E'!$B$1239:$H$1242</definedName>
    <definedName name="comp070431">#REF!</definedName>
    <definedName name="comp080001" localSheetId="9">'[43]assemblies F _ K'!$B$2800:$H$2823</definedName>
    <definedName name="comp080001">#REF!</definedName>
    <definedName name="comp080102" localSheetId="9">'[43]assemblies F _ K'!$B$1972:$H$1987</definedName>
    <definedName name="comp080102">#REF!</definedName>
    <definedName name="comp080201" localSheetId="9">'[40]assemblies A _ E'!$B$10:$H$14</definedName>
    <definedName name="comp080201">#REF!</definedName>
    <definedName name="comp080202" localSheetId="9">'[40]assemblies A _ E'!$B$16:$H$20</definedName>
    <definedName name="comp080202">#REF!</definedName>
    <definedName name="comp080203" localSheetId="9">'[40]assemblies A _ E'!$B$22:$H$26</definedName>
    <definedName name="comp080203">#REF!</definedName>
    <definedName name="comp080204" localSheetId="9">'[40]assemblies A _ E'!$B$28:$H$32</definedName>
    <definedName name="comp080204">#REF!</definedName>
    <definedName name="comp080205" localSheetId="9">'[40]assemblies A _ E'!$B$34:$H$38</definedName>
    <definedName name="comp080205">#REF!</definedName>
    <definedName name="comp080206" localSheetId="9">'[40]assemblies A _ E'!$B$40:$H$44</definedName>
    <definedName name="comp080206">#REF!</definedName>
    <definedName name="comp080207" localSheetId="9">'[40]assemblies A _ E'!$B$2075:$H$2084</definedName>
    <definedName name="comp080207">#REF!</definedName>
    <definedName name="comp080208" localSheetId="9">'[40]assemblies A _ E'!$B$2086:$H$2095</definedName>
    <definedName name="comp080208">#REF!</definedName>
    <definedName name="comp080209" localSheetId="9">'[40]assemblies A _ E'!$B$2097:$H$2106</definedName>
    <definedName name="comp080209">#REF!</definedName>
    <definedName name="comp080341" localSheetId="9">'[43]assemblies F _ K'!$B$1294:$H$1303</definedName>
    <definedName name="comp080341">#REF!</definedName>
    <definedName name="comp080342" localSheetId="9">'[43]assemblies F _ K'!$B$1305:$H$1314</definedName>
    <definedName name="comp080342">#REF!</definedName>
    <definedName name="comp080343" localSheetId="9">'[43]assemblies F _ K'!$B$1316:$H$1325</definedName>
    <definedName name="comp080343">#REF!</definedName>
    <definedName name="comp080344" localSheetId="9">'[43]assemblies F _ K'!$B$1327:$H$1336</definedName>
    <definedName name="comp080344">#REF!</definedName>
    <definedName name="comp080345" localSheetId="9">'[43]assemblies F _ K'!$B$1338:$H$1347</definedName>
    <definedName name="comp080345">#REF!</definedName>
    <definedName name="comp080346" localSheetId="9">'[43]assemblies F _ K'!$B$1349:$H$1358</definedName>
    <definedName name="comp080346">#REF!</definedName>
    <definedName name="comp080347" localSheetId="9">'[43]assemblies F _ K'!$B$1360:$H$1369</definedName>
    <definedName name="comp080347">#REF!</definedName>
    <definedName name="comp080348" localSheetId="9">'[43]assemblies F _ K'!$B$1371:$H$1380</definedName>
    <definedName name="comp080348">#REF!</definedName>
    <definedName name="comp080351" localSheetId="9">'[43]assemblies F _ K'!$B$1382:$H$1392</definedName>
    <definedName name="comp080351">#REF!</definedName>
    <definedName name="comp080352" localSheetId="9">'[43]assemblies F _ K'!$B$1394:$H$1404</definedName>
    <definedName name="comp080352">#REF!</definedName>
    <definedName name="comp080353" localSheetId="9">'[43]assemblies F _ K'!$B$1406:$H$1416</definedName>
    <definedName name="comp080353">#REF!</definedName>
    <definedName name="comp080354" localSheetId="9">'[43]assemblies F _ K'!$B$1418:$H$1428</definedName>
    <definedName name="comp080354">#REF!</definedName>
    <definedName name="comp080355" localSheetId="9">'[43]assemblies F _ K'!$B$1430:$H$1440</definedName>
    <definedName name="comp080355">#REF!</definedName>
    <definedName name="comp080356" localSheetId="9">'[43]assemblies F _ K'!$B$1442:$H$1452</definedName>
    <definedName name="comp080356">#REF!</definedName>
    <definedName name="comp080357" localSheetId="9">'[43]assemblies F _ K'!$B$1454:$H$1464</definedName>
    <definedName name="comp080357">#REF!</definedName>
    <definedName name="comp080358" localSheetId="9">'[43]assemblies F _ K'!$B$1466:$H$1476</definedName>
    <definedName name="comp080358">#REF!</definedName>
    <definedName name="comp080361" localSheetId="9">'[43]assemblies F _ K'!$B$518:$H$528</definedName>
    <definedName name="comp080361">#REF!</definedName>
    <definedName name="comp080362" localSheetId="9">'[43]assemblies F _ K'!$B$530:$H$540</definedName>
    <definedName name="comp080362">#REF!</definedName>
    <definedName name="comp080363" localSheetId="9">'[43]assemblies F _ K'!$B$542:$H$552</definedName>
    <definedName name="comp080363">#REF!</definedName>
    <definedName name="comp080364" localSheetId="9">'[43]assemblies F _ K'!$B$554:$H$564</definedName>
    <definedName name="comp080364">#REF!</definedName>
    <definedName name="comp080365" localSheetId="9">'[43]assemblies F _ K'!$B$566:$H$576</definedName>
    <definedName name="comp080365">#REF!</definedName>
    <definedName name="comp080366" localSheetId="9">'[43]assemblies F _ K'!$B$578:$H$588</definedName>
    <definedName name="comp080366">#REF!</definedName>
    <definedName name="comp080367" localSheetId="9">'[43]assemblies F _ K'!$B$590:$H$600</definedName>
    <definedName name="comp080367">#REF!</definedName>
    <definedName name="comp080368" localSheetId="9">'[43]assemblies F _ K'!$B$602:$H$612</definedName>
    <definedName name="comp080368">#REF!</definedName>
    <definedName name="comp080371" localSheetId="9">'[43]assemblies F _ K'!$B$2453:$H$2463</definedName>
    <definedName name="comp080371">#REF!</definedName>
    <definedName name="comp080381" localSheetId="9">'[43]assemblies F _ K'!$B$674:$H$684</definedName>
    <definedName name="comp080381">#REF!</definedName>
    <definedName name="comp080382" localSheetId="9">'[43]assemblies F _ K'!$B$686:$H$696</definedName>
    <definedName name="comp080382">#REF!</definedName>
    <definedName name="comp080383" localSheetId="9">'[43]assemblies F _ K'!$B$698:$H$708</definedName>
    <definedName name="comp080383">#REF!</definedName>
    <definedName name="comp080384" localSheetId="9">'[43]assemblies F _ K'!$B$710:$H$720</definedName>
    <definedName name="comp080384">#REF!</definedName>
    <definedName name="comp080385" localSheetId="9">'[43]assemblies F _ K'!$B$722:$H$732</definedName>
    <definedName name="comp080385">#REF!</definedName>
    <definedName name="comp080386" localSheetId="9">'[43]assemblies F _ K'!$B$734:$H$744</definedName>
    <definedName name="comp080386">#REF!</definedName>
    <definedName name="comp080387" localSheetId="9">'[43]assemblies F _ K'!$B$746:$H$756</definedName>
    <definedName name="comp080387">#REF!</definedName>
    <definedName name="comp080388" localSheetId="9">'[43]assemblies F _ K'!$B$758:$H$768</definedName>
    <definedName name="comp080388">#REF!</definedName>
    <definedName name="comp080401" localSheetId="9">'[43]assemblies F _ K'!$B$1766:$H$1775</definedName>
    <definedName name="comp080401">#REF!</definedName>
    <definedName name="comp080411" localSheetId="9">'[43]assemblies F _ K'!$B$273:$H$283</definedName>
    <definedName name="comp080411">#REF!</definedName>
    <definedName name="comp080412" localSheetId="9">'[43]assemblies F _ K'!$B$285:$H$295</definedName>
    <definedName name="comp080412">#REF!</definedName>
    <definedName name="comp080413" localSheetId="9">'[43]assemblies F _ K'!$B$297:$H$307</definedName>
    <definedName name="comp080413">#REF!</definedName>
    <definedName name="comp080414" localSheetId="9">'[43]assemblies F _ K'!$B$309:$H$319</definedName>
    <definedName name="comp080414">#REF!</definedName>
    <definedName name="comp080415" localSheetId="9">'[43]assemblies F _ K'!$B$321:$H$331</definedName>
    <definedName name="comp080415">#REF!</definedName>
    <definedName name="comp080416" localSheetId="9">'[43]assemblies F _ K'!$B$333:$H$343</definedName>
    <definedName name="comp080416">#REF!</definedName>
    <definedName name="comp080417" localSheetId="9">'[43]assemblies F _ K'!$B$345:$H$355</definedName>
    <definedName name="comp080417">#REF!</definedName>
    <definedName name="comp080418" localSheetId="9">'[43]assemblies F _ K'!$B$357:$H$367</definedName>
    <definedName name="comp080418">#REF!</definedName>
    <definedName name="comp080420" localSheetId="9">'[42]assemblies R _ Z'!$B$314:$H$323</definedName>
    <definedName name="comp080420">#REF!</definedName>
    <definedName name="comp080431" localSheetId="9">'[42]assemblies R _ Z'!$B$171:$H$180</definedName>
    <definedName name="comp080431">#REF!</definedName>
    <definedName name="comp080432" localSheetId="9">'[42]assemblies R _ Z'!$B$182:$H$191</definedName>
    <definedName name="comp080432">#REF!</definedName>
    <definedName name="comp080433" localSheetId="9">'[42]assemblies R _ Z'!$B$193:$H$202</definedName>
    <definedName name="comp080433">#REF!</definedName>
    <definedName name="comp080434" localSheetId="9">'[42]assemblies R _ Z'!$B$204:$H$213</definedName>
    <definedName name="comp080434">#REF!</definedName>
    <definedName name="comp080435" localSheetId="9">'[42]assemblies R _ Z'!$B$215:$H$224</definedName>
    <definedName name="comp080435">#REF!</definedName>
    <definedName name="comp080436" localSheetId="9">'[42]assemblies R _ Z'!$B$226:$H$235</definedName>
    <definedName name="comp080436">#REF!</definedName>
    <definedName name="comp080437" localSheetId="9">'[42]assemblies R _ Z'!$B$237:$H$246</definedName>
    <definedName name="comp080437">#REF!</definedName>
    <definedName name="comp080441" localSheetId="9">'[42]assemblies R _ Z'!$B$1213:$H$1222</definedName>
    <definedName name="comp080441">#REF!</definedName>
    <definedName name="comp080442" localSheetId="9">'[42]assemblies R _ Z'!$B$1224:$H$1233</definedName>
    <definedName name="comp080442">#REF!</definedName>
    <definedName name="comp080443" localSheetId="9">'[42]assemblies R _ Z'!$B$1235:$H$1244</definedName>
    <definedName name="comp080443">#REF!</definedName>
    <definedName name="comp080444" localSheetId="9">'[42]assemblies R _ Z'!$B$1246:$H$1255</definedName>
    <definedName name="comp080444">#REF!</definedName>
    <definedName name="comp080445" localSheetId="9">'[42]assemblies R _ Z'!$B$1257:$H$1266</definedName>
    <definedName name="comp080445">#REF!</definedName>
    <definedName name="comp080446" localSheetId="9">'[42]assemblies R _ Z'!$B$1268:$H$1277</definedName>
    <definedName name="comp080446">#REF!</definedName>
    <definedName name="comp080447" localSheetId="9">'[42]assemblies R _ Z'!$B$1279:$H$1288</definedName>
    <definedName name="comp080447">#REF!</definedName>
    <definedName name="comp080451" localSheetId="9">'[42]assemblies R _ Z'!$B$1290:$H$1299</definedName>
    <definedName name="comp080451">#REF!</definedName>
    <definedName name="comp080452" localSheetId="9">'[42]assemblies R _ Z'!$B$1301:$H$1310</definedName>
    <definedName name="comp080452">#REF!</definedName>
    <definedName name="comp080453" localSheetId="9">'[42]assemblies R _ Z'!$B$1312:$H$1321</definedName>
    <definedName name="comp080453">#REF!</definedName>
    <definedName name="comp080454" localSheetId="9">'[42]assemblies R _ Z'!$B$1323:$H$1332</definedName>
    <definedName name="comp080454">#REF!</definedName>
    <definedName name="comp080455" localSheetId="9">'[42]assemblies R _ Z'!$B$1334:$H$1343</definedName>
    <definedName name="comp080455">#REF!</definedName>
    <definedName name="comp080456" localSheetId="9">'[42]assemblies R _ Z'!$B$1345:$H$1354</definedName>
    <definedName name="comp080456">#REF!</definedName>
    <definedName name="comp080457" localSheetId="9">'[42]assemblies R _ Z'!$B$1356:$H$1365</definedName>
    <definedName name="comp080457">#REF!</definedName>
    <definedName name="comp080461" localSheetId="9">'[42]assemblies R _ Z'!$B$1367:$H$1380</definedName>
    <definedName name="comp080461">#REF!</definedName>
    <definedName name="comp080501" localSheetId="9">'[43]assemblies F _ K'!$B$1989:$H$1997</definedName>
    <definedName name="comp080501">#REF!</definedName>
    <definedName name="comp080601" localSheetId="9">'[43]assemblies F _ K'!$B$1538:$H$1547</definedName>
    <definedName name="comp080601">#REF!</definedName>
    <definedName name="comp080602" localSheetId="9">'[43]assemblies F _ K'!$B$1549:$H$1558</definedName>
    <definedName name="comp080602">#REF!</definedName>
    <definedName name="comp080603" localSheetId="9">'[43]assemblies F _ K'!$B$1560:$H$1569</definedName>
    <definedName name="comp080603">#REF!</definedName>
    <definedName name="comp080604" localSheetId="9">'[43]assemblies F _ K'!$B$1571:$H$1580</definedName>
    <definedName name="comp080604">#REF!</definedName>
    <definedName name="comp080605" localSheetId="9">'[43]assemblies F _ K'!$B$1582:$H$1591</definedName>
    <definedName name="comp080605">#REF!</definedName>
    <definedName name="comp080606" localSheetId="9">'[43]assemblies F _ K'!$B$1593:$H$1602</definedName>
    <definedName name="comp080606">#REF!</definedName>
    <definedName name="comp080607" localSheetId="9">'[43]assemblies F _ K'!$B$1604:$H$1613</definedName>
    <definedName name="comp080607">#REF!</definedName>
    <definedName name="comp080608" localSheetId="9">'[43]assemblies F _ K'!$B$1615:$H$1624</definedName>
    <definedName name="comp080608">#REF!</definedName>
    <definedName name="comp081111" localSheetId="9">'[40]assemblies A _ E'!$B$1244:$H$1252</definedName>
    <definedName name="comp081111">#REF!</definedName>
    <definedName name="comp082001" localSheetId="9">'[43]assemblies F _ K'!$B$2825:$H$2844</definedName>
    <definedName name="comp082001">#REF!</definedName>
    <definedName name="comp082351" localSheetId="9">'[43]assemblies F _ K'!$B$1490:$H$1500</definedName>
    <definedName name="comp082351">#REF!</definedName>
    <definedName name="comp082352" localSheetId="9">'[43]assemblies F _ K'!$B$1502:$H$1512</definedName>
    <definedName name="comp082352">#REF!</definedName>
    <definedName name="comp082353" localSheetId="9">'[43]assemblies F _ K'!$B$1514:$H$1524</definedName>
    <definedName name="comp082353">#REF!</definedName>
    <definedName name="comp082354" localSheetId="9">'[43]assemblies F _ K'!$B$1526:$H$1536</definedName>
    <definedName name="comp082354">#REF!</definedName>
    <definedName name="comp082371" localSheetId="9">'[43]assemblies F _ K'!$B$470:$H$480</definedName>
    <definedName name="comp082371">#REF!</definedName>
    <definedName name="comp082372" localSheetId="9">'[43]assemblies F _ K'!$B$482:$H$492</definedName>
    <definedName name="comp082372">#REF!</definedName>
    <definedName name="comp082373" localSheetId="9">'[43]assemblies F _ K'!$B$494:$H$504</definedName>
    <definedName name="comp082373">#REF!</definedName>
    <definedName name="comp082374" localSheetId="9">'[43]assemblies F _ K'!$B$506:$H$516</definedName>
    <definedName name="comp082374">#REF!</definedName>
    <definedName name="comp082381" localSheetId="9">'[43]assemblies F _ K'!$B$614:$H$624</definedName>
    <definedName name="comp082381">#REF!</definedName>
    <definedName name="comp082382" localSheetId="9">'[43]assemblies F _ K'!$B$638:$H$648</definedName>
    <definedName name="comp082382">#REF!</definedName>
    <definedName name="comp082383" localSheetId="9">'[43]assemblies F _ K'!$B$650:$H$660</definedName>
    <definedName name="comp082383">#REF!</definedName>
    <definedName name="comp082384" localSheetId="9">'[43]assemblies F _ K'!$B$662:$H$672</definedName>
    <definedName name="comp082384">#REF!</definedName>
    <definedName name="comp082391" localSheetId="9">'[43]assemblies F _ K'!$B$626:$H$636</definedName>
    <definedName name="comp082391">#REF!</definedName>
    <definedName name="comp082401" localSheetId="9">'[40]assemblies A _ E'!$B$1112:$H$1120</definedName>
    <definedName name="comp082401">#REF!</definedName>
    <definedName name="comp082410" localSheetId="9">'[42]assemblies R _ Z'!$B$911:$H$922</definedName>
    <definedName name="comp082410">#REF!</definedName>
    <definedName name="comp083101" localSheetId="9">'[40]assemblies A _ E'!$B$796:$H$809</definedName>
    <definedName name="comp083101">#REF!</definedName>
    <definedName name="comp083102" localSheetId="9">'[40]assemblies A _ E'!$B$781:$H$794</definedName>
    <definedName name="comp083102">#REF!</definedName>
    <definedName name="comp083111" localSheetId="9">'[41]assemblies L _ Q'!$B$539:$H$548</definedName>
    <definedName name="comp083111">#REF!</definedName>
    <definedName name="comp083112" localSheetId="9">'[41]assemblies L _ Q'!$B$550:$H$559</definedName>
    <definedName name="comp083112">#REF!</definedName>
    <definedName name="comp083201" localSheetId="9">'[40]assemblies A _ E'!$B$1089:$H$1098</definedName>
    <definedName name="comp083201">#REF!</definedName>
    <definedName name="comp083202" localSheetId="9">'[42]assemblies R _ Z'!$B$1188:$H$1201</definedName>
    <definedName name="comp083202">#REF!</definedName>
    <definedName name="comp083301" localSheetId="9">'[41]assemblies L _ Q'!$B$412:$H$424</definedName>
    <definedName name="comp083301">#REF!</definedName>
    <definedName name="comp083302" localSheetId="9">'[41]assemblies L _ Q'!$B$398:$H$410</definedName>
    <definedName name="comp083302">#REF!</definedName>
    <definedName name="comp083310" localSheetId="9">'[41]assemblies L _ Q'!$B$934:$H$943</definedName>
    <definedName name="comp083310">#REF!</definedName>
    <definedName name="comp083311" localSheetId="9">'[41]assemblies L _ Q'!$B$945:$H$954</definedName>
    <definedName name="comp083311">#REF!</definedName>
    <definedName name="comp083320" localSheetId="9">'[40]assemblies A _ E'!$B$1701:$H$1708</definedName>
    <definedName name="comp083320">#REF!</definedName>
    <definedName name="comp083321" localSheetId="9">'[40]assemblies A _ E'!$B$1710:$H$1717</definedName>
    <definedName name="comp083321">#REF!</definedName>
    <definedName name="comp083322" localSheetId="9">'[40]assemblies A _ E'!$B$1719:$H$1728</definedName>
    <definedName name="comp083322">#REF!</definedName>
    <definedName name="comp083323" localSheetId="9">'[40]assemblies A _ E'!$B$1730:$H$1739</definedName>
    <definedName name="comp083323">#REF!</definedName>
    <definedName name="comp083330" localSheetId="9">'[40]assemblies A _ E'!$B$834:$H$844</definedName>
    <definedName name="comp083330">#REF!</definedName>
    <definedName name="comp083331" localSheetId="9">'[40]assemblies A _ E'!$B$846:$H$856</definedName>
    <definedName name="comp083331">#REF!</definedName>
    <definedName name="comp083341" localSheetId="9">'[42]assemblies R _ Z'!$B$929:$H$938</definedName>
    <definedName name="comp083341">#REF!</definedName>
    <definedName name="comp083401" localSheetId="9">'[40]assemblies A _ E'!$B$1553:$H$1562</definedName>
    <definedName name="comp083401">#REF!</definedName>
    <definedName name="comp083402" localSheetId="9">'[40]assemblies A _ E'!$B$1542:$H$1551</definedName>
    <definedName name="comp083402">#REF!</definedName>
    <definedName name="comp083403" localSheetId="9">'[40]assemblies A _ E'!$B$1564:$H$1573</definedName>
    <definedName name="comp083403">#REF!</definedName>
    <definedName name="comp083410" localSheetId="9">'[42]assemblies R _ Z'!$B$278:$H$288</definedName>
    <definedName name="comp083410">#REF!</definedName>
    <definedName name="comp083411" localSheetId="9">'[42]assemblies R _ Z'!$B$325:$H$335</definedName>
    <definedName name="comp083411">#REF!</definedName>
    <definedName name="comp083412" localSheetId="9">'[42]assemblies R _ Z'!$B$290:$H$300</definedName>
    <definedName name="comp083412">#REF!</definedName>
    <definedName name="comp083413" localSheetId="9">'[42]assemblies R _ Z'!$B$302:$H$312</definedName>
    <definedName name="comp083413">#REF!</definedName>
    <definedName name="comp083420" localSheetId="9">'[42]assemblies R _ Z'!$B$995:$H$1004</definedName>
    <definedName name="comp083420">#REF!</definedName>
    <definedName name="comp083421" localSheetId="9">'[42]assemblies R _ Z'!$B$1006:$H$1015</definedName>
    <definedName name="comp083421">#REF!</definedName>
    <definedName name="comp083422" localSheetId="9">'[42]assemblies R _ Z'!$B$1017:$H$1026</definedName>
    <definedName name="comp083422">#REF!</definedName>
    <definedName name="comp083423" localSheetId="9">'[42]assemblies R _ Z'!$B$984:$H$993</definedName>
    <definedName name="comp083423">#REF!</definedName>
    <definedName name="comp083424" localSheetId="9">'[42]assemblies R _ Z'!$B$1028:$H$1037</definedName>
    <definedName name="comp083424">#REF!</definedName>
    <definedName name="comp083425" localSheetId="9">'[42]assemblies R _ Z'!$B$1039:$H$1048</definedName>
    <definedName name="comp083425">#REF!</definedName>
    <definedName name="comp083431" localSheetId="9">'[40]assemblies A _ E'!$B$1985:$H$1994</definedName>
    <definedName name="comp083431">#REF!</definedName>
    <definedName name="comp083501" localSheetId="9">'[40]assemblies A _ E'!$B$1204:$H$1214</definedName>
    <definedName name="comp083501">#REF!</definedName>
    <definedName name="comp083502" localSheetId="9">'[40]assemblies A _ E'!$B$1100:$H$1110</definedName>
    <definedName name="comp083502">#REF!</definedName>
    <definedName name="comp083503" localSheetId="9">'[42]assemblies R _ Z'!$B$30:$H$40</definedName>
    <definedName name="comp083503">#REF!</definedName>
    <definedName name="comp083504" localSheetId="9">'[42]assemblies R _ Z'!$B$839:$H$847</definedName>
    <definedName name="comp083504">#REF!</definedName>
    <definedName name="comp083601" localSheetId="9">'[41]assemblies L _ Q'!$B$1728:$H$1738</definedName>
    <definedName name="comp083601">#REF!</definedName>
    <definedName name="comp083602" localSheetId="9">'[41]assemblies L _ Q'!$B$1707:$H$1717</definedName>
    <definedName name="comp083602">#REF!</definedName>
    <definedName name="comp083603" localSheetId="9">'[41]assemblies L _ Q'!$B$1719:$H$1726</definedName>
    <definedName name="comp083603">#REF!</definedName>
    <definedName name="comp083604" localSheetId="9">'[41]assemblies L _ Q'!$B$1767:$H$1774</definedName>
    <definedName name="comp083604">#REF!</definedName>
    <definedName name="comp083605" localSheetId="9">'[41]assemblies L _ Q'!$B$1740:$H$1747</definedName>
    <definedName name="comp083605">#REF!</definedName>
    <definedName name="comp083606" localSheetId="9">'[41]assemblies L _ Q'!$B$1758:$H$1765</definedName>
    <definedName name="comp083606">#REF!</definedName>
    <definedName name="comp083607" localSheetId="9">'[42]assemblies R _ Z'!$B$787:$H$797</definedName>
    <definedName name="comp083607">#REF!</definedName>
    <definedName name="comp083608" localSheetId="9">'[41]assemblies L _ Q'!$B$1749:$H$1756</definedName>
    <definedName name="comp083608">#REF!</definedName>
    <definedName name="comp083609" localSheetId="9">'[42]assemblies R _ Z'!$B$799:$H$806</definedName>
    <definedName name="comp083609">#REF!</definedName>
    <definedName name="comp083610" localSheetId="9">'[40]assemblies A _ E'!$B$995:$H$1005</definedName>
    <definedName name="comp083610">#REF!</definedName>
    <definedName name="comp083611" localSheetId="9">'[40]assemblies A _ E'!$B$1007:$H$1014</definedName>
    <definedName name="comp083611">#REF!</definedName>
    <definedName name="comp083612" localSheetId="9">'[40]assemblies A _ E'!$B$493:$H$503</definedName>
    <definedName name="comp083612">#REF!</definedName>
    <definedName name="comp083701" localSheetId="9">'[40]assemblies A _ E'!$B$957:$H$967</definedName>
    <definedName name="comp083701">#REF!</definedName>
    <definedName name="comp084101" localSheetId="9">'[40]assemblies A _ E'!$B$1016:$H$1019</definedName>
    <definedName name="comp084101">#REF!</definedName>
    <definedName name="comp084102" localSheetId="9">'[40]assemblies A _ E'!$B$1021:$H$1024</definedName>
    <definedName name="comp084102">#REF!</definedName>
    <definedName name="comp084103" localSheetId="9">'[40]assemblies A _ E'!$B$1026:$H$1029</definedName>
    <definedName name="comp084103">#REF!</definedName>
    <definedName name="comp084104" localSheetId="9">'[40]assemblies A _ E'!$B$1031:$H$1034</definedName>
    <definedName name="comp084104">#REF!</definedName>
    <definedName name="comp084105" localSheetId="9">'[40]assemblies A _ E'!$B$1036:$H$1039</definedName>
    <definedName name="comp084105">#REF!</definedName>
    <definedName name="comp084201" localSheetId="9">'[40]assemblies A _ E'!$B$1041:$H$1051</definedName>
    <definedName name="comp084201">#REF!</definedName>
    <definedName name="comp084202" localSheetId="9">'[40]assemblies A _ E'!$B$1053:$H$1063</definedName>
    <definedName name="comp084202">#REF!</definedName>
    <definedName name="comp084203" localSheetId="9">'[40]assemblies A _ E'!$B$1065:$H$1075</definedName>
    <definedName name="comp084203">#REF!</definedName>
    <definedName name="comp084204" localSheetId="9">'[40]assemblies A _ E'!$B$1077:$H$1087</definedName>
    <definedName name="comp084204">#REF!</definedName>
    <definedName name="comp085103" localSheetId="9">'[43]assemblies F _ K'!$B$1035:$H$1045</definedName>
    <definedName name="comp085103">#REF!</definedName>
    <definedName name="comp085104" localSheetId="9">'[43]assemblies F _ K'!$B$1047:$H$1057</definedName>
    <definedName name="comp085104">#REF!</definedName>
    <definedName name="comp085105" localSheetId="9">'[43]assemblies F _ K'!$B$1059:$H$1073</definedName>
    <definedName name="comp085105">#REF!</definedName>
    <definedName name="comp085106" localSheetId="9">'[43]assemblies F _ K'!$B$1075:$H$1089</definedName>
    <definedName name="comp085106">#REF!</definedName>
    <definedName name="comp085203" localSheetId="9">'[43]assemblies F _ K'!$B$939:$H$953</definedName>
    <definedName name="comp085203">#REF!</definedName>
    <definedName name="comp085204" localSheetId="9">'[43]assemblies F _ K'!$B$955:$H$969</definedName>
    <definedName name="comp085204">#REF!</definedName>
    <definedName name="comp085205" localSheetId="9">'[43]assemblies F _ K'!$B$971:$H$985</definedName>
    <definedName name="comp085205">#REF!</definedName>
    <definedName name="comp085206" localSheetId="9">'[43]assemblies F _ K'!$B$987:$H$1001</definedName>
    <definedName name="comp085206">#REF!</definedName>
    <definedName name="comp085208" localSheetId="9">'[43]assemblies F _ K'!$B$1003:$H$1017</definedName>
    <definedName name="comp085208">#REF!</definedName>
    <definedName name="comp085210" localSheetId="9">'[43]assemblies F _ K'!$B$1019:$H$1033</definedName>
    <definedName name="comp085210">#REF!</definedName>
    <definedName name="comp085221" localSheetId="9">'[43]assemblies F _ K'!$B$1091:$H$1101</definedName>
    <definedName name="comp085221">#REF!</definedName>
    <definedName name="comp085301" localSheetId="9">'[43]assemblies F _ K'!$B$1478:$H$1488</definedName>
    <definedName name="comp085301">#REF!</definedName>
    <definedName name="comp086101" localSheetId="9">'[43]assemblies F _ K'!$B$1224:$H$1236</definedName>
    <definedName name="comp086101">#REF!</definedName>
    <definedName name="comp086102" localSheetId="9">'[43]assemblies F _ K'!$B$1238:$H$1250</definedName>
    <definedName name="comp086102">#REF!</definedName>
    <definedName name="comp086103" localSheetId="9">'[43]assemblies F _ K'!$B$1252:$H$1264</definedName>
    <definedName name="comp086103">#REF!</definedName>
    <definedName name="comp086104" localSheetId="9">'[43]assemblies F _ K'!$B$1266:$H$1278</definedName>
    <definedName name="comp086104">#REF!</definedName>
    <definedName name="comp086105" localSheetId="9">'[43]assemblies F _ K'!$B$1280:$H$1292</definedName>
    <definedName name="comp086105">#REF!</definedName>
    <definedName name="comp086502" localSheetId="9">'[42]assemblies R _ Z'!$B$248:$H$256</definedName>
    <definedName name="comp086502">#REF!</definedName>
    <definedName name="comp086504" localSheetId="9">'[42]assemblies R _ Z'!$B$258:$H$266</definedName>
    <definedName name="comp086504">#REF!</definedName>
    <definedName name="comp086505" localSheetId="9">'[42]assemblies R _ Z'!$B$268:$H$276</definedName>
    <definedName name="comp086505">#REF!</definedName>
    <definedName name="comp086511" localSheetId="9">'[42]assemblies R _ Z'!$B$337:$H$345</definedName>
    <definedName name="comp086511">#REF!</definedName>
    <definedName name="comp086521" localSheetId="9">'[42]assemblies R _ Z'!$B$1382:$H$1390</definedName>
    <definedName name="comp086521">#REF!</definedName>
    <definedName name="comp086531" localSheetId="9">'[42]assemblies R _ Z'!$B$1203:$H$1211</definedName>
    <definedName name="comp086531">#REF!</definedName>
    <definedName name="comp086541" localSheetId="9">'[42]assemblies R _ Z'!$B$1173:$H$1186</definedName>
    <definedName name="comp086541">#REF!</definedName>
    <definedName name="comp086605" localSheetId="9">'[41]assemblies L _ Q'!$B$529:$H$537</definedName>
    <definedName name="comp086605">#REF!</definedName>
    <definedName name="comp086611" localSheetId="9">'[40]assemblies A _ E'!$B$551:$H$555</definedName>
    <definedName name="comp086611">#REF!</definedName>
    <definedName name="comp086621" localSheetId="9">'[43]assemblies F _ K'!$B$10:$H$25</definedName>
    <definedName name="comp086621">#REF!</definedName>
    <definedName name="comp086622" localSheetId="9">'[43]assemblies F _ K'!$B$922:$H$937</definedName>
    <definedName name="comp086622">#REF!</definedName>
    <definedName name="comp086701" localSheetId="9">'[42]assemblies R _ Z'!$B$924:$H$927</definedName>
    <definedName name="comp086701">#REF!</definedName>
    <definedName name="comp086711" localSheetId="9">'[43]assemblies F _ K'!$B$1694:$H$1697</definedName>
    <definedName name="comp086711">#REF!</definedName>
    <definedName name="comp087101" localSheetId="9">'[43]assemblies F _ K'!$B$1103:$H$1112</definedName>
    <definedName name="comp087101">#REF!</definedName>
    <definedName name="comp087102" localSheetId="9">'[43]assemblies F _ K'!$B$1114:$H$1123</definedName>
    <definedName name="comp087102">#REF!</definedName>
    <definedName name="comp087103" localSheetId="9">'[43]assemblies F _ K'!$B$1125:$H$1134</definedName>
    <definedName name="comp087103">#REF!</definedName>
    <definedName name="comp087104" localSheetId="9">'[43]assemblies F _ K'!$B$1136:$H$1145</definedName>
    <definedName name="comp087104">#REF!</definedName>
    <definedName name="comp087105" localSheetId="9">'[43]assemblies F _ K'!$B$1147:$H$1156</definedName>
    <definedName name="comp087105">#REF!</definedName>
    <definedName name="comp087106" localSheetId="9">'[43]assemblies F _ K'!$B$1158:$H$1167</definedName>
    <definedName name="comp087106">#REF!</definedName>
    <definedName name="comp087107" localSheetId="9">'[43]assemblies F _ K'!$B$1169:$H$1178</definedName>
    <definedName name="comp087107">#REF!</definedName>
    <definedName name="comp087108" localSheetId="9">'[43]assemblies F _ K'!$B$1180:$H$1189</definedName>
    <definedName name="comp087108">#REF!</definedName>
    <definedName name="comp087109" localSheetId="9">'[43]assemblies F _ K'!$B$1191:$H$1200</definedName>
    <definedName name="comp087109">#REF!</definedName>
    <definedName name="comp087112" localSheetId="9">'[43]assemblies F _ K'!$B$1202:$H$1211</definedName>
    <definedName name="comp087112">#REF!</definedName>
    <definedName name="comp087114" localSheetId="9">'[43]assemblies F _ K'!$B$1213:$H$1222</definedName>
    <definedName name="comp087114">#REF!</definedName>
    <definedName name="comp090001" localSheetId="9">'[43]assemblies F _ K'!$B$2763:$H$2778</definedName>
    <definedName name="comp090001">#REF!</definedName>
    <definedName name="comp090002" localSheetId="9">'[43]assemblies F _ K'!$B$2780:$H$2798</definedName>
    <definedName name="comp090002">#REF!</definedName>
    <definedName name="comp090101" localSheetId="9">'[42]assemblies R _ Z'!$B$906:$H$909</definedName>
    <definedName name="comp090101">#REF!</definedName>
    <definedName name="comp090201" localSheetId="9">'[43]assemblies F _ K'!$B$2261:$H$2281</definedName>
    <definedName name="comp090201">#REF!</definedName>
    <definedName name="comp090202" localSheetId="9">'[43]assemblies F _ K'!$B$2283:$H$2303</definedName>
    <definedName name="comp090202">#REF!</definedName>
    <definedName name="comp090211" localSheetId="9">'[43]assemblies F _ K'!$B$2691:$H$2699</definedName>
    <definedName name="comp090211">#REF!</definedName>
    <definedName name="comp090301" localSheetId="9">'[43]assemblies F _ K'!$B$2631:$H$2639</definedName>
    <definedName name="comp090301">#REF!</definedName>
    <definedName name="comp090302" localSheetId="9">'[43]assemblies F _ K'!$B$2641:$H$2649</definedName>
    <definedName name="comp090302">#REF!</definedName>
    <definedName name="comp090303" localSheetId="9">'[43]assemblies F _ K'!$B$2651:$H$2659</definedName>
    <definedName name="comp090303">#REF!</definedName>
    <definedName name="comp090304" localSheetId="9">'[43]assemblies F _ K'!$B$2661:$H$2669</definedName>
    <definedName name="comp090304">#REF!</definedName>
    <definedName name="comp090305" localSheetId="9">'[43]assemblies F _ K'!$B$2671:$H$2679</definedName>
    <definedName name="comp090305">#REF!</definedName>
    <definedName name="comp090306" localSheetId="9">'[43]assemblies F _ K'!$B$2681:$H$2689</definedName>
    <definedName name="comp090306">#REF!</definedName>
    <definedName name="comp090401" localSheetId="9">'[43]assemblies F _ K'!$B$792:$H$800</definedName>
    <definedName name="comp090401">#REF!</definedName>
    <definedName name="comp090402" localSheetId="9">'[43]assemblies F _ K'!$B$802:$H$810</definedName>
    <definedName name="comp090402">#REF!</definedName>
    <definedName name="comp090403" localSheetId="9">'[43]assemblies F _ K'!$B$812:$H$820</definedName>
    <definedName name="comp090403">#REF!</definedName>
    <definedName name="comp090404" localSheetId="9">'[43]assemblies F _ K'!$B$822:$H$830</definedName>
    <definedName name="comp090404">#REF!</definedName>
    <definedName name="comp090411" localSheetId="9">'[43]assemblies F _ K'!$B$832:$H$840</definedName>
    <definedName name="comp090411">#REF!</definedName>
    <definedName name="comp090412" localSheetId="9">'[43]assemblies F _ K'!$B$842:$H$850</definedName>
    <definedName name="comp090412">#REF!</definedName>
    <definedName name="comp090413" localSheetId="9">'[43]assemblies F _ K'!$B$852:$H$860</definedName>
    <definedName name="comp090413">#REF!</definedName>
    <definedName name="comp090414" localSheetId="9">'[43]assemblies F _ K'!$B$862:$H$870</definedName>
    <definedName name="comp090414">#REF!</definedName>
    <definedName name="comp090415" localSheetId="9">'[43]assemblies F _ K'!$B$872:$H$880</definedName>
    <definedName name="comp090415">#REF!</definedName>
    <definedName name="comp090416" localSheetId="9">'[43]assemblies F _ K'!$B$882:$H$890</definedName>
    <definedName name="comp090416">#REF!</definedName>
    <definedName name="comp090417" localSheetId="9">'[43]assemblies F _ K'!$B$892:$H$900</definedName>
    <definedName name="comp090417">#REF!</definedName>
    <definedName name="comp090418" localSheetId="9">'[43]assemblies F _ K'!$B$902:$H$910</definedName>
    <definedName name="comp090418">#REF!</definedName>
    <definedName name="comp090419" localSheetId="9">'[43]assemblies F _ K'!$B$912:$H$920</definedName>
    <definedName name="comp090419">#REF!</definedName>
    <definedName name="comp090421" localSheetId="9">'[43]assemblies F _ K'!$B$380:$H$388</definedName>
    <definedName name="comp090421">#REF!</definedName>
    <definedName name="comp090422" localSheetId="9">'[43]assemblies F _ K'!$B$390:$H$398</definedName>
    <definedName name="comp090422">#REF!</definedName>
    <definedName name="comp090423" localSheetId="9">'[43]assemblies F _ K'!$B$400:$H$408</definedName>
    <definedName name="comp090423">#REF!</definedName>
    <definedName name="comp090424" localSheetId="9">'[43]assemblies F _ K'!$B$410:$H$418</definedName>
    <definedName name="comp090424">#REF!</definedName>
    <definedName name="comp090425" localSheetId="9">'[43]assemblies F _ K'!$B$420:$H$428</definedName>
    <definedName name="comp090425">#REF!</definedName>
    <definedName name="comp090426" localSheetId="9">'[43]assemblies F _ K'!$B$430:$H$438</definedName>
    <definedName name="comp090426">#REF!</definedName>
    <definedName name="comp090427" localSheetId="9">'[43]assemblies F _ K'!$B$440:$H$448</definedName>
    <definedName name="comp090427">#REF!</definedName>
    <definedName name="comp090428" localSheetId="9">'[43]assemblies F _ K'!$B$450:$H$458</definedName>
    <definedName name="comp090428">#REF!</definedName>
    <definedName name="comp090429" localSheetId="9">'[43]assemblies F _ K'!$B$460:$H$468</definedName>
    <definedName name="comp090429">#REF!</definedName>
    <definedName name="comp090451" localSheetId="9">'[43]assemblies F _ K'!$B$369:$H$378</definedName>
    <definedName name="comp090451">#REF!</definedName>
    <definedName name="comp090461" localSheetId="9">'[40]assemblies A _ E'!$B$557:$H$561</definedName>
    <definedName name="comp090461">#REF!</definedName>
    <definedName name="comp090462" localSheetId="9">'[40]assemblies A _ E'!$B$563:$H$567</definedName>
    <definedName name="comp090462">#REF!</definedName>
    <definedName name="comp090463" localSheetId="9">'[40]assemblies A _ E'!$B$569:$H$573</definedName>
    <definedName name="comp090463">#REF!</definedName>
    <definedName name="comp090464" localSheetId="9">'[40]assemblies A _ E'!$B$575:$H$579</definedName>
    <definedName name="comp090464">#REF!</definedName>
    <definedName name="comp090471" localSheetId="9">'[40]assemblies A _ E'!$B$581:$H$585</definedName>
    <definedName name="comp090471">#REF!</definedName>
    <definedName name="comp090472" localSheetId="9">'[40]assemblies A _ E'!$B$587:$H$591</definedName>
    <definedName name="comp090472">#REF!</definedName>
    <definedName name="comp090473" localSheetId="9">'[40]assemblies A _ E'!$B$593:$H$597</definedName>
    <definedName name="comp090473">#REF!</definedName>
    <definedName name="comp090474" localSheetId="9">'[40]assemblies A _ E'!$B$599:$H$603</definedName>
    <definedName name="comp090474">#REF!</definedName>
    <definedName name="comp090475" localSheetId="9">'[40]assemblies A _ E'!$B$605:$H$609</definedName>
    <definedName name="comp090475">#REF!</definedName>
    <definedName name="comp090476" localSheetId="9">'[40]assemblies A _ E'!$B$611:$H$615</definedName>
    <definedName name="comp090476">#REF!</definedName>
    <definedName name="comp090477" localSheetId="9">'[40]assemblies A _ E'!$B$617:$H$621</definedName>
    <definedName name="comp090477">#REF!</definedName>
    <definedName name="comp090478" localSheetId="9">'[40]assemblies A _ E'!$B$623:$H$627</definedName>
    <definedName name="comp090478">#REF!</definedName>
    <definedName name="comp090479" localSheetId="9">'[40]assemblies A _ E'!$B$629:$H$633</definedName>
    <definedName name="comp090479">#REF!</definedName>
    <definedName name="comp090501" localSheetId="9">'[43]assemblies F _ K'!$B$2305:$H$2314</definedName>
    <definedName name="comp090501">#REF!</definedName>
    <definedName name="comp090502" localSheetId="9">'[43]assemblies F _ K'!$B$2316:$H$2325</definedName>
    <definedName name="comp090502">#REF!</definedName>
    <definedName name="comp090503" localSheetId="9">'[43]assemblies F _ K'!$B$2327:$H$2336</definedName>
    <definedName name="comp090503">#REF!</definedName>
    <definedName name="comp090504" localSheetId="9">'[43]assemblies F _ K'!$B$2338:$H$2347</definedName>
    <definedName name="comp090504">#REF!</definedName>
    <definedName name="comp090505" localSheetId="9">'[43]assemblies F _ K'!$B$2349:$H$2358</definedName>
    <definedName name="comp090505">#REF!</definedName>
    <definedName name="comp090506" localSheetId="9">'[43]assemblies F _ K'!$B$2360:$H$2369</definedName>
    <definedName name="comp090506">#REF!</definedName>
    <definedName name="comp090507" localSheetId="9">'[43]assemblies F _ K'!$B$2371:$H$2380</definedName>
    <definedName name="comp090507">#REF!</definedName>
    <definedName name="comp090508" localSheetId="9">'[43]assemblies F _ K'!$B$2382:$H$2391</definedName>
    <definedName name="comp090508">#REF!</definedName>
    <definedName name="comp090511" localSheetId="9">'[43]assemblies F _ K'!$B$1790:$H$1799</definedName>
    <definedName name="comp090511">#REF!</definedName>
    <definedName name="comp090512" localSheetId="9">'[43]assemblies F _ K'!$B$1801:$H$1810</definedName>
    <definedName name="comp090512">#REF!</definedName>
    <definedName name="comp090513" localSheetId="9">'[43]assemblies F _ K'!$B$1812:$H$1821</definedName>
    <definedName name="comp090513">#REF!</definedName>
    <definedName name="comp090514" localSheetId="9">'[43]assemblies F _ K'!$B$1823:$H$1832</definedName>
    <definedName name="comp090514">#REF!</definedName>
    <definedName name="comp090515" localSheetId="9">'[43]assemblies F _ K'!$B$1834:$H$1843</definedName>
    <definedName name="comp090515">#REF!</definedName>
    <definedName name="comp090516" localSheetId="9">'[43]assemblies F _ K'!$B$1845:$H$1854</definedName>
    <definedName name="comp090516">#REF!</definedName>
    <definedName name="comp090517" localSheetId="9">'[43]assemblies F _ K'!$B$1856:$H$1865</definedName>
    <definedName name="comp090517">#REF!</definedName>
    <definedName name="comp090518" localSheetId="9">'[43]assemblies F _ K'!$B$1867:$H$1876</definedName>
    <definedName name="comp090518">#REF!</definedName>
    <definedName name="comp090519" localSheetId="9">'[43]assemblies F _ K'!$B$1878:$H$1887</definedName>
    <definedName name="comp090519">#REF!</definedName>
    <definedName name="comp090520" localSheetId="9">'[43]assemblies F _ K'!$B$1889:$H$1898</definedName>
    <definedName name="comp090520">#REF!</definedName>
    <definedName name="comp090521" localSheetId="9">'[43]assemblies F _ K'!$B$1900:$H$1909</definedName>
    <definedName name="comp090521">#REF!</definedName>
    <definedName name="comp090522" localSheetId="9">'[43]assemblies F _ K'!$B$1911:$H$1920</definedName>
    <definedName name="comp090522">#REF!</definedName>
    <definedName name="comp090601" localSheetId="9">'[43]assemblies F _ K'!$B$2011:$H$2019</definedName>
    <definedName name="comp090601">#REF!</definedName>
    <definedName name="comp090602" localSheetId="9">'[43]assemblies F _ K'!$B$2021:$H$2029</definedName>
    <definedName name="comp090602">#REF!</definedName>
    <definedName name="comp090603" localSheetId="9">'[43]assemblies F _ K'!$B$2031:$H$2039</definedName>
    <definedName name="comp090603">#REF!</definedName>
    <definedName name="comp090611" localSheetId="9">'[43]assemblies F _ K'!$B$2041:$H$2049</definedName>
    <definedName name="comp090611">#REF!</definedName>
    <definedName name="comp090612" localSheetId="9">'[43]assemblies F _ K'!$B$2051:$H$2059</definedName>
    <definedName name="comp090612">#REF!</definedName>
    <definedName name="comp090613" localSheetId="9">'[43]assemblies F _ K'!$B$2061:$H$2069</definedName>
    <definedName name="comp090613">#REF!</definedName>
    <definedName name="comp090614" localSheetId="9">'[43]assemblies F _ K'!$B$2071:$H$2079</definedName>
    <definedName name="comp090614">#REF!</definedName>
    <definedName name="comp090615" localSheetId="9">'[43]assemblies F _ K'!$B$2081:$H$2089</definedName>
    <definedName name="comp090615">#REF!</definedName>
    <definedName name="comp090616" localSheetId="9">'[43]assemblies F _ K'!$B$2091:$H$2099</definedName>
    <definedName name="comp090616">#REF!</definedName>
    <definedName name="comp090617" localSheetId="9">'[43]assemblies F _ K'!$B$2101:$H$2109</definedName>
    <definedName name="comp090617">#REF!</definedName>
    <definedName name="comp090618" localSheetId="9">'[43]assemblies F _ K'!$B$2111:$H$2119</definedName>
    <definedName name="comp090618">#REF!</definedName>
    <definedName name="comp090619" localSheetId="9">'[43]assemblies F _ K'!$B$2121:$H$2129</definedName>
    <definedName name="comp090619">#REF!</definedName>
    <definedName name="comp090620" localSheetId="9">'[43]assemblies F _ K'!$B$2131:$H$2139</definedName>
    <definedName name="comp090620">#REF!</definedName>
    <definedName name="comp090621" localSheetId="9">'[43]assemblies F _ K'!$B$2141:$H$2149</definedName>
    <definedName name="comp090621">#REF!</definedName>
    <definedName name="comp090631" localSheetId="9">'[43]assemblies F _ K'!$B$2151:$H$2159</definedName>
    <definedName name="comp090631">#REF!</definedName>
    <definedName name="comp090632" localSheetId="9">'[43]assemblies F _ K'!$B$2161:$H$2169</definedName>
    <definedName name="comp090632">#REF!</definedName>
    <definedName name="comp090633" localSheetId="9">'[43]assemblies F _ K'!$B$2171:$H$2179</definedName>
    <definedName name="comp090633">#REF!</definedName>
    <definedName name="comp090634" localSheetId="9">'[43]assemblies F _ K'!$B$2181:$H$2189</definedName>
    <definedName name="comp090634">#REF!</definedName>
    <definedName name="comp090635" localSheetId="9">'[43]assemblies F _ K'!$B$2191:$H$2199</definedName>
    <definedName name="comp090635">#REF!</definedName>
    <definedName name="comp090636" localSheetId="9">'[43]assemblies F _ K'!$B$2201:$H$2209</definedName>
    <definedName name="comp090636">#REF!</definedName>
    <definedName name="comp090637" localSheetId="9">'[43]assemblies F _ K'!$B$2211:$H$2219</definedName>
    <definedName name="comp090637">#REF!</definedName>
    <definedName name="comp090638" localSheetId="9">'[43]assemblies F _ K'!$B$2221:$H$2229</definedName>
    <definedName name="comp090638">#REF!</definedName>
    <definedName name="comp090639" localSheetId="9">'[43]assemblies F _ K'!$B$2231:$H$2239</definedName>
    <definedName name="comp090639">#REF!</definedName>
    <definedName name="comp090640" localSheetId="9">'[43]assemblies F _ K'!$B$2241:$H$2249</definedName>
    <definedName name="comp090640">#REF!</definedName>
    <definedName name="comp090641" localSheetId="9">'[43]assemblies F _ K'!$B$2251:$H$2259</definedName>
    <definedName name="comp090641">#REF!</definedName>
    <definedName name="comp091001" localSheetId="9">'[43]assemblies F _ K'!$B$1922:$H$1930</definedName>
    <definedName name="comp091001">#REF!</definedName>
    <definedName name="comp091002" localSheetId="9">'[43]assemblies F _ K'!$B$1932:$H$1940</definedName>
    <definedName name="comp091002">#REF!</definedName>
    <definedName name="comp091003" localSheetId="9">'[43]assemblies F _ K'!$B$1942:$H$1950</definedName>
    <definedName name="comp091003">#REF!</definedName>
    <definedName name="comp091004" localSheetId="9">'[43]assemblies F _ K'!$B$1952:$H$1960</definedName>
    <definedName name="comp091004">#REF!</definedName>
    <definedName name="comp091101" localSheetId="9">'[43]assemblies F _ K'!$B$2621:$H$2629</definedName>
    <definedName name="comp091101">#REF!</definedName>
    <definedName name="comp091102" localSheetId="9">'[43]assemblies F _ K'!$B$2403:$H$2411</definedName>
    <definedName name="comp091102">#REF!</definedName>
    <definedName name="comp091103" localSheetId="9">'[43]assemblies F _ K'!$B$2413:$H$2421</definedName>
    <definedName name="comp091103">#REF!</definedName>
    <definedName name="comp091104" localSheetId="9">'[43]assemblies F _ K'!$B$2423:$H$2431</definedName>
    <definedName name="comp091104">#REF!</definedName>
    <definedName name="comp091105" localSheetId="9">'[43]assemblies F _ K'!$B$2433:$H$2441</definedName>
    <definedName name="comp091105">#REF!</definedName>
    <definedName name="comp091106" localSheetId="9">'[43]assemblies F _ K'!$B$2443:$H$2451</definedName>
    <definedName name="comp091106">#REF!</definedName>
    <definedName name="comp091201" localSheetId="9">'[43]assemblies F _ K'!$B$2712:$H$2720</definedName>
    <definedName name="comp091201">#REF!</definedName>
    <definedName name="comp091202" localSheetId="9">'[43]assemblies F _ K'!$B$2722:$H$2730</definedName>
    <definedName name="comp091202">#REF!</definedName>
    <definedName name="comp091203" localSheetId="9">'[43]assemblies F _ K'!$B$2732:$H$2740</definedName>
    <definedName name="comp091203">#REF!</definedName>
    <definedName name="comp091204" localSheetId="9">'[43]assemblies F _ K'!$B$2742:$H$2750</definedName>
    <definedName name="comp091204">#REF!</definedName>
    <definedName name="comp091301" localSheetId="9">'[43]assemblies F _ K'!$B$2569:$H$2577</definedName>
    <definedName name="comp091301">#REF!</definedName>
    <definedName name="comp091302" localSheetId="9">'[43]assemblies F _ K'!$B$2579:$H$2587</definedName>
    <definedName name="comp091302">#REF!</definedName>
    <definedName name="comp091401" localSheetId="9">'[43]assemblies F _ K'!$B$2465:$H$2473</definedName>
    <definedName name="comp091401">#REF!</definedName>
    <definedName name="comp091402" localSheetId="9">'[43]assemblies F _ K'!$B$2475:$H$2483</definedName>
    <definedName name="comp091402">#REF!</definedName>
    <definedName name="comp091403" localSheetId="9">'[43]assemblies F _ K'!$B$2485:$H$2493</definedName>
    <definedName name="comp091403">#REF!</definedName>
    <definedName name="comp091404" localSheetId="9">'[43]assemblies F _ K'!$B$2495:$H$2503</definedName>
    <definedName name="comp091404">#REF!</definedName>
    <definedName name="comp091405" localSheetId="9">'[43]assemblies F _ K'!$B$2516:$H$2525</definedName>
    <definedName name="comp091405">#REF!</definedName>
    <definedName name="comp091406" localSheetId="9">'[43]assemblies F _ K'!$B$2527:$H$2536</definedName>
    <definedName name="comp091406">#REF!</definedName>
    <definedName name="comp091407" localSheetId="9">'[43]assemblies F _ K'!$B$2505:$H$2514</definedName>
    <definedName name="comp091407">#REF!</definedName>
    <definedName name="comp091501" localSheetId="9">'[43]assemblies F _ K'!$B$2701:$H$2710</definedName>
    <definedName name="comp091501">#REF!</definedName>
    <definedName name="comp091510" localSheetId="9">'[43]assemblies F _ K'!$B$2589:$H$2603</definedName>
    <definedName name="comp091510">#REF!</definedName>
    <definedName name="comp091511" localSheetId="9">'[43]assemblies F _ K'!$B$2605:$H$2619</definedName>
    <definedName name="comp091511">#REF!</definedName>
    <definedName name="comp091601" localSheetId="9">'[43]assemblies F _ K'!$B$1962:$H$1970</definedName>
    <definedName name="comp091601">#REF!</definedName>
    <definedName name="comp091701" localSheetId="9">'[40]assemblies A _ E'!$B$1139:$H$1142</definedName>
    <definedName name="comp091701">#REF!</definedName>
    <definedName name="comp092101" localSheetId="9">'[43]assemblies F _ K'!$B$1777:$H$1788</definedName>
    <definedName name="comp092101">#REF!</definedName>
    <definedName name="comp092102" localSheetId="9">'[43]assemblies F _ K'!$B$2393:$H$2401</definedName>
    <definedName name="comp092102">#REF!</definedName>
    <definedName name="comp093101" localSheetId="9">'[43]assemblies F _ K'!$B$2549:$H$2557</definedName>
    <definedName name="comp093101">#REF!</definedName>
    <definedName name="comp093102" localSheetId="9">'[43]assemblies F _ K'!$B$2559:$H$2567</definedName>
    <definedName name="comp093102">#REF!</definedName>
    <definedName name="comp093110" localSheetId="9">'[43]assemblies F _ K'!$B$2538:$H$2547</definedName>
    <definedName name="comp093110">#REF!</definedName>
    <definedName name="comp093115" localSheetId="9">'[43]assemblies F _ K'!$B$1999:$H$2009</definedName>
    <definedName name="comp093115">#REF!</definedName>
    <definedName name="comp093119" localSheetId="9">'[43]assemblies F _ K'!$B$2752:$H$2761</definedName>
    <definedName name="comp093119">#REF!</definedName>
    <definedName name="comp094101" localSheetId="9">'[40]assemblies A _ E'!$B$1144:$H$1154</definedName>
    <definedName name="comp094101">#REF!</definedName>
    <definedName name="comp094102" localSheetId="9">'[40]assemblies A _ E'!$B$1156:$H$1166</definedName>
    <definedName name="comp094102">#REF!</definedName>
    <definedName name="comp094103" localSheetId="9">'[40]assemblies A _ E'!$B$1180:$H$1190</definedName>
    <definedName name="comp094103">#REF!</definedName>
    <definedName name="comp094104" localSheetId="9">'[40]assemblies A _ E'!$B$1168:$H$1178</definedName>
    <definedName name="comp094104">#REF!</definedName>
    <definedName name="comp094105" localSheetId="9">'[40]assemblies A _ E'!$B$1192:$H$1202</definedName>
    <definedName name="comp094105">#REF!</definedName>
    <definedName name="comp094201" localSheetId="9">'[40]assemblies A _ E'!$B$1122:$H$1137</definedName>
    <definedName name="comp094201">#REF!</definedName>
    <definedName name="comp100101" localSheetId="9">'[43]assemblies F _ K'!$B$1626:$H$1629</definedName>
    <definedName name="comp100101">#REF!</definedName>
    <definedName name="comp100201" localSheetId="9">'[43]assemblies F _ K'!$B$1631:$H$1634</definedName>
    <definedName name="comp100201">#REF!</definedName>
    <definedName name="comp100210" localSheetId="9">'[42]assemblies R _ Z'!$B$808:$H$811</definedName>
    <definedName name="comp100210">#REF!</definedName>
    <definedName name="comp100301" localSheetId="9">'[43]assemblies F _ K'!$B$1636:$H$1639</definedName>
    <definedName name="comp100301">#REF!</definedName>
    <definedName name="comp110101" localSheetId="9">'[43]assemblies F _ K'!$B$1728:$H$1736</definedName>
    <definedName name="comp110101">#REF!</definedName>
    <definedName name="comp110201" localSheetId="9">'[43]assemblies F _ K'!$B$1738:$H$1745</definedName>
    <definedName name="comp110201">#REF!</definedName>
    <definedName name="comp120101" localSheetId="9">'[40]assemblies A _ E'!$B$1526:$H$1540</definedName>
    <definedName name="comp120101">#REF!</definedName>
    <definedName name="comp120102" localSheetId="9">'[40]assemblies A _ E'!$B$1510:$H$1524</definedName>
    <definedName name="comp120102">#REF!</definedName>
    <definedName name="comp120201" localSheetId="9">'[40]assemblies A _ E'!$B$2053:$H$2068</definedName>
    <definedName name="comp120201">#REF!</definedName>
    <definedName name="comp120301" localSheetId="9">'[42]assemblies R _ Z'!$B$102:$H$117</definedName>
    <definedName name="comp120301">#REF!</definedName>
    <definedName name="comp120302" localSheetId="9">'[42]assemblies R _ Z'!$B$119:$H$134</definedName>
    <definedName name="comp120302">#REF!</definedName>
    <definedName name="comp120303" localSheetId="9">'[42]assemblies R _ Z'!$B$136:$H$151</definedName>
    <definedName name="comp120303">#REF!</definedName>
    <definedName name="comp120401" localSheetId="9">'[42]assemblies R _ Z'!$B$527:$H$541</definedName>
    <definedName name="comp120401">#REF!</definedName>
    <definedName name="comp120402" localSheetId="9">'[42]assemblies R _ Z'!$B$561:$H$577</definedName>
    <definedName name="comp120402">#REF!</definedName>
    <definedName name="comp120403" localSheetId="9">'[42]assemblies R _ Z'!$B$543:$H$559</definedName>
    <definedName name="comp120403">#REF!</definedName>
    <definedName name="comp120404" localSheetId="9">'[42]assemblies R _ Z'!$B$579:$H$595</definedName>
    <definedName name="comp120404">#REF!</definedName>
    <definedName name="comp120501" localSheetId="9">'[40]assemblies A _ E'!$B$739:$H$751</definedName>
    <definedName name="comp120501">#REF!</definedName>
    <definedName name="comp120502" localSheetId="9">'[40]assemblies A _ E'!$B$753:$H$765</definedName>
    <definedName name="comp120502">#REF!</definedName>
    <definedName name="comp120503" localSheetId="9">'[40]assemblies A _ E'!$B$767:$H$779</definedName>
    <definedName name="comp120503">#REF!</definedName>
    <definedName name="comp120511" localSheetId="9">'[42]assemblies R _ Z'!$B$485:$H$497</definedName>
    <definedName name="comp120511">#REF!</definedName>
    <definedName name="comp120512" localSheetId="9">'[42]assemblies R _ Z'!$B$499:$H$511</definedName>
    <definedName name="comp120512">#REF!</definedName>
    <definedName name="comp120513" localSheetId="9">'[42]assemblies R _ Z'!$B$513:$H$525</definedName>
    <definedName name="comp120513">#REF!</definedName>
    <definedName name="comp120521" localSheetId="9">'[42]assemblies R _ Z'!$B$597:$H$608</definedName>
    <definedName name="comp120521">#REF!</definedName>
    <definedName name="comp120531" localSheetId="9">'[42]assemblies R _ Z'!$B$610:$H$620</definedName>
    <definedName name="comp120531">#REF!</definedName>
    <definedName name="comp120541" localSheetId="9">'[41]assemblies L _ Q'!$B$1299:$H$1316</definedName>
    <definedName name="comp120541">#REF!</definedName>
    <definedName name="comp120542" localSheetId="9">'[41]assemblies L _ Q'!$B$1318:$H$1333</definedName>
    <definedName name="comp120542">#REF!</definedName>
    <definedName name="comp120601" localSheetId="9">'[40]assemblies A _ E'!$B$1464:$H$1467</definedName>
    <definedName name="comp120601">#REF!</definedName>
    <definedName name="comp121101" localSheetId="9">'[43]assemblies F _ K'!$B$770:$H$779</definedName>
    <definedName name="comp121101">#REF!</definedName>
    <definedName name="comp121102" localSheetId="9">'[43]assemblies F _ K'!$B$781:$H$790</definedName>
    <definedName name="comp121102">#REF!</definedName>
    <definedName name="comp130001" localSheetId="9">'[41]assemblies L _ Q'!$B$88:$H$100</definedName>
    <definedName name="comp130001">#REF!</definedName>
    <definedName name="comp130002" localSheetId="9">'[41]assemblies L _ Q'!$B$102:$H$118</definedName>
    <definedName name="comp130002">#REF!</definedName>
    <definedName name="comp130003" localSheetId="9">'[41]assemblies L _ Q'!$B$120:$H$131</definedName>
    <definedName name="comp130003">#REF!</definedName>
    <definedName name="comp130004" localSheetId="9">'[41]assemblies L _ Q'!$B$133:$H$148</definedName>
    <definedName name="comp130004">#REF!</definedName>
    <definedName name="comp130005" localSheetId="9">'[41]assemblies L _ Q'!$B$150:$H$162</definedName>
    <definedName name="comp130005">#REF!</definedName>
    <definedName name="comp130006" localSheetId="9">'[41]assemblies L _ Q'!$B$164:$H$180</definedName>
    <definedName name="comp130006">#REF!</definedName>
    <definedName name="comp130007" localSheetId="9">'[41]assemblies L _ Q'!$B$182:$H$194</definedName>
    <definedName name="comp130007">#REF!</definedName>
    <definedName name="comp130008" localSheetId="9">'[41]assemblies L _ Q'!$B$196:$H$212</definedName>
    <definedName name="comp130008">#REF!</definedName>
    <definedName name="comp130009" localSheetId="9">'[41]assemblies L _ Q'!$B$214:$H$226</definedName>
    <definedName name="comp130009">#REF!</definedName>
    <definedName name="comp130010" localSheetId="9">'[41]assemblies L _ Q'!$B$228:$H$244</definedName>
    <definedName name="comp130010">#REF!</definedName>
    <definedName name="comp130011" localSheetId="9">'[41]assemblies L _ Q'!$B$246:$H$258</definedName>
    <definedName name="comp130011">#REF!</definedName>
    <definedName name="comp130012" localSheetId="9">'[41]assemblies L _ Q'!$B$260:$H$276</definedName>
    <definedName name="comp130012">#REF!</definedName>
    <definedName name="comp130013" localSheetId="9">'[41]assemblies L _ Q'!$B$278:$H$289</definedName>
    <definedName name="comp130013">#REF!</definedName>
    <definedName name="comp130014" localSheetId="9">'[41]assemblies L _ Q'!$B$291:$H$306</definedName>
    <definedName name="comp130014">#REF!</definedName>
    <definedName name="comp130015" localSheetId="9">'[41]assemblies L _ Q'!$B$308:$H$319</definedName>
    <definedName name="comp130015">#REF!</definedName>
    <definedName name="comp130016" localSheetId="9">'[41]assemblies L _ Q'!$B$321:$H$336</definedName>
    <definedName name="comp130016">#REF!</definedName>
    <definedName name="comp130017" localSheetId="9">'[41]assemblies L _ Q'!$B$338:$H$349</definedName>
    <definedName name="comp130017">#REF!</definedName>
    <definedName name="comp130018" localSheetId="9">'[41]assemblies L _ Q'!$B$351:$H$366</definedName>
    <definedName name="comp130018">#REF!</definedName>
    <definedName name="comp130019" localSheetId="9">'[41]assemblies L _ Q'!$B$368:$H$379</definedName>
    <definedName name="comp130019">#REF!</definedName>
    <definedName name="comp130020" localSheetId="9">'[41]assemblies L _ Q'!$B$381:$H$396</definedName>
    <definedName name="comp130020">#REF!</definedName>
    <definedName name="comp130101" localSheetId="9">'[42]assemblies R _ Z'!$B$383:$H$393</definedName>
    <definedName name="comp130101">#REF!</definedName>
    <definedName name="comp130102" localSheetId="9">'[42]assemblies R _ Z'!$B$371:$H$381</definedName>
    <definedName name="comp130102">#REF!</definedName>
    <definedName name="comp130103" localSheetId="9">'[42]assemblies R _ Z'!$B$347:$H$357</definedName>
    <definedName name="comp130103">#REF!</definedName>
    <definedName name="comp130104" localSheetId="9">'[42]assemblies R _ Z'!$B$359:$H$369</definedName>
    <definedName name="comp130104">#REF!</definedName>
    <definedName name="comp130201" localSheetId="9">'[41]assemblies L _ Q'!$B$1182:$H$1196</definedName>
    <definedName name="comp130201">#REF!</definedName>
    <definedName name="comp130202" localSheetId="9">'[41]assemblies L _ Q'!$B$1198:$H$1213</definedName>
    <definedName name="comp130202">#REF!</definedName>
    <definedName name="comp130211" localSheetId="9">'[41]assemblies L _ Q'!$B$1294:$H$1297</definedName>
    <definedName name="comp130211">#REF!</definedName>
    <definedName name="comp130221" localSheetId="9">'[41]assemblies L _ Q'!$B$1169:$H$1180</definedName>
    <definedName name="comp130221">#REF!</definedName>
    <definedName name="comp130231" localSheetId="9">'[41]assemblies L _ Q'!$B$1215:$H$1230</definedName>
    <definedName name="comp130231">#REF!</definedName>
    <definedName name="comp130241" localSheetId="9">'[41]assemblies L _ Q'!$B$1232:$H$1235</definedName>
    <definedName name="comp130241">#REF!</definedName>
    <definedName name="comp130251" localSheetId="9">'[41]assemblies L _ Q'!$B$1255:$H$1270</definedName>
    <definedName name="comp130251">#REF!</definedName>
    <definedName name="comp130252" localSheetId="9">'[41]assemblies L _ Q'!$B$1272:$H$1287</definedName>
    <definedName name="comp130252">#REF!</definedName>
    <definedName name="comp130261" localSheetId="9">'[41]assemblies L _ Q'!$B$1237:$H$1253</definedName>
    <definedName name="comp130261">#REF!</definedName>
    <definedName name="comp130271" localSheetId="9">'[41]assemblies L _ Q'!$B$1289:$H$1292</definedName>
    <definedName name="comp130271">#REF!</definedName>
    <definedName name="comp130311" localSheetId="9">'[42]assemblies R _ Z'!$B$709:$H$712</definedName>
    <definedName name="comp130311">#REF!</definedName>
    <definedName name="comp130321" localSheetId="9">'[42]assemblies R _ Z'!$B$672:$H$683</definedName>
    <definedName name="comp130321">#REF!</definedName>
    <definedName name="comp130351" localSheetId="9">'[42]assemblies R _ Z'!$B$685:$H$695</definedName>
    <definedName name="comp130351">#REF!</definedName>
    <definedName name="comp130352" localSheetId="9">'[42]assemblies R _ Z'!$B$697:$H$707</definedName>
    <definedName name="comp130352">#REF!</definedName>
    <definedName name="comp130361" localSheetId="9">'[42]assemblies R _ Z'!$B$714:$H$725</definedName>
    <definedName name="comp130361">#REF!</definedName>
    <definedName name="comp130402" localSheetId="9">'[42]assemblies R _ Z'!$B$863:$H$873</definedName>
    <definedName name="comp130402">#REF!</definedName>
    <definedName name="comp130451" localSheetId="9">'[42]assemblies R _ Z'!$B$875:$H$890</definedName>
    <definedName name="comp130451">#REF!</definedName>
    <definedName name="comp130501" localSheetId="9">'[40]assemblies A _ E'!$B$1216:$H$1237</definedName>
    <definedName name="comp130501">#REF!</definedName>
    <definedName name="comp130601" localSheetId="9">'[42]assemblies R _ Z'!$B$153:$H$157</definedName>
    <definedName name="comp130601">#REF!</definedName>
    <definedName name="comp130602" localSheetId="9">'[42]assemblies R _ Z'!$B$159:$H$163</definedName>
    <definedName name="comp130602">#REF!</definedName>
    <definedName name="comp130603" localSheetId="9">'[42]assemblies R _ Z'!$B$165:$H$169</definedName>
    <definedName name="comp130603">#REF!</definedName>
    <definedName name="comp140101" localSheetId="9">'[42]assemblies R _ Z'!$B$1420:$H$1423</definedName>
    <definedName name="comp140101">#REF!</definedName>
    <definedName name="comp140201" localSheetId="9">'[42]assemblies R _ Z'!$B$1430:$H$1433</definedName>
    <definedName name="comp140201">#REF!</definedName>
    <definedName name="comp140301" localSheetId="9">'[42]assemblies R _ Z'!$B$1425:$H$1428</definedName>
    <definedName name="comp140301">#REF!</definedName>
    <definedName name="comp140401" localSheetId="9">'[42]assemblies R _ Z'!$B$1435:$H$1438</definedName>
    <definedName name="comp140401">#REF!</definedName>
    <definedName name="comp140501" localSheetId="9">'[40]assemblies A _ E'!$B$2522:$H$2525</definedName>
    <definedName name="comp140501">#REF!</definedName>
    <definedName name="comp150201" localSheetId="9">'[40]assemblies A _ E'!$B$1996:$H$2005</definedName>
    <definedName name="comp150201">#REF!</definedName>
    <definedName name="comp150202" localSheetId="9">'[40]assemblies A _ E'!$B$2007:$H$2016</definedName>
    <definedName name="comp150202">#REF!</definedName>
    <definedName name="comp150203" localSheetId="9">'[40]assemblies A _ E'!$B$2018:$H$2027</definedName>
    <definedName name="comp150203">#REF!</definedName>
    <definedName name="comp150204" localSheetId="9">'[40]assemblies A _ E'!$B$2029:$H$2038</definedName>
    <definedName name="comp150204">#REF!</definedName>
    <definedName name="comp150301" localSheetId="9">'[41]assemblies L _ Q'!$B$956:$H$966</definedName>
    <definedName name="comp150301">#REF!</definedName>
    <definedName name="comp150302" localSheetId="9">'[41]assemblies L _ Q'!$B$968:$H$979</definedName>
    <definedName name="comp150302">#REF!</definedName>
    <definedName name="comp150303" localSheetId="9">'[41]assemblies L _ Q'!$B$981:$H$993</definedName>
    <definedName name="comp150303">#REF!</definedName>
    <definedName name="comp150304" localSheetId="9">'[41]assemblies L _ Q'!$B$995:$H$1007</definedName>
    <definedName name="comp150304">#REF!</definedName>
    <definedName name="comp150305" localSheetId="9">'[41]assemblies L _ Q'!$B$1009:$H$1019</definedName>
    <definedName name="comp150305">#REF!</definedName>
    <definedName name="comp150306" localSheetId="9">'[41]assemblies L _ Q'!$B$1021:$H$1030</definedName>
    <definedName name="comp150306">#REF!</definedName>
    <definedName name="comp150307" localSheetId="9">'[41]assemblies L _ Q'!$B$1032:$H$1042</definedName>
    <definedName name="comp150307">#REF!</definedName>
    <definedName name="comp150308" localSheetId="9">'[41]assemblies L _ Q'!$B$1044:$H$1053</definedName>
    <definedName name="comp150308">#REF!</definedName>
    <definedName name="comp150309" localSheetId="9">'[41]assemblies L _ Q'!$B$1055:$H$1067</definedName>
    <definedName name="comp150309">#REF!</definedName>
    <definedName name="comp150310" localSheetId="9">'[41]assemblies L _ Q'!$B$1069:$H$1077</definedName>
    <definedName name="comp150310">#REF!</definedName>
    <definedName name="comp150311" localSheetId="9">'[41]assemblies L _ Q'!$B$1107:$H$1117</definedName>
    <definedName name="comp150311">#REF!</definedName>
    <definedName name="comp150312" localSheetId="9">'[41]assemblies L _ Q'!$B$1119:$H$1128</definedName>
    <definedName name="comp150312">#REF!</definedName>
    <definedName name="comp150313" localSheetId="9">'[41]assemblies L _ Q'!$B$1130:$H$1142</definedName>
    <definedName name="comp150313">#REF!</definedName>
    <definedName name="comp150314" localSheetId="9">'[41]assemblies L _ Q'!$B$1144:$H$1154</definedName>
    <definedName name="comp150314">#REF!</definedName>
    <definedName name="comp150315" localSheetId="9">'[41]assemblies L _ Q'!$B$1156:$H$1167</definedName>
    <definedName name="comp150315">#REF!</definedName>
    <definedName name="comp150316" localSheetId="9">'[41]assemblies L _ Q'!$B$1079:$H$1091</definedName>
    <definedName name="comp150316">#REF!</definedName>
    <definedName name="comp150317" localSheetId="9">'[41]assemblies L _ Q'!$B$1093:$H$1105</definedName>
    <definedName name="comp150317">#REF!</definedName>
    <definedName name="comp160101" localSheetId="9">'[40]assemblies A _ E'!$B$2175:$H$2181</definedName>
    <definedName name="comp160101">#REF!</definedName>
    <definedName name="comp160102" localSheetId="9">'[40]assemblies A _ E'!$B$2259:$H$2262</definedName>
    <definedName name="comp160102">#REF!</definedName>
    <definedName name="comp160103" localSheetId="9">'[40]assemblies A _ E'!$B$2517:$H$2520</definedName>
    <definedName name="comp160103">#REF!</definedName>
    <definedName name="comp160104" localSheetId="9">'[40]assemblies A _ E'!$B$1590:$H$1593</definedName>
    <definedName name="comp160104">#REF!</definedName>
    <definedName name="comp160105" localSheetId="9">'[40]assemblies A _ E'!$B$1595:$H$1598</definedName>
    <definedName name="comp160105">#REF!</definedName>
    <definedName name="comp160110" localSheetId="9">'[40]assemblies A _ E'!$B$979:$H$982</definedName>
    <definedName name="comp160110">#REF!</definedName>
    <definedName name="comp160111" localSheetId="9">'[40]assemblies A _ E'!$B$984:$H$988</definedName>
    <definedName name="comp160111">#REF!</definedName>
    <definedName name="comp160121" localSheetId="9">'[41]assemblies L _ Q'!$B$1789:$H$1798</definedName>
    <definedName name="comp160121">#REF!</definedName>
    <definedName name="comp160122" localSheetId="9">'[42]assemblies R _ Z'!$B$416:$H$420</definedName>
    <definedName name="comp160122">#REF!</definedName>
    <definedName name="comp160123" localSheetId="9">'[42]assemblies R _ Z'!$B$395:$H$414</definedName>
    <definedName name="comp160123">#REF!</definedName>
    <definedName name="comp160131" localSheetId="9">'[41]assemblies L _ Q'!$B$79:$H$86</definedName>
    <definedName name="comp160131">#REF!</definedName>
    <definedName name="comp160132" localSheetId="9">'[41]assemblies L _ Q'!$B$70:$H$77</definedName>
    <definedName name="comp160132">#REF!</definedName>
    <definedName name="comp160141" localSheetId="9">'[42]assemblies R _ Z'!$B$813:$H$832</definedName>
    <definedName name="comp160141">#REF!</definedName>
    <definedName name="comp160142" localSheetId="9">'[41]assemblies L _ Q'!$B$500:$H$514</definedName>
    <definedName name="comp160142">#REF!</definedName>
    <definedName name="comp160151" localSheetId="9">'[42]assemblies R _ Z'!$B$433:$H$437</definedName>
    <definedName name="comp160151">#REF!</definedName>
    <definedName name="comp160201" localSheetId="9">'[41]assemblies L _ Q'!$B$811:$H$819</definedName>
    <definedName name="comp160201">#REF!</definedName>
    <definedName name="comp160211" localSheetId="9">'[40]assemblies A _ E'!$B$522:$H$537</definedName>
    <definedName name="comp160211">#REF!</definedName>
    <definedName name="comp160212" localSheetId="9">'[41]assemblies L _ Q'!$B$615:$H$631</definedName>
    <definedName name="comp160212">#REF!</definedName>
    <definedName name="comp160213" localSheetId="9">'[41]assemblies L _ Q'!$B$561:$H$577</definedName>
    <definedName name="comp160213">#REF!</definedName>
    <definedName name="comp160214" localSheetId="9">'[40]assemblies A _ E'!$B$505:$H$520</definedName>
    <definedName name="comp160214">#REF!</definedName>
    <definedName name="comp160215" localSheetId="9">'[41]assemblies L _ Q'!$B$579:$H$595</definedName>
    <definedName name="comp160215">#REF!</definedName>
    <definedName name="comp160216" localSheetId="9">'[41]assemblies L _ Q'!$B$597:$H$613</definedName>
    <definedName name="comp160216">#REF!</definedName>
    <definedName name="comp160221" localSheetId="9">'[40]assemblies A _ E'!$B$539:$H$549</definedName>
    <definedName name="comp160221">#REF!</definedName>
    <definedName name="comp160222" localSheetId="9">'[41]assemblies L _ Q'!$B$798:$H$809</definedName>
    <definedName name="comp160222">#REF!</definedName>
    <definedName name="comp160223" localSheetId="9">'[41]assemblies L _ Q'!$B$701:$H$710</definedName>
    <definedName name="comp160223">#REF!</definedName>
    <definedName name="comp160224" localSheetId="9">'[41]assemblies L _ Q'!$B$712:$H$721</definedName>
    <definedName name="comp160224">#REF!</definedName>
    <definedName name="comp160225" localSheetId="9">'[41]assemblies L _ Q'!$B$723:$H$732</definedName>
    <definedName name="comp160225">#REF!</definedName>
    <definedName name="comp160226" localSheetId="9">'[41]assemblies L _ Q'!$B$734:$H$748</definedName>
    <definedName name="comp160226">#REF!</definedName>
    <definedName name="comp160227" localSheetId="9">'[41]assemblies L _ Q'!$B$750:$H$764</definedName>
    <definedName name="comp160227">#REF!</definedName>
    <definedName name="comp160228" localSheetId="9">'[41]assemblies L _ Q'!$B$766:$H$780</definedName>
    <definedName name="comp160228">#REF!</definedName>
    <definedName name="comp160229" localSheetId="9">'[41]assemblies L _ Q'!$B$782:$H$796</definedName>
    <definedName name="comp160229">#REF!</definedName>
    <definedName name="comp160241" localSheetId="9">'[41]assemblies L _ Q'!$B$649:$H$659</definedName>
    <definedName name="comp160241">#REF!</definedName>
    <definedName name="comp160301" localSheetId="9">'[43]assemblies F _ K'!$B$1747:$H$1750</definedName>
    <definedName name="comp160301">#REF!</definedName>
    <definedName name="comp160302" localSheetId="9">'[43]assemblies F _ K'!$B$1752:$H$1755</definedName>
    <definedName name="comp160302">#REF!</definedName>
    <definedName name="comp160310" localSheetId="9">'[42]assemblies R _ Z'!$B$622:$H$625</definedName>
    <definedName name="comp160310">#REF!</definedName>
    <definedName name="comp160311" localSheetId="9">'[42]assemblies R _ Z'!$B$627:$H$630</definedName>
    <definedName name="comp160311">#REF!</definedName>
    <definedName name="comp160312" localSheetId="9">'[42]assemblies R _ Z'!$B$632:$H$635</definedName>
    <definedName name="comp160312">#REF!</definedName>
    <definedName name="comp160401" localSheetId="9">'[40]assemblies A _ E'!$B$913:$H$922</definedName>
    <definedName name="comp160401">#REF!</definedName>
    <definedName name="comp170101" localSheetId="9">'[41]assemblies L _ Q'!$B$2199:$H$2203</definedName>
    <definedName name="comp170101">#REF!</definedName>
    <definedName name="comp170102" localSheetId="9">'[43]assemblies F _ K'!$B$1719:$H$1726</definedName>
    <definedName name="comp170102">#REF!</definedName>
    <definedName name="comp170103" localSheetId="9">'[40]assemblies A _ E'!$B$113:$H$131</definedName>
    <definedName name="comp170103">#REF!</definedName>
    <definedName name="comp170104" localSheetId="9">'[40]assemblies A _ E'!$B$895:$H$911</definedName>
    <definedName name="comp170104">#REF!</definedName>
    <definedName name="comp170105" localSheetId="9">'[40]assemblies A _ E'!$B$1764:$H$1773</definedName>
    <definedName name="comp170105">#REF!</definedName>
    <definedName name="comp170106" localSheetId="9">'[40]assemblies A _ E'!$B$2165:$H$2168</definedName>
    <definedName name="comp170106">#REF!</definedName>
    <definedName name="comp170107" localSheetId="9">'[40]assemblies A _ E'!$B$2170:$H$2173</definedName>
    <definedName name="comp170107">#REF!</definedName>
    <definedName name="comp170108" localSheetId="9">'[40]assemblies A _ E'!$B$93:$H$111</definedName>
    <definedName name="comp170108">#REF!</definedName>
    <definedName name="comp170109" localSheetId="9">'[40]assemblies A _ E'!$B$73:$H$91</definedName>
    <definedName name="comp170109">#REF!</definedName>
    <definedName name="comp170110" localSheetId="9">'[40]assemblies A _ E'!$B$133:$H$151</definedName>
    <definedName name="comp170110">#REF!</definedName>
    <definedName name="comp170111" localSheetId="9">'[40]assemblies A _ E'!$B$2716:$H$2725</definedName>
    <definedName name="comp170111">#REF!</definedName>
    <definedName name="comp170121" localSheetId="9">'[43]assemblies F _ K'!$B$1671:$H$1674</definedName>
    <definedName name="comp170121">#REF!</definedName>
    <definedName name="comp170201" localSheetId="9">'[40]assemblies A _ E'!$B$1474:$H$1489</definedName>
    <definedName name="comp170201">#REF!</definedName>
    <definedName name="comp170202" localSheetId="9">'[40]assemblies A _ E'!$B$1491:$H$1503</definedName>
    <definedName name="comp170202">#REF!</definedName>
    <definedName name="comp170211" localSheetId="9">'[40]assemblies A _ E'!$B$1469:$H$1472</definedName>
    <definedName name="comp170211">#REF!</definedName>
    <definedName name="comp170231" localSheetId="9">'[40]assemblies A _ E'!$B$354:$H$357</definedName>
    <definedName name="comp170231">#REF!</definedName>
    <definedName name="comp170232" localSheetId="9">'[40]assemblies A _ E'!$B$68:$H$71</definedName>
    <definedName name="comp170232">#REF!</definedName>
    <definedName name="comp170301" localSheetId="9">'[40]assemblies A _ E'!$B$858:$H$874</definedName>
    <definedName name="comp170301">#REF!</definedName>
    <definedName name="comp170311" localSheetId="9">'[40]assemblies A _ E'!$B$876:$H$879</definedName>
    <definedName name="comp170311">#REF!</definedName>
    <definedName name="comp170401" localSheetId="9">'[40]assemblies A _ E'!$B$1505:$H$1508</definedName>
    <definedName name="comp170401">#REF!</definedName>
    <definedName name="comp170402" localSheetId="9">'[43]assemblies F _ K'!$B$1676:$H$1692</definedName>
    <definedName name="comp170402">#REF!</definedName>
    <definedName name="comp170411" localSheetId="9">'[40]assemblies A _ E'!$B$1600:$H$1603</definedName>
    <definedName name="comp170411">#REF!</definedName>
    <definedName name="comp170421" localSheetId="9">'[40]assemblies A _ E'!$B$990:$H$993</definedName>
    <definedName name="comp170421">#REF!</definedName>
    <definedName name="comp170501" localSheetId="9">'[41]assemblies L _ Q'!$B$2235:$H$2263</definedName>
    <definedName name="comp170501">#REF!</definedName>
    <definedName name="comp170601" localSheetId="9">'[42]assemblies R _ Z'!$B$428:$H$431</definedName>
    <definedName name="comp170601">#REF!</definedName>
    <definedName name="comp170602" localSheetId="9">'[42]assemblies R _ Z'!$B$450:$H$453</definedName>
    <definedName name="comp170602">#REF!</definedName>
    <definedName name="comp170702" localSheetId="9">'[40]assemblies A _ E'!$B$635:$H$645</definedName>
    <definedName name="comp170702">#REF!</definedName>
    <definedName name="comp170801" localSheetId="9">'[40]assemblies A _ E'!$B$2589:$H$2600</definedName>
    <definedName name="comp170801">#REF!</definedName>
    <definedName name="comp170811" localSheetId="9">'[43]assemblies F _ K'!$B$1699:$H$1702</definedName>
    <definedName name="comp170811">#REF!</definedName>
    <definedName name="comp170812" localSheetId="9">'[43]assemblies F _ K'!$B$1704:$H$1707</definedName>
    <definedName name="comp170812">#REF!</definedName>
    <definedName name="comp171101" localSheetId="9">'[41]assemblies L _ Q'!$B$495:$H$498</definedName>
    <definedName name="comp171101">#REF!</definedName>
    <definedName name="comp203201" localSheetId="9">'[40]assemblies A _ E'!$B$1254:$H$1261</definedName>
    <definedName name="comp203201">#REF!</definedName>
    <definedName name="comp203202" localSheetId="9">'[40]assemblies A _ E'!$B$1263:$H$1272</definedName>
    <definedName name="comp203202">#REF!</definedName>
    <definedName name="comp203203" localSheetId="9">'[40]assemblies A _ E'!$B$1274:$H$1281</definedName>
    <definedName name="comp203203">#REF!</definedName>
    <definedName name="comp203204" localSheetId="9">'[40]assemblies A _ E'!$B$1283:$H$1292</definedName>
    <definedName name="comp203204">#REF!</definedName>
    <definedName name="comp203205" localSheetId="9">'[40]assemblies A _ E'!$B$1294:$H$1301</definedName>
    <definedName name="comp203205">#REF!</definedName>
    <definedName name="comp203206" localSheetId="9">'[40]assemblies A _ E'!$B$1303:$H$1312</definedName>
    <definedName name="comp203206">#REF!</definedName>
    <definedName name="comp203207" localSheetId="9">'[40]assemblies A _ E'!$B$1314:$H$1321</definedName>
    <definedName name="comp203207">#REF!</definedName>
    <definedName name="comp203208" localSheetId="9">'[40]assemblies A _ E'!$B$1323:$H$1332</definedName>
    <definedName name="comp203208">#REF!</definedName>
    <definedName name="comp203209" localSheetId="9">'[40]assemblies A _ E'!$B$1334:$H$1341</definedName>
    <definedName name="comp203209">#REF!</definedName>
    <definedName name="comp203210" localSheetId="9">'[40]assemblies A _ E'!$B$1343:$H$1352</definedName>
    <definedName name="comp203210">#REF!</definedName>
    <definedName name="comp203211" localSheetId="9">'[40]assemblies A _ E'!$B$1354:$H$1361</definedName>
    <definedName name="comp203211">#REF!</definedName>
    <definedName name="comp203212" localSheetId="9">'[40]assemblies A _ E'!$B$1363:$H$1372</definedName>
    <definedName name="comp203212">#REF!</definedName>
    <definedName name="comp203213" localSheetId="9">'[40]assemblies A _ E'!$B$1374:$H$1381</definedName>
    <definedName name="comp203213">#REF!</definedName>
    <definedName name="comp203214" localSheetId="9">'[40]assemblies A _ E'!$B$1383:$H$1392</definedName>
    <definedName name="comp203214">#REF!</definedName>
    <definedName name="comp203301" localSheetId="9">'[40]assemblies A _ E'!$B$1404:$H$1411</definedName>
    <definedName name="comp203301">#REF!</definedName>
    <definedName name="comp203302" localSheetId="9">'[40]assemblies A _ E'!$B$1413:$H$1422</definedName>
    <definedName name="comp203302">#REF!</definedName>
    <definedName name="comp203303" localSheetId="9">'[40]assemblies A _ E'!$B$1424:$H$1431</definedName>
    <definedName name="comp203303">#REF!</definedName>
    <definedName name="comp203304" localSheetId="9">'[40]assemblies A _ E'!$B$1433:$H$1442</definedName>
    <definedName name="comp203304">#REF!</definedName>
    <definedName name="comp203305" localSheetId="9">'[40]assemblies A _ E'!$B$1444:$H$1451</definedName>
    <definedName name="comp203305">#REF!</definedName>
    <definedName name="comp203306" localSheetId="9">'[40]assemblies A _ E'!$B$1453:$H$1462</definedName>
    <definedName name="comp203306">#REF!</definedName>
    <definedName name="comp203501" localSheetId="9">'[40]assemblies A _ E'!$B$1645:$H$1652</definedName>
    <definedName name="comp203501">#REF!</definedName>
    <definedName name="comp203502" localSheetId="9">'[40]assemblies A _ E'!$B$1654:$H$1663</definedName>
    <definedName name="comp203502">#REF!</definedName>
    <definedName name="comp203601" localSheetId="9">'[40]assemblies A _ E'!$B$1605:$H$1612</definedName>
    <definedName name="comp203601">#REF!</definedName>
    <definedName name="comp203602" localSheetId="9">'[40]assemblies A _ E'!$B$1614:$H$1623</definedName>
    <definedName name="comp203602">#REF!</definedName>
    <definedName name="comp203603" localSheetId="9">'[40]assemblies A _ E'!$B$1625:$H$1632</definedName>
    <definedName name="comp203603">#REF!</definedName>
    <definedName name="comp203604" localSheetId="9">'[40]assemblies A _ E'!$B$1634:$H$1643</definedName>
    <definedName name="comp203604">#REF!</definedName>
    <definedName name="comp204101" localSheetId="9">'[40]assemblies A _ E'!$B$1960:$H$1967</definedName>
    <definedName name="comp204101">#REF!</definedName>
    <definedName name="comp204102" localSheetId="9">'[40]assemblies A _ E'!$B$1969:$H$1978</definedName>
    <definedName name="comp204102">#REF!</definedName>
    <definedName name="comp205101" localSheetId="9">'[40]assemblies A _ E'!$B$2439:$H$2446</definedName>
    <definedName name="comp205101">#REF!</definedName>
    <definedName name="comp205102" localSheetId="9">'[40]assemblies A _ E'!$B$2448:$H$2457</definedName>
    <definedName name="comp205102">#REF!</definedName>
    <definedName name="comp205103" localSheetId="9">'[40]assemblies A _ E'!$B$2459:$H$2466</definedName>
    <definedName name="comp205103">#REF!</definedName>
    <definedName name="comp205104" localSheetId="9">'[40]assemblies A _ E'!$B$2468:$H$2477</definedName>
    <definedName name="comp205104">#REF!</definedName>
    <definedName name="comp207201" localSheetId="9">'[43]assemblies F _ K'!$B$1641:$H$1647</definedName>
    <definedName name="comp207201">#REF!</definedName>
    <definedName name="comp207202" localSheetId="9">'[43]assemblies F _ K'!$B$1649:$H$1656</definedName>
    <definedName name="comp207202">#REF!</definedName>
    <definedName name="comp212201" localSheetId="9">'[41]assemblies L _ Q'!$B$670:$H$679</definedName>
    <definedName name="comp212201">#REF!</definedName>
    <definedName name="comp212301" localSheetId="9">'[41]assemblies L _ Q'!$B$681:$H$688</definedName>
    <definedName name="comp212301">#REF!</definedName>
    <definedName name="comp212302" localSheetId="9">'[41]assemblies L _ Q'!$B$690:$H$699</definedName>
    <definedName name="comp212302">#REF!</definedName>
    <definedName name="comp215101" localSheetId="9">'[41]assemblies L _ Q'!$B$881:$H$888</definedName>
    <definedName name="comp215101">#REF!</definedName>
    <definedName name="comp215102" localSheetId="9">'[41]assemblies L _ Q'!$B$890:$H$898</definedName>
    <definedName name="comp215102">#REF!</definedName>
    <definedName name="comp217201" localSheetId="9">'[42]assemblies R _ Z'!$B$465:$H$472</definedName>
    <definedName name="comp217201">#REF!</definedName>
    <definedName name="comp217202" localSheetId="9">'[42]assemblies R _ Z'!$B$474:$H$483</definedName>
    <definedName name="comp217202">#REF!</definedName>
    <definedName name="comp217301" localSheetId="9">'[42]assemblies R _ Z'!$B$747:$H$754</definedName>
    <definedName name="comp217301">#REF!</definedName>
    <definedName name="comp217302" localSheetId="9">'[42]assemblies R _ Z'!$B$756:$H$765</definedName>
    <definedName name="comp217302">#REF!</definedName>
    <definedName name="comp217303" localSheetId="9">'[42]assemblies R _ Z'!$B$767:$H$774</definedName>
    <definedName name="comp217303">#REF!</definedName>
    <definedName name="comp217304" localSheetId="9">'[42]assemblies R _ Z'!$B$776:$H$785</definedName>
    <definedName name="comp217304">#REF!</definedName>
    <definedName name="comp217305" localSheetId="9">'[42]assemblies R _ Z'!$B$727:$H$734</definedName>
    <definedName name="comp217305">#REF!</definedName>
    <definedName name="comp217306" localSheetId="9">'[42]assemblies R _ Z'!$B$736:$H$745</definedName>
    <definedName name="comp217306">#REF!</definedName>
    <definedName name="comp219201" localSheetId="9">'[42]assemblies R _ Z'!$B$1081:$H$1088</definedName>
    <definedName name="comp219201">#REF!</definedName>
    <definedName name="comp219202" localSheetId="9">'[42]assemblies R _ Z'!$B$1090:$H$1099</definedName>
    <definedName name="comp219202">#REF!</definedName>
    <definedName name="comp219203" localSheetId="9">'[42]assemblies R _ Z'!$B$1101:$H$1108</definedName>
    <definedName name="comp219203">#REF!</definedName>
    <definedName name="comp219204" localSheetId="9">'[42]assemblies R _ Z'!$B$1110:$H$1119</definedName>
    <definedName name="comp219204">#REF!</definedName>
    <definedName name="comp219205" localSheetId="9">'[42]assemblies R _ Z'!$B$1121:$H$1125</definedName>
    <definedName name="comp219205">#REF!</definedName>
    <definedName name="comp219206" localSheetId="9">'[42]assemblies R _ Z'!$B$1127:$H$1131</definedName>
    <definedName name="comp219206">#REF!</definedName>
    <definedName name="comp219207" localSheetId="9">'[42]assemblies R _ Z'!$B$1133:$H$1140</definedName>
    <definedName name="comp219207">#REF!</definedName>
    <definedName name="comp219208" localSheetId="9">'[42]assemblies R _ Z'!$B$1142:$H$1151</definedName>
    <definedName name="comp219208">#REF!</definedName>
    <definedName name="comp219209" localSheetId="9">'[42]assemblies R _ Z'!$B$1153:$H$1160</definedName>
    <definedName name="comp219209">#REF!</definedName>
    <definedName name="comp219210" localSheetId="9">'[42]assemblies R _ Z'!$B$1162:$H$1171</definedName>
    <definedName name="comp219210">#REF!</definedName>
    <definedName name="Company">[44]Controls!$C$6</definedName>
    <definedName name="companycurrency">'[45]Company data'!$B$7</definedName>
    <definedName name="companyname">[45]Cover!$D$9</definedName>
    <definedName name="COMPLETO">#REF!</definedName>
    <definedName name="COMPOSICAO01">#REF!</definedName>
    <definedName name="COMPOSIÇÃO01">#REF!</definedName>
    <definedName name="COMPOSICAO01_1">#REF!</definedName>
    <definedName name="COMPOSICAO02">#REF!</definedName>
    <definedName name="COMPOSICAO02_1">#REF!</definedName>
    <definedName name="Composições" localSheetId="8">#REF!</definedName>
    <definedName name="COMPOSIÇÕES">[23]Composições!$N:$Q</definedName>
    <definedName name="COMPRA" localSheetId="6">#REF!</definedName>
    <definedName name="COMPRA" localSheetId="9">#REF!</definedName>
    <definedName name="COMPRA">#REF!</definedName>
    <definedName name="COMPRAS" localSheetId="6">#REF!</definedName>
    <definedName name="COMPRAS">#REF!</definedName>
    <definedName name="COMPRIM" localSheetId="6">#REF!</definedName>
    <definedName name="COMPRIM">#REF!</definedName>
    <definedName name="comprimento" localSheetId="9">'[7]DADOS COLETATO'!$E$11</definedName>
    <definedName name="comprimento">#REF!</definedName>
    <definedName name="concciclo">#REF!</definedName>
    <definedName name="concorrentes" hidden="1">{#N/A,#N/A,FALSE,"Cronograma";#N/A,#N/A,FALSE,"Cronogr. 2"}</definedName>
    <definedName name="concreto">#REF!</definedName>
    <definedName name="ConsolQdeValorRevis">#REF!</definedName>
    <definedName name="Construcao_Casa_Maq_Plano_Inclinado" localSheetId="9">#REF!</definedName>
    <definedName name="Construcao_Casa_Maq_Plano_Inclinado">#REF!</definedName>
    <definedName name="Construcao_de_Acesso_a_Estacao_I" localSheetId="9">'[46]12.1'!$A$8:$F$105</definedName>
    <definedName name="Construcao_de_Acesso_a_Estacao_I">#REF!</definedName>
    <definedName name="Construcao_do_acesso_a_Estacao_I" localSheetId="6">#REF!</definedName>
    <definedName name="Construcao_do_acesso_a_Estacao_I" localSheetId="9">#REF!</definedName>
    <definedName name="Construcao_do_acesso_a_Estacao_I">#REF!</definedName>
    <definedName name="Construcao_Escadaria_Apoio" localSheetId="6">#REF!</definedName>
    <definedName name="Construcao_Escadaria_Apoio">#REF!</definedName>
    <definedName name="Consulta_itens_financeiros">#REF!</definedName>
    <definedName name="contador" localSheetId="6">#REF!</definedName>
    <definedName name="contador">#REF!</definedName>
    <definedName name="Contencao">#REF!</definedName>
    <definedName name="Contencao_">#REF!</definedName>
    <definedName name="Control_Metrados">#REF!</definedName>
    <definedName name="Control_Montos">#REF!</definedName>
    <definedName name="COPIAR_E_COLAR_FORMULA_MES" localSheetId="12">[47]!COPIAR_E_COLAR_FORMULA_MES</definedName>
    <definedName name="COPIAR_E_COLAR_FORMULA_MES" localSheetId="14">[47]!COPIAR_E_COLAR_FORMULA_MES</definedName>
    <definedName name="COPIAR_E_COLAR_FORMULA_MES" localSheetId="8">[47]!COPIAR_E_COLAR_FORMULA_MES</definedName>
    <definedName name="COPIAR_E_COLAR_FORMULA_MES">[47]!COPIAR_E_COLAR_FORMULA_MES</definedName>
    <definedName name="COR_ARV_20">'[23]MC-Dem.-Rem.'!#REF!</definedName>
    <definedName name="COR_ARV_40">'[23]MC-Dem.-Rem.'!#REF!</definedName>
    <definedName name="COR_ARV_60">'[23]MC-Dem.-Rem.'!#REF!</definedName>
    <definedName name="corte">#REF!</definedName>
    <definedName name="Cortes" localSheetId="9">#REF!</definedName>
    <definedName name="Cortes">#REF!</definedName>
    <definedName name="costoventa">#REF!</definedName>
    <definedName name="CostoVta">#REF!</definedName>
    <definedName name="cota">[22]Cotação!$A:$E</definedName>
    <definedName name="COTACAO">[23]Cotação!$A:$E</definedName>
    <definedName name="COTAS" localSheetId="9">#REF!</definedName>
    <definedName name="COTAS">#REF!</definedName>
    <definedName name="COut02">[48]RealOut02!$AE$1:$AE$65536</definedName>
    <definedName name="cpf">#REF!</definedName>
    <definedName name="CReal">[14]Atual!$B$1:$B$65536</definedName>
    <definedName name="Cred_Abr03">[49]BDG!$P$1:$P$65536</definedName>
    <definedName name="Cred_Ago03">[49]BDG!$X$1:$X$65536</definedName>
    <definedName name="Cred_Fev03">[49]BDG!$L$1:$L$65536</definedName>
    <definedName name="cred_jan03">[49]BDG!$J$1:$J$65536</definedName>
    <definedName name="Cred_Jul03">[49]BDG!$V$1:$V$65536</definedName>
    <definedName name="cred_Jun03">[49]BDG!$T$1:$T$65536</definedName>
    <definedName name="cred_mai03">[49]BDG!$R$1:$R$65536</definedName>
    <definedName name="Cred_Mar03">[49]BDG!$N$1:$N$65536</definedName>
    <definedName name="CRepr">[14]Atual!$A$1:$A$65536</definedName>
    <definedName name="CRITÉRIOANDAIME" localSheetId="9">#REF!</definedName>
    <definedName name="CRITÉRIOANDAIME">#REF!</definedName>
    <definedName name="CRITÉRIOESCORAMENTO" localSheetId="9">#REF!</definedName>
    <definedName name="CRITÉRIOESCORAMENTO">#REF!</definedName>
    <definedName name="CRITÉRIOMÓDULO" localSheetId="9">#REF!</definedName>
    <definedName name="CRITÉRIOMÓDULO">#REF!</definedName>
    <definedName name="_xlnm.Criteria">#REF!</definedName>
    <definedName name="CRITÉRIOS_IM">#REF!</definedName>
    <definedName name="Cron">#REF!</definedName>
    <definedName name="CRONOG">#REF!</definedName>
    <definedName name="Cronograma1">#REF!</definedName>
    <definedName name="CRotAAbr">[49]ConsRot!$T$1:$T$65536</definedName>
    <definedName name="CRotAbr">[49]ConsRot!$G$1:$G$65536</definedName>
    <definedName name="CRotAdez">[49]ConsRot!$AB$1:$AB$65536</definedName>
    <definedName name="CRotAMar">[49]ConsRot!$S$1:$S$65536</definedName>
    <definedName name="CRotFev">[49]ConsRot!$E$1:$E$65536</definedName>
    <definedName name="CRotJul">[49]ConsRot!$J$1:$J$65536</definedName>
    <definedName name="CRotJun">[49]ConsRot!$I$1:$I$65536</definedName>
    <definedName name="CRotMai">[49]ConsRot!$H$1:$H$65536</definedName>
    <definedName name="CRotMar">[49]ConsRot!$F$1:$F$65536</definedName>
    <definedName name="CS" localSheetId="9">'[50]CS#'!$A$3:$K$12</definedName>
    <definedName name="CS">#REF!</definedName>
    <definedName name="CSA">#REF!</definedName>
    <definedName name="CSA_1">#REF!</definedName>
    <definedName name="CSet02">[48]RealOut02!$AB$1:$AB$65536</definedName>
    <definedName name="CSPP">#REF!</definedName>
    <definedName name="CSPP_1">#REF!</definedName>
    <definedName name="CURRENCY" localSheetId="6">#REF!</definedName>
    <definedName name="CURRENCY" localSheetId="9">#REF!</definedName>
    <definedName name="CURRENCY">#REF!</definedName>
    <definedName name="currentmonth">'[45]Company data'!$B$9</definedName>
    <definedName name="currentmonthname">'[45]Company data'!$B$11</definedName>
    <definedName name="currentyear">'[45]Company data'!$B$17</definedName>
    <definedName name="curva" localSheetId="6">#REF!</definedName>
    <definedName name="curva" localSheetId="9">#REF!</definedName>
    <definedName name="curva">#REF!</definedName>
    <definedName name="custo" localSheetId="8">#REF!</definedName>
    <definedName name="custo" localSheetId="6">#REF!</definedName>
    <definedName name="custo">#REF!</definedName>
    <definedName name="CUSTO_BDI_MATERIAL">TRUNC([51]Materiais!XFD1*(1+[51]Materiais!$I$3),2)</definedName>
    <definedName name="CUSTO_BDI_SERVICO">TRUNC(#REF!*(1+#REF!),2)</definedName>
    <definedName name="CUSTO_TOTAL_MATERIAL">TRUNC([51]Materiais!XFD1*[51]Materiais!XFB1,2)</definedName>
    <definedName name="CUSTO_TOTAL_SERVICO">TRUNC(#REF!*#REF!,2)</definedName>
    <definedName name="Custos">#REF!</definedName>
    <definedName name="D">#REF!</definedName>
    <definedName name="D_1.1">#REF!</definedName>
    <definedName name="D2EI">#REF!</definedName>
    <definedName name="DA" hidden="1">#REF!</definedName>
    <definedName name="dado">#REF!</definedName>
    <definedName name="DATA">#REF!</definedName>
    <definedName name="datasource">#REF!</definedName>
    <definedName name="DateHeader">[44]Controls!$D$17</definedName>
    <definedName name="dd">'[52]Assump. '!$F$15:$N$15</definedName>
    <definedName name="DDD" localSheetId="9">#REF!</definedName>
    <definedName name="DDD">#REF!</definedName>
    <definedName name="DDDDD" localSheetId="9">#REF!</definedName>
    <definedName name="DDDDD">#REF!</definedName>
    <definedName name="Deb_Abr03">[49]BDG!$O$1:$O$65536</definedName>
    <definedName name="Deb_Ago03">[49]BDG!$W$1:$W$65536</definedName>
    <definedName name="Deb_Fev03">[49]BDG!$K$1:$K$65536</definedName>
    <definedName name="deb_jan03">[49]BDG!$I$1:$I$65536</definedName>
    <definedName name="deb_Jul03">[49]BDG!$U$1:$U$65536</definedName>
    <definedName name="deb_Jun03">[49]BDG!$S$1:$S$65536</definedName>
    <definedName name="deb_mai03">[49]BDG!$Q$1:$Q$65536</definedName>
    <definedName name="Deb_Mar03">[49]BDG!$M$1:$M$65536</definedName>
    <definedName name="DEFOFO">#REF!</definedName>
    <definedName name="DEFOFO100">#REF!</definedName>
    <definedName name="DEFOFO150">#REF!</definedName>
    <definedName name="DEFOFO200">#REF!</definedName>
    <definedName name="DEFOFO250">#REF!</definedName>
    <definedName name="DEFOFO300">#REF!</definedName>
    <definedName name="DEM_CONC_ARM">'[23]MC-Dem.-Rem.'!#REF!</definedName>
    <definedName name="DEM_CONC_SIM">'[23]MC-Dem.-Rem.'!#REF!</definedName>
    <definedName name="Dem_Lavanderia" localSheetId="9">#REF!</definedName>
    <definedName name="Dem_Lavanderia">#REF!</definedName>
    <definedName name="DEM_SARJ">'[23]MC-Dem.-Rem.'!#REF!</definedName>
    <definedName name="Demolicao_de_Guarita_Consulta" localSheetId="9">#REF!</definedName>
    <definedName name="Demolicao_de_Guarita_Consulta">#REF!</definedName>
    <definedName name="Demolicao_Lavanderia_Existente" localSheetId="9">#REF!</definedName>
    <definedName name="Demolicao_Lavanderia_Existente">#REF!</definedName>
    <definedName name="Descricao" localSheetId="9">#REF!</definedName>
    <definedName name="Descricao">#REF!</definedName>
    <definedName name="Descrição_Total">#REF!</definedName>
    <definedName name="desmat">#REF!</definedName>
    <definedName name="DESONERACAO" hidden="1">IF(OR(Import.Desoneracao="DESONERADO",Import.Desoneracao="SIM"),"SIM","NÃO")</definedName>
    <definedName name="Despesas">#REF!</definedName>
    <definedName name="DETACUYO">#REF!</definedName>
    <definedName name="DETASEO">#REF!</definedName>
    <definedName name="DETCENTRO">#REF!</definedName>
    <definedName name="DETCORR">#REF!</definedName>
    <definedName name="detiecsa">#REF!</definedName>
    <definedName name="DETMANLIBA">#REF!</definedName>
    <definedName name="DETSERVIAL">#REF!</definedName>
    <definedName name="dez">#REF!</definedName>
    <definedName name="DEZEMBRO06" localSheetId="9">#REF!</definedName>
    <definedName name="DEZEMBRO06">#REF!</definedName>
    <definedName name="df">'[53]Eco-Fin'!#REF!</definedName>
    <definedName name="DIEGO" localSheetId="9">#REF!</definedName>
    <definedName name="DIEGO">#REF!</definedName>
    <definedName name="direct_1T">'[30]POP cost'!$D$16:$D$407</definedName>
    <definedName name="direct_cost_vs_capex">'[30]POP cost'!$B$11</definedName>
    <definedName name="direct_yearly">'[30]POP cost'!$E$16:$E$407</definedName>
    <definedName name="discussion">'[54]         Title              '!$N$2</definedName>
    <definedName name="discussionII">'[55]         Title              '!$N$2</definedName>
    <definedName name="DMT" localSheetId="9">#REF!</definedName>
    <definedName name="DMT">#REF!</definedName>
    <definedName name="dolar">#REF!</definedName>
    <definedName name="DollarHeader">[44]Controls!$D$12</definedName>
    <definedName name="dotacion">#REF!</definedName>
    <definedName name="DOTASEO">#REF!</definedName>
    <definedName name="DOTAUSOL">#REF!</definedName>
    <definedName name="DOTCENTRO">#REF!</definedName>
    <definedName name="DOTCORR">#REF!</definedName>
    <definedName name="DOTCUYO">#REF!</definedName>
    <definedName name="dotiecsa">#REF!</definedName>
    <definedName name="DOTMANLIBA">#REF!</definedName>
    <definedName name="DOTSERVIAL">#REF!</definedName>
    <definedName name="DOut02">[48]RealOut02!$AF$1:$AF$65536</definedName>
    <definedName name="dp" localSheetId="9">#REF!</definedName>
    <definedName name="dp">#REF!</definedName>
    <definedName name="DRE">#REF!</definedName>
    <definedName name="DRENAGEM" localSheetId="9">#REF!</definedName>
    <definedName name="DRENAGEM">#REF!</definedName>
    <definedName name="dsd">#REF!</definedName>
    <definedName name="DSet02">[48]RealOut02!$AC$1:$AC$65536</definedName>
    <definedName name="DSR">[15]Base_folha!#REF!</definedName>
    <definedName name="DTEE" localSheetId="9">#REF!</definedName>
    <definedName name="DTEE">#REF!</definedName>
    <definedName name="DTEP" localSheetId="9">#REF!</definedName>
    <definedName name="DTEP">#REF!</definedName>
    <definedName name="DTET" localSheetId="9">#REF!</definedName>
    <definedName name="DTET">#REF!</definedName>
    <definedName name="DTFE">#REF!</definedName>
    <definedName name="DTFM">#REF!</definedName>
    <definedName name="DTL">#REF!</definedName>
    <definedName name="e" localSheetId="9">#REF!</definedName>
    <definedName name="e">[56]FCF!$N$46</definedName>
    <definedName name="EAabr">[57]REqpt03!$U$1:$U$65536</definedName>
    <definedName name="EAago">[58]REqpt03!$Y$1:$Y$65536</definedName>
    <definedName name="EAbr">[57]REqpt03!$H$1:$H$65536</definedName>
    <definedName name="EAcum04">[58]AbertInvest!$R$1:$R$65536</definedName>
    <definedName name="EAcum05">[59]AbertInvest!$R$1:$R$65536</definedName>
    <definedName name="EAdez">[58]REqpt03!$AC$1:$AC$65536</definedName>
    <definedName name="EAfev">[58]REqpt03!$S$1:$S$65536</definedName>
    <definedName name="EAgo">[58]REqpt03!$L$1:$L$65536</definedName>
    <definedName name="EAjul">[58]REqpt03!$X$1:$X$65536</definedName>
    <definedName name="EAjun">[58]REqpt03!$W$1:$W$65536</definedName>
    <definedName name="EAmai">[60]REqpt03!$V$1:$V$65536</definedName>
    <definedName name="EAmar">[57]REqpt03!$T$1:$T$65536</definedName>
    <definedName name="EAnov">[58]REqpt03!$AB$1:$AB$65536</definedName>
    <definedName name="EAout">[58]REqpt03!$AA$1:$AA$65536</definedName>
    <definedName name="EAset">[58]REqpt03!$Z$1:$Z$65536</definedName>
    <definedName name="Ebitda_01">'[61]1.P&amp;L'!$I$20</definedName>
    <definedName name="Ebitda_02">'[61]1.P&amp;L'!$J$20</definedName>
    <definedName name="Edez">[58]REqpt03!$P$1:$P$65536</definedName>
    <definedName name="EE">#REF!</definedName>
    <definedName name="eee" localSheetId="8" hidden="1">{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name="EEE" localSheetId="9">#REF!</definedName>
    <definedName name="EEE">#REF!</definedName>
    <definedName name="EFev">[58]REqpt03!$F$1:$F$65536</definedName>
    <definedName name="Ejan">[58]REqpt03!$E$1:$E$65536</definedName>
    <definedName name="EJul">[58]REqpt03!$K$1:$K$65536</definedName>
    <definedName name="EJun">[58]REqpt03!$J$1:$J$65536</definedName>
    <definedName name="EL_001">#REF!</definedName>
    <definedName name="ELEMVS07" localSheetId="9">#REF!</definedName>
    <definedName name="ELEMVS07">#REF!</definedName>
    <definedName name="ELEVAÇÃO" localSheetId="9">#REF!</definedName>
    <definedName name="ELEVAÇÃO">#REF!</definedName>
    <definedName name="ELEVATÓRIAS" localSheetId="6">#REF!</definedName>
    <definedName name="ELEVATÓRIAS">#REF!</definedName>
    <definedName name="elia">#REF!</definedName>
    <definedName name="EMai">[60]REqpt03!$I$1:$I$65536</definedName>
    <definedName name="EMar">[57]REqpt03!$G$1:$G$65536</definedName>
    <definedName name="EMBAL" localSheetId="9">#REF!</definedName>
    <definedName name="EMBAL">#REF!</definedName>
    <definedName name="Embalagem" localSheetId="9">#REF!</definedName>
    <definedName name="Embalagem">#REF!</definedName>
    <definedName name="EMBASA_INSUMO">[23]Banco_Insumo!$B$7631:$F$10841</definedName>
    <definedName name="Emitente">#REF!</definedName>
    <definedName name="empolamento" localSheetId="9">'[7]DADOS COLETATO'!$I$41</definedName>
    <definedName name="empolamento">#REF!</definedName>
    <definedName name="EMPRESA" localSheetId="9">[62]IDENTIFICACAO!$D$12</definedName>
    <definedName name="EMPRESA">#REF!</definedName>
    <definedName name="EMPRESAS">OFFSET('RESUMO DA VIABILIDADE'!$B$24,1,0):OFFSET('RESUMO DA VIABILIDADE'!$H$41,-1,0)</definedName>
    <definedName name="ENG" localSheetId="6">#REF!</definedName>
    <definedName name="ENG" localSheetId="9">#REF!</definedName>
    <definedName name="ENG">#REF!</definedName>
    <definedName name="Enov">[58]REqpt03!$O$1:$O$65536</definedName>
    <definedName name="ENROC" localSheetId="6">#REF!</definedName>
    <definedName name="ENROC" localSheetId="9">#REF!</definedName>
    <definedName name="ENROC">#REF!</definedName>
    <definedName name="Entiteit">'[11]1. Instellingen'!$B$2</definedName>
    <definedName name="entities">[39]Names!$A$10:$D$262</definedName>
    <definedName name="EOAF">#REF!</definedName>
    <definedName name="Eout">[58]REqpt03!$N$1:$N$65536</definedName>
    <definedName name="eprd_cod">#REF!</definedName>
    <definedName name="equip" localSheetId="6">#REF!</definedName>
    <definedName name="equip" localSheetId="9">#REF!</definedName>
    <definedName name="equip">#REF!</definedName>
    <definedName name="Equity">'[61]Buy Out Overview'!$B$38</definedName>
    <definedName name="Equity_Value">'[61]Buy Out Overview'!$B$8</definedName>
    <definedName name="ESC_AGUA_0A2">#REF!</definedName>
    <definedName name="ESC_AGUA_2A100">#REF!</definedName>
    <definedName name="ESC_DREN">'[23]TABELA NBR'!$R$7:$AC$20</definedName>
    <definedName name="ESC_ESG_0A2">#REF!</definedName>
    <definedName name="ESC_ESG_2A4">#REF!</definedName>
    <definedName name="ESC_ESG_4A6">#REF!</definedName>
    <definedName name="ESC_ESG_6A8">#REF!</definedName>
    <definedName name="Escadaria">#REF!</definedName>
    <definedName name="ESCMAN">#REF!</definedName>
    <definedName name="ESCRITÓRIO" localSheetId="6">#REF!</definedName>
    <definedName name="ESCRITÓRIO">#REF!</definedName>
    <definedName name="ESet">[58]REqpt03!$M$1:$M$65536</definedName>
    <definedName name="ESGOTO" localSheetId="9">#REF!</definedName>
    <definedName name="ESGOTO">#REF!</definedName>
    <definedName name="ESPESSURAMAGRO" localSheetId="9">[63]MODELO!$F$14</definedName>
    <definedName name="ESPESSURAMAGRO">#REF!</definedName>
    <definedName name="ESPESSURAPASSEIO" localSheetId="9">[63]MODELO!$F$16</definedName>
    <definedName name="ESPESSURAPASSEIO">#REF!</definedName>
    <definedName name="ESSENCIAIS" localSheetId="9">'[64]BLOCOS ANCORAGEM'!#REF!</definedName>
    <definedName name="ESSENCIAIS">#REF!</definedName>
    <definedName name="Estacao_01" localSheetId="6">#REF!</definedName>
    <definedName name="Estacao_01" localSheetId="9">#REF!</definedName>
    <definedName name="Estacao_01">#REF!</definedName>
    <definedName name="Estacao_02" localSheetId="6">#REF!</definedName>
    <definedName name="Estacao_02">#REF!</definedName>
    <definedName name="Estacao_03" localSheetId="6">#REF!</definedName>
    <definedName name="Estacao_03">#REF!</definedName>
    <definedName name="Estacao_04">#REF!</definedName>
    <definedName name="Estacao_05">#REF!</definedName>
    <definedName name="ESTE">#REF!</definedName>
    <definedName name="EstResult">#REF!</definedName>
    <definedName name="estructura">#REF!</definedName>
    <definedName name="ETE" localSheetId="6">#REF!</definedName>
    <definedName name="ETE">#REF!</definedName>
    <definedName name="ETE2JARDIMESPERANÇACABOFRIO">'[16]Quadro II '!#REF!</definedName>
    <definedName name="Eur">'[65]Base Data'!$A$6</definedName>
    <definedName name="ev.Calculation" hidden="1">-4135</definedName>
    <definedName name="ev.Initialized" hidden="1">FALSE</definedName>
    <definedName name="ExactAddinConnection" hidden="1">"001"</definedName>
    <definedName name="ExactAddinConnection.001" hidden="1">"SRVEXACT2003;001;marleen;1"</definedName>
    <definedName name="ExactAddinConnection.021" hidden="1">"SRVEXACT2003;021;marleen;1"</definedName>
    <definedName name="ExactAddinConnection.025" hidden="1">"SRVEXACT2003;025;marleen;1"</definedName>
    <definedName name="ExactAddinConnection.030" hidden="1">"SRVEXACT2003;030;marleen;1"</definedName>
    <definedName name="ExactAddinConnection.040" hidden="1">"SRVEXACT2003;040;marleen;1"</definedName>
    <definedName name="ExactAddinConnection.041" hidden="1">"SRVEXACT2003;041;marleen;1"</definedName>
    <definedName name="ExactAddinConnection.050" hidden="1">"SRVEXACT2003;050;marleen;1"</definedName>
    <definedName name="ExactAddinReports" hidden="1">1</definedName>
    <definedName name="Excel_BuiltIn__FilterDatabase_1" localSheetId="9">#REF!</definedName>
    <definedName name="Excel_BuiltIn__FilterDatabase_1">#REF!</definedName>
    <definedName name="Excel_BuiltIn_Database" localSheetId="9">#REF!</definedName>
    <definedName name="Excel_BuiltIn_Database">#REF!</definedName>
    <definedName name="Excel_BuiltIn_Print_Area_1" localSheetId="9">#REF!</definedName>
    <definedName name="Excel_BuiltIn_Print_Area_1">#REF!</definedName>
    <definedName name="Excel_BuiltIn_Print_Area_1_1">#REF!</definedName>
    <definedName name="Excel_BuiltIn_Print_Area_3_1">#REF!</definedName>
    <definedName name="Excel_BuiltIn_Print_Area_3_1_1">#REF!</definedName>
    <definedName name="Excel_BuiltIn_Print_Area_4">#REF!</definedName>
    <definedName name="Excel_BuiltIn_Print_Area_4_1">#REF!</definedName>
    <definedName name="Excel_BuiltIn_Print_Area_5_1">#REF!</definedName>
    <definedName name="Excel_BuiltIn_Print_Area_5_1_1">#REF!</definedName>
    <definedName name="Excel_BuiltIn_Print_Area_6_1">#REF!</definedName>
    <definedName name="Excel_BuiltIn_Print_Area_8_1">#REF!</definedName>
    <definedName name="Excel_BuiltIn_Print_Titles_1">#REF!</definedName>
    <definedName name="Excel_BuiltIn_Print_Titles_3">#REF!</definedName>
    <definedName name="Excel_BuiltIn_Print_Titles_3_1">#REF!</definedName>
    <definedName name="Excel_BuiltIn_Print_Titles_5_1">#REF!</definedName>
    <definedName name="Execucao_Fundacoes_Plano_Inclinado">#REF!</definedName>
    <definedName name="EXT" localSheetId="9">'[66]QUADRA POLIESPORTIVA'!#REF!</definedName>
    <definedName name="EXT">#REF!</definedName>
    <definedName name="EXTENSAO" localSheetId="6">#REF!</definedName>
    <definedName name="EXTENSAO" localSheetId="9">#REF!</definedName>
    <definedName name="EXTENSAO">#REF!</definedName>
    <definedName name="EXTENSÃO">#REF!</definedName>
    <definedName name="EXTENSÃO_1">#REF!</definedName>
    <definedName name="extred100">#REF!</definedName>
    <definedName name="EXTREDE">#REF!</definedName>
    <definedName name="EXTREDE_1">#REF!</definedName>
    <definedName name="F" localSheetId="6">#REF!</definedName>
    <definedName name="F">#REF!</definedName>
    <definedName name="Factor">[67]Parameters!$B$4</definedName>
    <definedName name="FAR" localSheetId="6" hidden="1">#REF!</definedName>
    <definedName name="FAR" localSheetId="9" hidden="1">#REF!</definedName>
    <definedName name="FAR" hidden="1">#REF!</definedName>
    <definedName name="FAT_01">#REF!</definedName>
    <definedName name="FAT_02">#REF!</definedName>
    <definedName name="FatorMudançaBase" localSheetId="9">#REF!</definedName>
    <definedName name="FatorMudançaBase">#REF!</definedName>
    <definedName name="Faturamento">#REF!</definedName>
    <definedName name="fcaixa">#REF!</definedName>
    <definedName name="fee_exp">'[61]Buy Out Overview'!$B$24</definedName>
    <definedName name="fev">#REF!</definedName>
    <definedName name="Fev02_Cred">[8]Dados!$L$1:$L$65536</definedName>
    <definedName name="Fev02_Deb">[8]Dados!$K$1:$K$65536</definedName>
    <definedName name="ff">'[52]Assump. '!$F$17:$N$17</definedName>
    <definedName name="FFE" localSheetId="9">#REF!</definedName>
    <definedName name="FFE">#REF!</definedName>
    <definedName name="fff">#REF!</definedName>
    <definedName name="FGV" localSheetId="9">'[68]SCO0504'!$B:$E</definedName>
    <definedName name="FGV">#REF!</definedName>
    <definedName name="FGVC" localSheetId="9">'[68]SCO0504'!$A:$E</definedName>
    <definedName name="FGVC">#REF!</definedName>
    <definedName name="FGVC0504" localSheetId="6">#REF!</definedName>
    <definedName name="FGVC0504" localSheetId="9">#REF!</definedName>
    <definedName name="FGVC0504">#REF!</definedName>
    <definedName name="FGVSER" localSheetId="6">#REF!</definedName>
    <definedName name="FGVSER">#REF!</definedName>
    <definedName name="FIGUEREIRO">#REF!</definedName>
    <definedName name="FILTRO" localSheetId="6">#REF!</definedName>
    <definedName name="FILTRO">#REF!</definedName>
    <definedName name="fim">#REF!</definedName>
    <definedName name="fin"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FINAN">#REF!</definedName>
    <definedName name="FKJ" localSheetId="9">#REF!</definedName>
    <definedName name="FKJ">#REF!</definedName>
    <definedName name="Fl_01">#REF!</definedName>
    <definedName name="FLUASEO">#REF!</definedName>
    <definedName name="FLUAUSOL">#REF!</definedName>
    <definedName name="FLUCENTRO">#REF!</definedName>
    <definedName name="FLUCORR">#REF!</definedName>
    <definedName name="FLUCUYO">#REF!</definedName>
    <definedName name="fluiecsa">#REF!</definedName>
    <definedName name="flujo">#REF!</definedName>
    <definedName name="FLUMANLIBA">#REF!</definedName>
    <definedName name="FLUSERVIAL">#REF!</definedName>
    <definedName name="Fluxo" localSheetId="8">'[4]CONSSID12-96'!#REF!</definedName>
    <definedName name="fluxo" localSheetId="9">'[69]450'!#REF!</definedName>
    <definedName name="fluxo">#REF!</definedName>
    <definedName name="FOFO">#REF!</definedName>
    <definedName name="FOFO150">#REF!</definedName>
    <definedName name="FOFO200">#REF!</definedName>
    <definedName name="FOFO50">#REF!</definedName>
    <definedName name="FOFO75">#REF!</definedName>
    <definedName name="FOFO80">#REF!</definedName>
    <definedName name="Format" localSheetId="6">#REF!</definedName>
    <definedName name="Format" localSheetId="9">#REF!</definedName>
    <definedName name="Format">#REF!</definedName>
    <definedName name="formu">[70]FluxoCaixaIndexado!$AI$7,[70]FluxoCaixaIndexado!$AI$8:$AI$10,[70]FluxoCaixaIndexado!$AI$13:$AI$15,[70]FluxoCaixaIndexado!$AI$17:$AI$19,[70]FluxoCaixaIndexado!$AI$21:$AI$37,[70]FluxoCaixaIndexado!$AI$39:$AI$53,[70]FluxoCaixaIndexado!$AI$54:$AI$57,[70]FluxoCaixaIndexado!$AI$60:$AI$68,[70]FluxoCaixaIndexado!$AI$71:$AI$73,[70]FluxoCaixaIndexado!$AI$77:$AI$84,[70]FluxoCaixaIndexado!$AI$86:$AI$97</definedName>
    <definedName name="Fórmula_Geral">[37]Resultado!$AG$3</definedName>
    <definedName name="Fórmula_Mês">[37]Resultado!$AG$4</definedName>
    <definedName name="FRENTISTA">#REF!</definedName>
    <definedName name="Frequency">'[11]1. Instellingen'!$B$19</definedName>
    <definedName name="função">#REF!</definedName>
    <definedName name="Fundacao_Plano_Inclinado" localSheetId="6">#REF!</definedName>
    <definedName name="Fundacao_Plano_Inclinado" localSheetId="9">#REF!</definedName>
    <definedName name="Fundacao_Plano_Inclinado">#REF!</definedName>
    <definedName name="FUNDOS">#REF!</definedName>
    <definedName name="FY">2003</definedName>
    <definedName name="fys">2002</definedName>
    <definedName name="gbpeur">[71]Sheet2!$B$125</definedName>
    <definedName name="GER_01">#REF!</definedName>
    <definedName name="GER_02">#REF!</definedName>
    <definedName name="GER_22">#REF!</definedName>
    <definedName name="ggggg">#REF!</definedName>
    <definedName name="gghhhhh">#REF!</definedName>
    <definedName name="gil">#REF!</definedName>
    <definedName name="gipl_cod">#REF!</definedName>
    <definedName name="giro">#REF!</definedName>
    <definedName name="girot">#REF!</definedName>
    <definedName name="graf" localSheetId="6">#REF!</definedName>
    <definedName name="graf" localSheetId="9">'[72]FLUXO - EXECUÇÃO PRÓPRIA'!#REF!</definedName>
    <definedName name="graf">#REF!</definedName>
    <definedName name="Recorder">#REF!</definedName>
    <definedName name="GtoAdmin">#REF!</definedName>
    <definedName name="GtoComerc">#REF!</definedName>
    <definedName name="HD_001">#REF!</definedName>
    <definedName name="Header" localSheetId="6">#REF!</definedName>
    <definedName name="Header" localSheetId="9">#REF!</definedName>
    <definedName name="Header">#REF!</definedName>
    <definedName name="hghghg">#REF!</definedName>
    <definedName name="hgkj">[73]Oper!$N$3467</definedName>
    <definedName name="HIDRAULICA">#REF!</definedName>
    <definedName name="hjgvu">#REF!</definedName>
    <definedName name="HTML_CodePage" hidden="1">1252</definedName>
    <definedName name="HTML_Control" hidden="1">{"'Índice'!$A$1:$K$49"}</definedName>
    <definedName name="HTML_Description" hidden="1">""</definedName>
    <definedName name="HTML_Email" hidden="1">""</definedName>
    <definedName name="HTML_Header" hidden="1">"Índice"</definedName>
    <definedName name="HTML_LastUpdate" hidden="1">"12/08/1999"</definedName>
    <definedName name="HTML_LineAfter" hidden="1">FALSE</definedName>
    <definedName name="HTML_LineBefore" hidden="1">FALSE</definedName>
    <definedName name="HTML_Name" hidden="1">"Rodovia das Cataratas"</definedName>
    <definedName name="HTML_OBDlg2" hidden="1">TRUE</definedName>
    <definedName name="HTML_OBDlg4" hidden="1">TRUE</definedName>
    <definedName name="HTML_OS" hidden="1">0</definedName>
    <definedName name="HTML_PathFile" hidden="1">"\\Server_1\sig\07 Julho\Informe\MeuHTML.htm"</definedName>
    <definedName name="HTML_PathFileMac" hidden="1">"Macintosh HD:HomePageStuff:New_Home_Page:datafile:ctryprem.html"</definedName>
    <definedName name="HTML_Title" hidden="1">"Gerência de Administração e Controle de Gestão"</definedName>
    <definedName name="HTML1_1" hidden="1">"[ReturnsHistorical]Sheet1!$A$1:$D$77"</definedName>
    <definedName name="HTML1_10" hidden="1">""</definedName>
    <definedName name="HTML1_11" hidden="1">1</definedName>
    <definedName name="HTML1_12" hidden="1">"Zip 100:New_Home_Page:datafile:histret.html"</definedName>
    <definedName name="HTML1_2" hidden="1">1</definedName>
    <definedName name="HTML1_3" hidden="1">"ReturnsHistorical"</definedName>
    <definedName name="HTML1_4" hidden="1">"Historical Returns on Stocks, Bonds and Bills"</definedName>
    <definedName name="HTML1_5" hidden="1">"Ibbotson Data"</definedName>
    <definedName name="HTML1_6" hidden="1">-4146</definedName>
    <definedName name="HTML1_7" hidden="1">-4146</definedName>
    <definedName name="HTML1_8" hidden="1">"3/17/97"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unt" hidden="1">2</definedName>
    <definedName name="I" localSheetId="6">#REF!</definedName>
    <definedName name="I" localSheetId="9">#REF!</definedName>
    <definedName name="I">#REF!</definedName>
    <definedName name="ICMS" localSheetId="6">#REF!</definedName>
    <definedName name="ICMS">#REF!</definedName>
    <definedName name="ifabr">[9]forecast!$H$1:$H$65536</definedName>
    <definedName name="ifago">[9]forecast!$L$1:$L$65536</definedName>
    <definedName name="ifdez">[9]forecast!$P$1:$P$65536</definedName>
    <definedName name="iffev">[9]forecast!$F$1:$F$65536</definedName>
    <definedName name="ifjan">[9]forecast!$E$1:$E$65536</definedName>
    <definedName name="ifjul">[9]forecast!$K$1:$K$65536</definedName>
    <definedName name="ifjun">[9]forecast!$J$1:$J$65536</definedName>
    <definedName name="ifmai">[9]forecast!$I$1:$I$65536</definedName>
    <definedName name="ifmar">[9]forecast!$G$1:$G$65536</definedName>
    <definedName name="ifnov">[9]forecast!$O$1:$O$65536</definedName>
    <definedName name="ifout">[9]forecast!$N$1:$N$65536</definedName>
    <definedName name="ifset">[9]forecast!$M$1:$M$65536</definedName>
    <definedName name="iii" localSheetId="9">#REF!</definedName>
    <definedName name="iii">#REF!</definedName>
    <definedName name="IIIIIIIIIIIIIIIIIIIIIIIIIIIIIIII">#REF!,#REF!</definedName>
    <definedName name="IMAGEM">INDEX([23]Imagens!$B$1:$B$19,MATCH([23]Resumo!$B$3,[23]Imagens!$A$1:$A$19,0))</definedName>
    <definedName name="IMAGEM_PREF_MEM">INDEX([23]Imagens!$K$135:$K$138,MATCH([23]Resumo!$B$2,[23]Imagens!$J$135:$J$138,0))</definedName>
    <definedName name="IMAGEM_PREFEITURA">INDEX([23]Imagens!$H$20:$H$134,MATCH([23]Resumo!$B$2,[23]Imagens!$G$20:$G$134,0))</definedName>
    <definedName name="IMAGEM_RODAPE">INDEX([23]Imagens!$E$12:$E$134,MATCH([23]Resumo!$B$3,[23]Imagens!$D$12:$D$134,0))</definedName>
    <definedName name="ImpGcias">#REF!</definedName>
    <definedName name="Implantacao_Consulta" localSheetId="9">#REF!</definedName>
    <definedName name="Implantacao_Consulta">#REF!</definedName>
    <definedName name="Import.DescLote" hidden="1">[26]DADOS!$F$17</definedName>
    <definedName name="Import.Desoneracao" hidden="1">OFFSET([26]DADOS!$G$18,0,-1)</definedName>
    <definedName name="ImpostosVendas">#REF!</definedName>
    <definedName name="Imprevistos">#REF!</definedName>
    <definedName name="imprimação">#REF!,#REF!</definedName>
    <definedName name="Inadimplên">#REF!</definedName>
    <definedName name="IND">#REF!</definedName>
    <definedName name="Indi1">#REF!</definedName>
    <definedName name="Indi2">#REF!</definedName>
    <definedName name="Indi3">#REF!</definedName>
    <definedName name="INDIC">#REF!</definedName>
    <definedName name="INDICES">OFFSET('RESUMO DA VIABILIDADE'!$B$21,1,0):OFFSET('RESUMO DA VIABILIDADE'!$I$23,-1,0)</definedName>
    <definedName name="inflatie">[74]Summary_T!$E$47</definedName>
    <definedName name="ING">'[31]ING US$10MM'!$D$21:$T$66</definedName>
    <definedName name="inic_aterro">#REF!</definedName>
    <definedName name="inic_capina">#REF!</definedName>
    <definedName name="inic_corte">#REF!</definedName>
    <definedName name="inic_desmat">#REF!</definedName>
    <definedName name="inic_reaterro">#REF!</definedName>
    <definedName name="inic_reg_placa">#REF!</definedName>
    <definedName name="inic_reg_rolo">#REF!</definedName>
    <definedName name="instal_C7_interface">'[30]POP cost'!$B$4</definedName>
    <definedName name="INTERCEPTORELEVATORIACABOFRIO">'[16]Quadro II '!#REF!</definedName>
    <definedName name="INTERCEPTORELEVATORIAIGUABA">'[16]Quadro II '!#REF!</definedName>
    <definedName name="INTERCEPTORELEVATORIASAOPEDRO">'[16]Quadro II '!#REF!</definedName>
    <definedName name="INTERCEPTORES___EMISSÁRIOS" localSheetId="6">#REF!</definedName>
    <definedName name="INTERCEPTORES___EMISSÁRIOS" localSheetId="9">#REF!</definedName>
    <definedName name="INTERCEPTORES___EMISSÁRIOS">#REF!</definedName>
    <definedName name="interface_C7_Ericsson">'[30]POP cost'!$B$5</definedName>
    <definedName name="INTERVALO2">"indireto(Preços!$AB$2)"</definedName>
    <definedName name="Investimentos">[75]Cenarios!$G$18</definedName>
    <definedName name="ioabr">[9]orçamento!$H$1:$H$65536</definedName>
    <definedName name="ioago">[9]orçamento!$L$1:$L$65536</definedName>
    <definedName name="iodez">[9]orçamento!$P$1:$P$65536</definedName>
    <definedName name="iofev">[10]orçamento!$F$1:$F$65536</definedName>
    <definedName name="iojan">[10]orçamento!$E$1:$E$65536</definedName>
    <definedName name="iojul">[9]orçamento!$K$1:$K$65536</definedName>
    <definedName name="iojun">[9]orçamento!$J$1:$J$65536</definedName>
    <definedName name="iol">#REF!</definedName>
    <definedName name="iomai">[9]orçamento!$I$1:$I$65536</definedName>
    <definedName name="iomar">[9]orçamento!$G$1:$G$65536</definedName>
    <definedName name="ionov">[9]orçamento!$O$1:$O$65536</definedName>
    <definedName name="ioout">[9]orçamento!$N$1:$N$65536</definedName>
    <definedName name="IOPES_INSUMO">[51]Banco_Insumo!$B$14906:$F$18116</definedName>
    <definedName name="IOPES_SERVICO">[23]Banco_Servico!$B$18509:$G$21137</definedName>
    <definedName name="ioset">[9]orçamento!$M$1:$M$65536</definedName>
    <definedName name="ip" localSheetId="9">#REF!</definedName>
    <definedName name="ip">#REF!</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"c1449"</definedName>
    <definedName name="IQ_ACCOUNTING_STANDARD" hidden="1">"c4539"</definedName>
    <definedName name="IQ_ACCOUNTING_STANDARD_CIQ" hidden="1">"c5092"</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"c1344"</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"c1591"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CIQ" hidden="1">"c3612"</definedName>
    <definedName name="IQ_AVG_BROKER_REC_NO" hidden="1">"c64"</definedName>
    <definedName name="IQ_AVG_BROKER_REC_NO_CIQ" hidden="1">"c4657"</definedName>
    <definedName name="IQ_AVG_BROKER_REC_NO_REUT" hidden="1">"c5315"</definedName>
    <definedName name="IQ_AVG_BROKER_REC_REUT" hidden="1">"c3630"</definedName>
    <definedName name="IQ_AVG_DAILY_VOL" hidden="1">"c65"</definedName>
    <definedName name="IQ_AVG_EMPLOYEES" hidden="1">"c6019"</definedName>
    <definedName name="IQ_AVG_INDUSTRY_REC" hidden="1">"c4455"</definedName>
    <definedName name="IQ_AVG_INDUSTRY_REC_CIQ" hidden="1">"c4984"</definedName>
    <definedName name="IQ_AVG_INDUSTRY_REC_NO" hidden="1">"c4454"</definedName>
    <definedName name="IQ_AVG_INDUSTRY_REC_NO_CIQ" hidden="1">"c4983"</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SHAREOUTSTANDING" hidden="1">"c83"</definedName>
    <definedName name="IQ_AVG_TEMP_EMPLOYEES" hidden="1">"c6020"</definedName>
    <definedName name="IQ_AVG_TEV" hidden="1">"c84"</definedName>
    <definedName name="IQ_AVG_VOLUME" hidden="1">"c1346"</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OUTSTANDING_CURRENT_EST" hidden="1">"c4128"</definedName>
    <definedName name="IQ_BASIC_OUTSTANDING_CURRENT_EST_CIQ" hidden="1">"c4541"</definedName>
    <definedName name="IQ_BASIC_OUTSTANDING_CURRENT_HIGH_EST" hidden="1">"c4129"</definedName>
    <definedName name="IQ_BASIC_OUTSTANDING_CURRENT_HIGH_EST_CIQ" hidden="1">"c4542"</definedName>
    <definedName name="IQ_BASIC_OUTSTANDING_CURRENT_LOW_EST" hidden="1">"c4130"</definedName>
    <definedName name="IQ_BASIC_OUTSTANDING_CURRENT_LOW_EST_CIQ" hidden="1">"c4543"</definedName>
    <definedName name="IQ_BASIC_OUTSTANDING_CURRENT_MEDIAN_EST" hidden="1">"c4131"</definedName>
    <definedName name="IQ_BASIC_OUTSTANDING_CURRENT_MEDIAN_EST_CIQ" hidden="1">"c4544"</definedName>
    <definedName name="IQ_BASIC_OUTSTANDING_CURRENT_NUM_EST" hidden="1">"c4132"</definedName>
    <definedName name="IQ_BASIC_OUTSTANDING_CURRENT_NUM_EST_CIQ" hidden="1">"c4545"</definedName>
    <definedName name="IQ_BASIC_OUTSTANDING_CURRENT_STDDEV_EST" hidden="1">"c4133"</definedName>
    <definedName name="IQ_BASIC_OUTSTANDING_CURRENT_STDDEV_EST_CIQ" hidden="1">"c4546"</definedName>
    <definedName name="IQ_BASIC_OUTSTANDING_EST" hidden="1">"c4134"</definedName>
    <definedName name="IQ_BASIC_OUTSTANDING_EST_CIQ" hidden="1">"c4547"</definedName>
    <definedName name="IQ_BASIC_OUTSTANDING_HIGH_EST" hidden="1">"c4135"</definedName>
    <definedName name="IQ_BASIC_OUTSTANDING_HIGH_EST_CIQ" hidden="1">"c4548"</definedName>
    <definedName name="IQ_BASIC_OUTSTANDING_LOW_EST" hidden="1">"c4136"</definedName>
    <definedName name="IQ_BASIC_OUTSTANDING_LOW_EST_CIQ" hidden="1">"c4549"</definedName>
    <definedName name="IQ_BASIC_OUTSTANDING_MEDIAN_EST" hidden="1">"c4137"</definedName>
    <definedName name="IQ_BASIC_OUTSTANDING_MEDIAN_EST_CIQ" hidden="1">"c4550"</definedName>
    <definedName name="IQ_BASIC_OUTSTANDING_NUM_EST" hidden="1">"c4138"</definedName>
    <definedName name="IQ_BASIC_OUTSTANDING_NUM_EST_CIQ" hidden="1">"c4551"</definedName>
    <definedName name="IQ_BASIC_OUTSTANDING_STDDEV_EST" hidden="1">"c4139"</definedName>
    <definedName name="IQ_BASIC_OUTSTANDING_STDDEV_EST_CIQ" hidden="1">"c4552"</definedName>
    <definedName name="IQ_BASIC_WEIGHT" hidden="1">"c87"</definedName>
    <definedName name="IQ_BASIC_WEIGHT_EST" hidden="1">"c4140"</definedName>
    <definedName name="IQ_BASIC_WEIGHT_EST_CIQ" hidden="1">"c4553"</definedName>
    <definedName name="IQ_BASIC_WEIGHT_GUIDANCE" hidden="1">"c4141"</definedName>
    <definedName name="IQ_BASIC_WEIGHT_HIGH_EST" hidden="1">"c4142"</definedName>
    <definedName name="IQ_BASIC_WEIGHT_HIGH_EST_CIQ" hidden="1">"c4554"</definedName>
    <definedName name="IQ_BASIC_WEIGHT_LOW_EST" hidden="1">"c4143"</definedName>
    <definedName name="IQ_BASIC_WEIGHT_LOW_EST_CIQ" hidden="1">"c4555"</definedName>
    <definedName name="IQ_BASIC_WEIGHT_MEDIAN_EST" hidden="1">"c4144"</definedName>
    <definedName name="IQ_BASIC_WEIGHT_MEDIAN_EST_CIQ" hidden="1">"c4556"</definedName>
    <definedName name="IQ_BASIC_WEIGHT_NUM_EST" hidden="1">"c4145"</definedName>
    <definedName name="IQ_BASIC_WEIGHT_NUM_EST_CIQ" hidden="1">"c4557"</definedName>
    <definedName name="IQ_BASIC_WEIGHT_STDDEV_EST" hidden="1">"c4146"</definedName>
    <definedName name="IQ_BASIC_WEIGHT_STDDEV_EST_CIQ" hidden="1">"c4558"</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ROKERED_DEPOSITS_FDIC" hidden="1">"c6486"</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CIQ" hidden="1">"c5068"</definedName>
    <definedName name="IQ_BV_EST" hidden="1">"c5624"</definedName>
    <definedName name="IQ_BV_EST_CIQ" hidden="1">"c4737"</definedName>
    <definedName name="IQ_BV_HIGH_EST" hidden="1">"c5626"</definedName>
    <definedName name="IQ_BV_HIGH_EST_CIQ" hidden="1">"c4739"</definedName>
    <definedName name="IQ_BV_LOW_EST" hidden="1">"c5627"</definedName>
    <definedName name="IQ_BV_LOW_EST_CIQ" hidden="1">"c4740"</definedName>
    <definedName name="IQ_BV_MEDIAN_EST" hidden="1">"c5625"</definedName>
    <definedName name="IQ_BV_MEDIAN_EST_CIQ" hidden="1">"c4738"</definedName>
    <definedName name="IQ_BV_NUM_EST" hidden="1">"c5628"</definedName>
    <definedName name="IQ_BV_NUM_EST_CIQ" hidden="1">"c4741"</definedName>
    <definedName name="IQ_BV_OVER_SHARES" hidden="1">"c1349"</definedName>
    <definedName name="IQ_BV_SHARE" hidden="1">"c100"</definedName>
    <definedName name="IQ_BV_SHARE_ACT_OR_EST" hidden="1">"c3587"</definedName>
    <definedName name="IQ_BV_SHARE_ACT_OR_EST_CIQ" hidden="1">"c5072"</definedName>
    <definedName name="IQ_BV_SHARE_EST" hidden="1">"c3541"</definedName>
    <definedName name="IQ_BV_SHARE_EST_CIQ" hidden="1">"c3800"</definedName>
    <definedName name="IQ_BV_SHARE_HIGH_EST" hidden="1">"c3542"</definedName>
    <definedName name="IQ_BV_SHARE_HIGH_EST_CIQ" hidden="1">"c3802"</definedName>
    <definedName name="IQ_BV_SHARE_LOW_EST" hidden="1">"c3543"</definedName>
    <definedName name="IQ_BV_SHARE_LOW_EST_CIQ" hidden="1">"c3803"</definedName>
    <definedName name="IQ_BV_SHARE_MEDIAN_EST" hidden="1">"c3544"</definedName>
    <definedName name="IQ_BV_SHARE_MEDIAN_EST_CIQ" hidden="1">"c3801"</definedName>
    <definedName name="IQ_BV_SHARE_NUM_EST" hidden="1">"c3539"</definedName>
    <definedName name="IQ_BV_SHARE_NUM_EST_CIQ" hidden="1">"c3804"</definedName>
    <definedName name="IQ_BV_SHARE_STDDEV_EST" hidden="1">"c3540"</definedName>
    <definedName name="IQ_BV_SHARE_STDDEV_EST_CIQ" hidden="1">"c3805"</definedName>
    <definedName name="IQ_BV_STDDEV_EST" hidden="1">"c5629"</definedName>
    <definedName name="IQ_BV_STDDEV_EST_CIQ" hidden="1">"c4742"</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CIQ" hidden="1">"c6808"</definedName>
    <definedName name="IQ_CAL_Q_EST_REUT" hidden="1">"c6800"</definedName>
    <definedName name="IQ_CAL_Y" hidden="1">"c102"</definedName>
    <definedName name="IQ_CAL_Y_EST" hidden="1">"c6797"</definedName>
    <definedName name="IQ_CAL_Y_EST_CIQ" hidden="1">"c6809"</definedName>
    <definedName name="IQ_CAL_Y_EST_REUT" hidden="1">"c6801"</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CIQ" hidden="1">"c5071"</definedName>
    <definedName name="IQ_CAPEX_BNK" hidden="1">"c110"</definedName>
    <definedName name="IQ_CAPEX_BR" hidden="1">"c111"</definedName>
    <definedName name="IQ_CAPEX_EST" hidden="1">"c3523"</definedName>
    <definedName name="IQ_CAPEX_EST_CIQ" hidden="1">"c3807"</definedName>
    <definedName name="IQ_CAPEX_FIN" hidden="1">"c112"</definedName>
    <definedName name="IQ_CAPEX_GUIDANCE" hidden="1">"c4150"</definedName>
    <definedName name="IQ_CAPEX_GUIDANCE_CIQ" hidden="1">"c4562"</definedName>
    <definedName name="IQ_CAPEX_HIGH_EST" hidden="1">"c3524"</definedName>
    <definedName name="IQ_CAPEX_HIGH_EST_CIQ" hidden="1">"c3809"</definedName>
    <definedName name="IQ_CAPEX_HIGH_GUIDANCE" hidden="1">"c4180"</definedName>
    <definedName name="IQ_CAPEX_HIGH_GUIDANCE_CIQ" hidden="1">"c4592"</definedName>
    <definedName name="IQ_CAPEX_INS" hidden="1">"c113"</definedName>
    <definedName name="IQ_CAPEX_LOW_EST" hidden="1">"c3525"</definedName>
    <definedName name="IQ_CAPEX_LOW_EST_CIQ" hidden="1">"c3810"</definedName>
    <definedName name="IQ_CAPEX_LOW_GUIDANCE" hidden="1">"c4220"</definedName>
    <definedName name="IQ_CAPEX_LOW_GUIDANCE_CIQ" hidden="1">"c4632"</definedName>
    <definedName name="IQ_CAPEX_MEDIAN_EST" hidden="1">"c3526"</definedName>
    <definedName name="IQ_CAPEX_MEDIAN_EST_CIQ" hidden="1">"c3808"</definedName>
    <definedName name="IQ_CAPEX_NUM_EST" hidden="1">"c3521"</definedName>
    <definedName name="IQ_CAPEX_NUM_EST_CIQ" hidden="1">"c3811"</definedName>
    <definedName name="IQ_CAPEX_STDDEV_EST" hidden="1">"c3522"</definedName>
    <definedName name="IQ_CAPEX_STDDEV_EST_CIQ" hidden="1">"c3812"</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DIVIDENDS_NET_INCOME_FDIC" hidden="1">"c6738"</definedName>
    <definedName name="IQ_CASH_DUE_BANKS" hidden="1">"c1351"</definedName>
    <definedName name="IQ_CASH_EPS_ACT_OR_EST" hidden="1">"c5638"</definedName>
    <definedName name="IQ_CASH_EPS_EST" hidden="1">"c5631"</definedName>
    <definedName name="IQ_CASH_EPS_HIGH_EST" hidden="1">"c5633"</definedName>
    <definedName name="IQ_CASH_EPS_LOW_EST" hidden="1">"c5634"</definedName>
    <definedName name="IQ_CASH_EPS_MEDIAN_EST" hidden="1">"c5632"</definedName>
    <definedName name="IQ_CASH_EPS_NUM_EST" hidden="1">"c5635"</definedName>
    <definedName name="IQ_CASH_EPS_STDDEV_EST" hidden="1">"c5636"</definedName>
    <definedName name="IQ_CASH_EQUIV" hidden="1">"c118"</definedName>
    <definedName name="IQ_CASH_FINAN" hidden="1">"c119"</definedName>
    <definedName name="IQ_CASH_FLOW_ACT_OR_EST" hidden="1">"c4154"</definedName>
    <definedName name="IQ_CASH_FLOW_ACT_OR_EST_CIQ" hidden="1">"c4566"</definedName>
    <definedName name="IQ_CASH_FLOW_EST" hidden="1">"c4153"</definedName>
    <definedName name="IQ_CASH_FLOW_EST_CIQ" hidden="1">"c4565"</definedName>
    <definedName name="IQ_CASH_FLOW_GUIDANCE" hidden="1">"c4155"</definedName>
    <definedName name="IQ_CASH_FLOW_GUIDANCE_CIQ" hidden="1">"c4567"</definedName>
    <definedName name="IQ_CASH_FLOW_HIGH_EST" hidden="1">"c4156"</definedName>
    <definedName name="IQ_CASH_FLOW_HIGH_EST_CIQ" hidden="1">"c4568"</definedName>
    <definedName name="IQ_CASH_FLOW_HIGH_GUIDANCE" hidden="1">"c4201"</definedName>
    <definedName name="IQ_CASH_FLOW_HIGH_GUIDANCE_CIQ" hidden="1">"c4613"</definedName>
    <definedName name="IQ_CASH_FLOW_LOW_EST" hidden="1">"c4157"</definedName>
    <definedName name="IQ_CASH_FLOW_LOW_EST_CIQ" hidden="1">"c4569"</definedName>
    <definedName name="IQ_CASH_FLOW_LOW_GUIDANCE" hidden="1">"c4241"</definedName>
    <definedName name="IQ_CASH_FLOW_LOW_GUIDANCE_CIQ" hidden="1">"c4653"</definedName>
    <definedName name="IQ_CASH_FLOW_MEDIAN_EST" hidden="1">"c4158"</definedName>
    <definedName name="IQ_CASH_FLOW_MEDIAN_EST_CIQ" hidden="1">"c4570"</definedName>
    <definedName name="IQ_CASH_FLOW_NUM_EST" hidden="1">"c4159"</definedName>
    <definedName name="IQ_CASH_FLOW_NUM_EST_CIQ" hidden="1">"c4571"</definedName>
    <definedName name="IQ_CASH_FLOW_STDDEV_EST" hidden="1">"c4160"</definedName>
    <definedName name="IQ_CASH_FLOW_STDDEV_EST_CIQ" hidden="1">"c4572"</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OPER_ACT_OR_EST_CIQ" hidden="1">"c4576"</definedName>
    <definedName name="IQ_CASH_OPER_EST" hidden="1">"c4163"</definedName>
    <definedName name="IQ_CASH_OPER_EST_CIQ" hidden="1">"c4575"</definedName>
    <definedName name="IQ_CASH_OPER_GUIDANCE" hidden="1">"c4165"</definedName>
    <definedName name="IQ_CASH_OPER_GUIDANCE_CIQ" hidden="1">"c4577"</definedName>
    <definedName name="IQ_CASH_OPER_HIGH_EST" hidden="1">"c4166"</definedName>
    <definedName name="IQ_CASH_OPER_HIGH_EST_CIQ" hidden="1">"c4578"</definedName>
    <definedName name="IQ_CASH_OPER_HIGH_GUIDANCE" hidden="1">"c4185"</definedName>
    <definedName name="IQ_CASH_OPER_HIGH_GUIDANCE_CIQ" hidden="1">"c4597"</definedName>
    <definedName name="IQ_CASH_OPER_LOW_EST" hidden="1">"c4244"</definedName>
    <definedName name="IQ_CASH_OPER_LOW_EST_CIQ" hidden="1">"c4768"</definedName>
    <definedName name="IQ_CASH_OPER_LOW_GUIDANCE" hidden="1">"c4225"</definedName>
    <definedName name="IQ_CASH_OPER_LOW_GUIDANCE_CIQ" hidden="1">"c4637"</definedName>
    <definedName name="IQ_CASH_OPER_MEDIAN_EST" hidden="1">"c4245"</definedName>
    <definedName name="IQ_CASH_OPER_MEDIAN_EST_CIQ" hidden="1">"c4771"</definedName>
    <definedName name="IQ_CASH_OPER_NUM_EST" hidden="1">"c4246"</definedName>
    <definedName name="IQ_CASH_OPER_NUM_EST_CIQ" hidden="1">"c4772"</definedName>
    <definedName name="IQ_CASH_OPER_STDDEV_EST" hidden="1">"c4247"</definedName>
    <definedName name="IQ_CASH_OPER_STDDEV_EST_CIQ" hidden="1">"c4773"</definedName>
    <definedName name="IQ_CASH_SEGREG" hidden="1">"c123"</definedName>
    <definedName name="IQ_CASH_SHARE" hidden="1">"c1911"</definedName>
    <definedName name="IQ_CASH_ST" hidden="1">"c1355"</definedName>
    <definedName name="IQ_CASH_ST_INVEST" hidden="1">"c124"</definedName>
    <definedName name="IQ_CASH_ST_INVEST_EST" hidden="1">"c4249"</definedName>
    <definedName name="IQ_CASH_ST_INVEST_EST_CIQ" hidden="1">"c4775"</definedName>
    <definedName name="IQ_CASH_ST_INVEST_GUIDANCE" hidden="1">"c4250"</definedName>
    <definedName name="IQ_CASH_ST_INVEST_GUIDANCE_CIQ" hidden="1">"c4776"</definedName>
    <definedName name="IQ_CASH_ST_INVEST_HIGH_EST" hidden="1">"c4251"</definedName>
    <definedName name="IQ_CASH_ST_INVEST_HIGH_EST_CIQ" hidden="1">"c4777"</definedName>
    <definedName name="IQ_CASH_ST_INVEST_HIGH_GUIDANCE" hidden="1">"c4195"</definedName>
    <definedName name="IQ_CASH_ST_INVEST_HIGH_GUIDANCE_CIQ" hidden="1">"c4607"</definedName>
    <definedName name="IQ_CASH_ST_INVEST_LOW_EST" hidden="1">"c4252"</definedName>
    <definedName name="IQ_CASH_ST_INVEST_LOW_EST_CIQ" hidden="1">"c4778"</definedName>
    <definedName name="IQ_CASH_ST_INVEST_LOW_GUIDANCE" hidden="1">"c4235"</definedName>
    <definedName name="IQ_CASH_ST_INVEST_LOW_GUIDANCE_CIQ" hidden="1">"c4647"</definedName>
    <definedName name="IQ_CASH_ST_INVEST_MEDIAN_EST" hidden="1">"c4253"</definedName>
    <definedName name="IQ_CASH_ST_INVEST_MEDIAN_EST_CIQ" hidden="1">"c4779"</definedName>
    <definedName name="IQ_CASH_ST_INVEST_NUM_EST" hidden="1">"c4254"</definedName>
    <definedName name="IQ_CASH_ST_INVEST_NUM_EST_CIQ" hidden="1">"c4780"</definedName>
    <definedName name="IQ_CASH_ST_INVEST_STDDEV_EST" hidden="1">"c4255"</definedName>
    <definedName name="IQ_CASH_ST_INVEST_STDDEV_EST_CIQ" hidden="1">"c4781"</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CIQ" hidden="1">"c5061"</definedName>
    <definedName name="IQ_CFPS_EST" hidden="1">"c1667"</definedName>
    <definedName name="IQ_CFPS_EST_CIQ" hidden="1">"c3675"</definedName>
    <definedName name="IQ_CFPS_GUIDANCE" hidden="1">"c4256"</definedName>
    <definedName name="IQ_CFPS_GUIDANCE_CIQ" hidden="1">"c4782"</definedName>
    <definedName name="IQ_CFPS_HIGH_EST" hidden="1">"c1669"</definedName>
    <definedName name="IQ_CFPS_HIGH_EST_CIQ" hidden="1">"c3677"</definedName>
    <definedName name="IQ_CFPS_HIGH_GUIDANCE" hidden="1">"c4167"</definedName>
    <definedName name="IQ_CFPS_HIGH_GUIDANCE_CIQ" hidden="1">"c4579"</definedName>
    <definedName name="IQ_CFPS_LOW_EST" hidden="1">"c1670"</definedName>
    <definedName name="IQ_CFPS_LOW_EST_CIQ" hidden="1">"c3678"</definedName>
    <definedName name="IQ_CFPS_LOW_GUIDANCE" hidden="1">"c4207"</definedName>
    <definedName name="IQ_CFPS_LOW_GUIDANCE_CIQ" hidden="1">"c4619"</definedName>
    <definedName name="IQ_CFPS_MEDIAN_EST" hidden="1">"c1668"</definedName>
    <definedName name="IQ_CFPS_MEDIAN_EST_CIQ" hidden="1">"c3676"</definedName>
    <definedName name="IQ_CFPS_NUM_EST" hidden="1">"c1671"</definedName>
    <definedName name="IQ_CFPS_NUM_EST_CIQ" hidden="1">"c3679"</definedName>
    <definedName name="IQ_CFPS_STDDEV_EST" hidden="1">"c1672"</definedName>
    <definedName name="IQ_CFPS_STDDEV_EST_CIQ" hidden="1">"c3680"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TY_EST" hidden="1">"c4257"</definedName>
    <definedName name="IQ_DEBT_EQUITY_EST_CIQ" hidden="1">"c4783"</definedName>
    <definedName name="IQ_DEBT_EQUITY_HIGH_EST" hidden="1">"c4258"</definedName>
    <definedName name="IQ_DEBT_EQUITY_HIGH_EST_CIQ" hidden="1">"c4784"</definedName>
    <definedName name="IQ_DEBT_EQUITY_LOW_EST" hidden="1">"c4259"</definedName>
    <definedName name="IQ_DEBT_EQUITY_LOW_EST_CIQ" hidden="1">"c4785"</definedName>
    <definedName name="IQ_DEBT_EQUITY_MEDIAN_EST" hidden="1">"c4260"</definedName>
    <definedName name="IQ_DEBT_EQUITY_MEDIAN_EST_CIQ" hidden="1">"c4786"</definedName>
    <definedName name="IQ_DEBT_EQUITY_NUM_EST" hidden="1">"c4261"</definedName>
    <definedName name="IQ_DEBT_EQUITY_NUM_EST_CIQ" hidden="1">"c4787"</definedName>
    <definedName name="IQ_DEBT_EQUITY_STDDEV_EST" hidden="1">"c4262"</definedName>
    <definedName name="IQ_DEBT_EQUITY_STDDEV_EST_CIQ" hidden="1">"c4788"</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S_FDIC" hidden="1">"c6523"</definedName>
    <definedName name="IQ_DESCRIPTION_LONG" hidden="1">"c1520"</definedName>
    <definedName name="IQ_DEVELOP_LAND" hidden="1">"c323"</definedName>
    <definedName name="IQ_DIFF_LASTCLOSE_TARGET_PRICE" hidden="1">"c1854"</definedName>
    <definedName name="IQ_DIFF_LASTCLOSE_TARGET_PRICE_CIQ" hidden="1">"c4767"</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OUTSTANDING_CURRENT_EST" hidden="1">"c4263"</definedName>
    <definedName name="IQ_DILUT_OUTSTANDING_CURRENT_EST_CIQ" hidden="1">"c4789"</definedName>
    <definedName name="IQ_DILUT_OUTSTANDING_CURRENT_HIGH_EST" hidden="1">"c4264"</definedName>
    <definedName name="IQ_DILUT_OUTSTANDING_CURRENT_HIGH_EST_CIQ" hidden="1">"c4790"</definedName>
    <definedName name="IQ_DILUT_OUTSTANDING_CURRENT_LOW_EST" hidden="1">"c4265"</definedName>
    <definedName name="IQ_DILUT_OUTSTANDING_CURRENT_LOW_EST_CIQ" hidden="1">"c4791"</definedName>
    <definedName name="IQ_DILUT_OUTSTANDING_CURRENT_MEDIAN_EST" hidden="1">"c4266"</definedName>
    <definedName name="IQ_DILUT_OUTSTANDING_CURRENT_MEDIAN_EST_CIQ" hidden="1">"c4792"</definedName>
    <definedName name="IQ_DILUT_OUTSTANDING_CURRENT_NUM_EST" hidden="1">"c4267"</definedName>
    <definedName name="IQ_DILUT_OUTSTANDING_CURRENT_NUM_EST_CIQ" hidden="1">"c4793"</definedName>
    <definedName name="IQ_DILUT_OUTSTANDING_CURRENT_STDDEV_EST" hidden="1">"c4268"</definedName>
    <definedName name="IQ_DILUT_OUTSTANDING_CURRENT_STDDEV_EST_CIQ" hidden="1">"c4794"</definedName>
    <definedName name="IQ_DILUT_WEIGHT" hidden="1">"c326"</definedName>
    <definedName name="IQ_DILUT_WEIGHT_EST" hidden="1">"c4269"</definedName>
    <definedName name="IQ_DILUT_WEIGHT_EST_CIQ" hidden="1">"c4795"</definedName>
    <definedName name="IQ_DILUT_WEIGHT_GUIDANCE" hidden="1">"c4270"</definedName>
    <definedName name="IQ_DILUT_WEIGHT_HIGH_EST" hidden="1">"c4271"</definedName>
    <definedName name="IQ_DILUT_WEIGHT_HIGH_EST_CIQ" hidden="1">"c4796"</definedName>
    <definedName name="IQ_DILUT_WEIGHT_LOW_EST" hidden="1">"c4272"</definedName>
    <definedName name="IQ_DILUT_WEIGHT_LOW_EST_CIQ" hidden="1">"c4797"</definedName>
    <definedName name="IQ_DILUT_WEIGHT_MEDIAN_EST" hidden="1">"c4273"</definedName>
    <definedName name="IQ_DILUT_WEIGHT_MEDIAN_EST_CIQ" hidden="1">"c4798"</definedName>
    <definedName name="IQ_DILUT_WEIGHT_NUM_EST" hidden="1">"c4274"</definedName>
    <definedName name="IQ_DILUT_WEIGHT_NUM_EST_CIQ" hidden="1">"c4799"</definedName>
    <definedName name="IQ_DILUT_WEIGHT_STDDEV_EST" hidden="1">"c4275"</definedName>
    <definedName name="IQ_DILUT_WEIGHT_STDDEV_EST_CIQ" hidden="1">"c4800"</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ACT_OR_EST_CIQ" hidden="1">"c4803"</definedName>
    <definedName name="IQ_DISTRIBUTABLE_CASH_EST" hidden="1">"c4277"</definedName>
    <definedName name="IQ_DISTRIBUTABLE_CASH_EST_CIQ" hidden="1">"c4802"</definedName>
    <definedName name="IQ_DISTRIBUTABLE_CASH_GUIDANCE" hidden="1">"c4279"</definedName>
    <definedName name="IQ_DISTRIBUTABLE_CASH_GUIDANCE_CIQ" hidden="1">"c4804"</definedName>
    <definedName name="IQ_DISTRIBUTABLE_CASH_HIGH_EST" hidden="1">"c4280"</definedName>
    <definedName name="IQ_DISTRIBUTABLE_CASH_HIGH_EST_CIQ" hidden="1">"c4805"</definedName>
    <definedName name="IQ_DISTRIBUTABLE_CASH_HIGH_GUIDANCE" hidden="1">"c4198"</definedName>
    <definedName name="IQ_DISTRIBUTABLE_CASH_HIGH_GUIDANCE_CIQ" hidden="1">"c4610"</definedName>
    <definedName name="IQ_DISTRIBUTABLE_CASH_LOW_EST" hidden="1">"c4281"</definedName>
    <definedName name="IQ_DISTRIBUTABLE_CASH_LOW_EST_CIQ" hidden="1">"c4806"</definedName>
    <definedName name="IQ_DISTRIBUTABLE_CASH_LOW_GUIDANCE" hidden="1">"c4238"</definedName>
    <definedName name="IQ_DISTRIBUTABLE_CASH_LOW_GUIDANCE_CIQ" hidden="1">"c4650"</definedName>
    <definedName name="IQ_DISTRIBUTABLE_CASH_MEDIAN_EST" hidden="1">"c4282"</definedName>
    <definedName name="IQ_DISTRIBUTABLE_CASH_MEDIAN_EST_CIQ" hidden="1">"c4807"</definedName>
    <definedName name="IQ_DISTRIBUTABLE_CASH_NUM_EST" hidden="1">"c4283"</definedName>
    <definedName name="IQ_DISTRIBUTABLE_CASH_NUM_EST_CIQ" hidden="1">"c4808"</definedName>
    <definedName name="IQ_DISTRIBUTABLE_CASH_PAYOUT" hidden="1">"c3005"</definedName>
    <definedName name="IQ_DISTRIBUTABLE_CASH_SHARE" hidden="1">"c3003"</definedName>
    <definedName name="IQ_DISTRIBUTABLE_CASH_SHARE_ACT_OR_EST" hidden="1">"c4286"</definedName>
    <definedName name="IQ_DISTRIBUTABLE_CASH_SHARE_ACT_OR_EST_CIQ" hidden="1">"c4811"</definedName>
    <definedName name="IQ_DISTRIBUTABLE_CASH_SHARE_EST" hidden="1">"c4285"</definedName>
    <definedName name="IQ_DISTRIBUTABLE_CASH_SHARE_EST_CIQ" hidden="1">"c4810"</definedName>
    <definedName name="IQ_DISTRIBUTABLE_CASH_SHARE_GUIDANCE" hidden="1">"c4287"</definedName>
    <definedName name="IQ_DISTRIBUTABLE_CASH_SHARE_GUIDANCE_CIQ" hidden="1">"c4812"</definedName>
    <definedName name="IQ_DISTRIBUTABLE_CASH_SHARE_HIGH_EST" hidden="1">"c4288"</definedName>
    <definedName name="IQ_DISTRIBUTABLE_CASH_SHARE_HIGH_EST_CIQ" hidden="1">"c4813"</definedName>
    <definedName name="IQ_DISTRIBUTABLE_CASH_SHARE_HIGH_GUIDANCE" hidden="1">"c4199"</definedName>
    <definedName name="IQ_DISTRIBUTABLE_CASH_SHARE_HIGH_GUIDANCE_CIQ" hidden="1">"c4611"</definedName>
    <definedName name="IQ_DISTRIBUTABLE_CASH_SHARE_LOW_EST" hidden="1">"c4289"</definedName>
    <definedName name="IQ_DISTRIBUTABLE_CASH_SHARE_LOW_EST_CIQ" hidden="1">"c4814"</definedName>
    <definedName name="IQ_DISTRIBUTABLE_CASH_SHARE_LOW_GUIDANCE" hidden="1">"c4239"</definedName>
    <definedName name="IQ_DISTRIBUTABLE_CASH_SHARE_LOW_GUIDANCE_CIQ" hidden="1">"c4651"</definedName>
    <definedName name="IQ_DISTRIBUTABLE_CASH_SHARE_MEDIAN_EST" hidden="1">"c4290"</definedName>
    <definedName name="IQ_DISTRIBUTABLE_CASH_SHARE_MEDIAN_EST_CIQ" hidden="1">"c4815"</definedName>
    <definedName name="IQ_DISTRIBUTABLE_CASH_SHARE_NUM_EST" hidden="1">"c4291"</definedName>
    <definedName name="IQ_DISTRIBUTABLE_CASH_SHARE_NUM_EST_CIQ" hidden="1">"c4816"</definedName>
    <definedName name="IQ_DISTRIBUTABLE_CASH_SHARE_STDDEV_EST" hidden="1">"c4292"</definedName>
    <definedName name="IQ_DISTRIBUTABLE_CASH_SHARE_STDDEV_EST_CIQ" hidden="1">"c4817"</definedName>
    <definedName name="IQ_DISTRIBUTABLE_CASH_STDDEV_EST" hidden="1">"c4294"</definedName>
    <definedName name="IQ_DISTRIBUTABLE_CASH_STDDEV_EST_CIQ" hidden="1">"c4819"</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EST" hidden="1">"c4296"</definedName>
    <definedName name="IQ_DIVIDEND_EST_CIQ" hidden="1">"c4821"</definedName>
    <definedName name="IQ_DIVIDEND_HIGH_EST" hidden="1">"c4297"</definedName>
    <definedName name="IQ_DIVIDEND_HIGH_EST_CIQ" hidden="1">"c4822"</definedName>
    <definedName name="IQ_DIVIDEND_LOW_EST" hidden="1">"c4298"</definedName>
    <definedName name="IQ_DIVIDEND_LOW_EST_CIQ" hidden="1">"c4823"</definedName>
    <definedName name="IQ_DIVIDEND_MEDIAN_EST" hidden="1">"c4299"</definedName>
    <definedName name="IQ_DIVIDEND_MEDIAN_EST_CIQ" hidden="1">"c4824"</definedName>
    <definedName name="IQ_DIVIDEND_NUM_EST" hidden="1">"c4300"</definedName>
    <definedName name="IQ_DIVIDEND_NUM_EST_CIQ" hidden="1">"c4825"</definedName>
    <definedName name="IQ_DIVIDEND_STDDEV_EST" hidden="1">"c4301"</definedName>
    <definedName name="IQ_DIVIDEND_STDDEV_EST_CIQ" hidden="1">"c4826"</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CIQ" hidden="1">"c5062"</definedName>
    <definedName name="IQ_DPS_EST" hidden="1">"c1674"</definedName>
    <definedName name="IQ_DPS_EST_BOTTOM_UP" hidden="1">"c5493"</definedName>
    <definedName name="IQ_DPS_EST_CIQ" hidden="1">"c3682"</definedName>
    <definedName name="IQ_DPS_GUIDANCE" hidden="1">"c4302"</definedName>
    <definedName name="IQ_DPS_GUIDANCE_CIQ" hidden="1">"c4827"</definedName>
    <definedName name="IQ_DPS_HIGH_EST" hidden="1">"c1676"</definedName>
    <definedName name="IQ_DPS_HIGH_EST_CIQ" hidden="1">"c3684"</definedName>
    <definedName name="IQ_DPS_HIGH_GUIDANCE" hidden="1">"c4168"</definedName>
    <definedName name="IQ_DPS_HIGH_GUIDANCE_CIQ" hidden="1">"c4580"</definedName>
    <definedName name="IQ_DPS_LOW_EST" hidden="1">"c1677"</definedName>
    <definedName name="IQ_DPS_LOW_EST_CIQ" hidden="1">"c3685"</definedName>
    <definedName name="IQ_DPS_LOW_GUIDANCE" hidden="1">"c4208"</definedName>
    <definedName name="IQ_DPS_LOW_GUIDANCE_CIQ" hidden="1">"c4620"</definedName>
    <definedName name="IQ_DPS_MEDIAN_EST" hidden="1">"c1675"</definedName>
    <definedName name="IQ_DPS_MEDIAN_EST_CIQ" hidden="1">"c3683"</definedName>
    <definedName name="IQ_DPS_NUM_EST" hidden="1">"c1678"</definedName>
    <definedName name="IQ_DPS_NUM_EST_CIQ" hidden="1">"c3686"</definedName>
    <definedName name="IQ_DPS_STDDEV_EST" hidden="1">"c1679"</definedName>
    <definedName name="IQ_DPS_STDDEV_EST_CIQ" hidden="1">"c3687"</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CIQ" hidden="1">"c4656"</definedName>
    <definedName name="IQ_EARNINGS_ANNOUNCE_DATE_REUT" hidden="1">"c5314"</definedName>
    <definedName name="IQ_EARNINGS_COVERAGE_NET_CHARGE_OFFS_FDIC" hidden="1">"c6735"</definedName>
    <definedName name="IQ_EBIT" hidden="1">"c352"</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CIQ" hidden="1">"c5063"</definedName>
    <definedName name="IQ_EBIT_EQ_INC" hidden="1">"c3498"</definedName>
    <definedName name="IQ_EBIT_EQ_INC_EXCL_SBC" hidden="1">"c3502"</definedName>
    <definedName name="IQ_EBIT_EST" hidden="1">"c1681"</definedName>
    <definedName name="IQ_EBIT_EST_CIQ" hidden="1">"c4674"</definedName>
    <definedName name="IQ_EBIT_EXCL_SBC" hidden="1">"c3082"</definedName>
    <definedName name="IQ_EBIT_GUIDANCE" hidden="1">"c4303"</definedName>
    <definedName name="IQ_EBIT_GUIDANCE_CIQ" hidden="1">"c4828"</definedName>
    <definedName name="IQ_EBIT_GW_ACT_OR_EST" hidden="1">"c4306"</definedName>
    <definedName name="IQ_EBIT_GW_ACT_OR_EST_CIQ" hidden="1">"c4831"</definedName>
    <definedName name="IQ_EBIT_GW_EST" hidden="1">"c4305"</definedName>
    <definedName name="IQ_EBIT_GW_EST_CIQ" hidden="1">"c4830"</definedName>
    <definedName name="IQ_EBIT_GW_GUIDANCE" hidden="1">"c4307"</definedName>
    <definedName name="IQ_EBIT_GW_GUIDANCE_CIQ" hidden="1">"c4832"</definedName>
    <definedName name="IQ_EBIT_GW_HIGH_EST" hidden="1">"c4308"</definedName>
    <definedName name="IQ_EBIT_GW_HIGH_EST_CIQ" hidden="1">"c4833"</definedName>
    <definedName name="IQ_EBIT_GW_HIGH_GUIDANCE" hidden="1">"c4171"</definedName>
    <definedName name="IQ_EBIT_GW_HIGH_GUIDANCE_CIQ" hidden="1">"c4583"</definedName>
    <definedName name="IQ_EBIT_GW_LOW_EST" hidden="1">"c4309"</definedName>
    <definedName name="IQ_EBIT_GW_LOW_EST_CIQ" hidden="1">"c4834"</definedName>
    <definedName name="IQ_EBIT_GW_LOW_GUIDANCE" hidden="1">"c4211"</definedName>
    <definedName name="IQ_EBIT_GW_LOW_GUIDANCE_CIQ" hidden="1">"c4623"</definedName>
    <definedName name="IQ_EBIT_GW_MEDIAN_EST" hidden="1">"c4310"</definedName>
    <definedName name="IQ_EBIT_GW_MEDIAN_EST_CIQ" hidden="1">"c4835"</definedName>
    <definedName name="IQ_EBIT_GW_NUM_EST" hidden="1">"c4311"</definedName>
    <definedName name="IQ_EBIT_GW_NUM_EST_CIQ" hidden="1">"c4836"</definedName>
    <definedName name="IQ_EBIT_GW_STDDEV_EST" hidden="1">"c4312"</definedName>
    <definedName name="IQ_EBIT_GW_STDDEV_EST_CIQ" hidden="1">"c4837"</definedName>
    <definedName name="IQ_EBIT_HIGH_EST" hidden="1">"c1683"</definedName>
    <definedName name="IQ_EBIT_HIGH_EST_CIQ" hidden="1">"c4676"</definedName>
    <definedName name="IQ_EBIT_HIGH_GUIDANCE" hidden="1">"c4172"</definedName>
    <definedName name="IQ_EBIT_HIGH_GUIDANCE_CIQ" hidden="1">"c4584"</definedName>
    <definedName name="IQ_EBIT_INT" hidden="1">"c360"</definedName>
    <definedName name="IQ_EBIT_LOW_EST" hidden="1">"c1684"</definedName>
    <definedName name="IQ_EBIT_LOW_EST_CIQ" hidden="1">"c4677"</definedName>
    <definedName name="IQ_EBIT_LOW_GUIDANCE" hidden="1">"c4212"</definedName>
    <definedName name="IQ_EBIT_LOW_GUIDANCE_CIQ" hidden="1">"c4624"</definedName>
    <definedName name="IQ_EBIT_MARGIN" hidden="1">"c359"</definedName>
    <definedName name="IQ_EBIT_MEDIAN_EST" hidden="1">"c1682"</definedName>
    <definedName name="IQ_EBIT_MEDIAN_EST_CIQ" hidden="1">"c4675"</definedName>
    <definedName name="IQ_EBIT_NUM_EST" hidden="1">"c1685"</definedName>
    <definedName name="IQ_EBIT_NUM_EST_CIQ" hidden="1">"c4678"</definedName>
    <definedName name="IQ_EBIT_OVER_IE" hidden="1">"c1369"</definedName>
    <definedName name="IQ_EBIT_SBC_ACT_OR_EST" hidden="1">"c4316"</definedName>
    <definedName name="IQ_EBIT_SBC_ACT_OR_EST_CIQ" hidden="1">"c4841"</definedName>
    <definedName name="IQ_EBIT_SBC_EST" hidden="1">"c4315"</definedName>
    <definedName name="IQ_EBIT_SBC_EST_CIQ" hidden="1">"c4840"</definedName>
    <definedName name="IQ_EBIT_SBC_GUIDANCE" hidden="1">"c4317"</definedName>
    <definedName name="IQ_EBIT_SBC_GUIDANCE_CIQ" hidden="1">"c4842"</definedName>
    <definedName name="IQ_EBIT_SBC_GW_ACT_OR_EST" hidden="1">"c4320"</definedName>
    <definedName name="IQ_EBIT_SBC_GW_ACT_OR_EST_CIQ" hidden="1">"c4845"</definedName>
    <definedName name="IQ_EBIT_SBC_GW_EST" hidden="1">"c4319"</definedName>
    <definedName name="IQ_EBIT_SBC_GW_EST_CIQ" hidden="1">"c4844"</definedName>
    <definedName name="IQ_EBIT_SBC_GW_GUIDANCE" hidden="1">"c4321"</definedName>
    <definedName name="IQ_EBIT_SBC_GW_GUIDANCE_CIQ" hidden="1">"c4846"</definedName>
    <definedName name="IQ_EBIT_SBC_GW_HIGH_EST" hidden="1">"c4322"</definedName>
    <definedName name="IQ_EBIT_SBC_GW_HIGH_EST_CIQ" hidden="1">"c4847"</definedName>
    <definedName name="IQ_EBIT_SBC_GW_HIGH_GUIDANCE" hidden="1">"c4193"</definedName>
    <definedName name="IQ_EBIT_SBC_GW_HIGH_GUIDANCE_CIQ" hidden="1">"c4605"</definedName>
    <definedName name="IQ_EBIT_SBC_GW_LOW_EST" hidden="1">"c4323"</definedName>
    <definedName name="IQ_EBIT_SBC_GW_LOW_EST_CIQ" hidden="1">"c4848"</definedName>
    <definedName name="IQ_EBIT_SBC_GW_LOW_GUIDANCE" hidden="1">"c4233"</definedName>
    <definedName name="IQ_EBIT_SBC_GW_LOW_GUIDANCE_CIQ" hidden="1">"c4645"</definedName>
    <definedName name="IQ_EBIT_SBC_GW_MEDIAN_EST" hidden="1">"c4324"</definedName>
    <definedName name="IQ_EBIT_SBC_GW_MEDIAN_EST_CIQ" hidden="1">"c4849"</definedName>
    <definedName name="IQ_EBIT_SBC_GW_NUM_EST" hidden="1">"c4325"</definedName>
    <definedName name="IQ_EBIT_SBC_GW_NUM_EST_CIQ" hidden="1">"c4850"</definedName>
    <definedName name="IQ_EBIT_SBC_GW_STDDEV_EST" hidden="1">"c4326"</definedName>
    <definedName name="IQ_EBIT_SBC_GW_STDDEV_EST_CIQ" hidden="1">"c4851"</definedName>
    <definedName name="IQ_EBIT_SBC_HIGH_EST" hidden="1">"c4328"</definedName>
    <definedName name="IQ_EBIT_SBC_HIGH_EST_CIQ" hidden="1">"c4853"</definedName>
    <definedName name="IQ_EBIT_SBC_HIGH_GUIDANCE" hidden="1">"c4192"</definedName>
    <definedName name="IQ_EBIT_SBC_HIGH_GUIDANCE_CIQ" hidden="1">"c4604"</definedName>
    <definedName name="IQ_EBIT_SBC_LOW_EST" hidden="1">"c4329"</definedName>
    <definedName name="IQ_EBIT_SBC_LOW_EST_CIQ" hidden="1">"c4854"</definedName>
    <definedName name="IQ_EBIT_SBC_LOW_GUIDANCE" hidden="1">"c4232"</definedName>
    <definedName name="IQ_EBIT_SBC_LOW_GUIDANCE_CIQ" hidden="1">"c4644"</definedName>
    <definedName name="IQ_EBIT_SBC_MEDIAN_EST" hidden="1">"c4330"</definedName>
    <definedName name="IQ_EBIT_SBC_MEDIAN_EST_CIQ" hidden="1">"c4855"</definedName>
    <definedName name="IQ_EBIT_SBC_NUM_EST" hidden="1">"c4331"</definedName>
    <definedName name="IQ_EBIT_SBC_NUM_EST_CIQ" hidden="1">"c4856"</definedName>
    <definedName name="IQ_EBIT_SBC_STDDEV_EST" hidden="1">"c4332"</definedName>
    <definedName name="IQ_EBIT_SBC_STDDEV_EST_CIQ" hidden="1">"c4857"</definedName>
    <definedName name="IQ_EBIT_STDDEV_EST" hidden="1">"c1686"</definedName>
    <definedName name="IQ_EBIT_STDDEV_EST_CIQ" hidden="1">"c4679"</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CIQ" hidden="1">"c5060"</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CIQ" hidden="1">"c3622"</definedName>
    <definedName name="IQ_EBITDA_EST_REUT" hidden="1">"c3640"</definedName>
    <definedName name="IQ_EBITDA_EXCL_SBC" hidden="1">"c3081"</definedName>
    <definedName name="IQ_EBITDA_GUIDANCE" hidden="1">"c4334"</definedName>
    <definedName name="IQ_EBITDA_GUIDANCE_CIQ" hidden="1">"c4859"</definedName>
    <definedName name="IQ_EBITDA_HIGH_EST" hidden="1">"c370"</definedName>
    <definedName name="IQ_EBITDA_HIGH_EST_CIQ" hidden="1">"c3624"</definedName>
    <definedName name="IQ_EBITDA_HIGH_EST_REUT" hidden="1">"c3642"</definedName>
    <definedName name="IQ_EBITDA_HIGH_GUIDANCE" hidden="1">"c4170"</definedName>
    <definedName name="IQ_EBITDA_HIGH_GUIDANCE_CIQ" hidden="1">"c4582"</definedName>
    <definedName name="IQ_EBITDA_INT" hidden="1">"c373"</definedName>
    <definedName name="IQ_EBITDA_LOW_EST" hidden="1">"c371"</definedName>
    <definedName name="IQ_EBITDA_LOW_EST_CIQ" hidden="1">"c3625"</definedName>
    <definedName name="IQ_EBITDA_LOW_EST_REUT" hidden="1">"c3643"</definedName>
    <definedName name="IQ_EBITDA_LOW_GUIDANCE" hidden="1">"c4210"</definedName>
    <definedName name="IQ_EBITDA_LOW_GUIDANCE_CIQ" hidden="1">"c4622"</definedName>
    <definedName name="IQ_EBITDA_MARGIN" hidden="1">"c372"</definedName>
    <definedName name="IQ_EBITDA_MEDIAN_EST" hidden="1">"c1663"</definedName>
    <definedName name="IQ_EBITDA_MEDIAN_EST_CIQ" hidden="1">"c3623"</definedName>
    <definedName name="IQ_EBITDA_MEDIAN_EST_REUT" hidden="1">"c3641"</definedName>
    <definedName name="IQ_EBITDA_NUM_EST" hidden="1">"c374"</definedName>
    <definedName name="IQ_EBITDA_NUM_EST_CIQ" hidden="1">"c3626"</definedName>
    <definedName name="IQ_EBITDA_NUM_EST_REUT" hidden="1">"c3644"</definedName>
    <definedName name="IQ_EBITDA_OVER_TOTAL_IE" hidden="1">"c1371"</definedName>
    <definedName name="IQ_EBITDA_SBC_ACT_OR_EST" hidden="1">"c4337"</definedName>
    <definedName name="IQ_EBITDA_SBC_ACT_OR_EST_CIQ" hidden="1">"c4862"</definedName>
    <definedName name="IQ_EBITDA_SBC_EST" hidden="1">"c4336"</definedName>
    <definedName name="IQ_EBITDA_SBC_EST_CIQ" hidden="1">"c4861"</definedName>
    <definedName name="IQ_EBITDA_SBC_GUIDANCE" hidden="1">"c4338"</definedName>
    <definedName name="IQ_EBITDA_SBC_GUIDANCE_CIQ" hidden="1">"c4863"</definedName>
    <definedName name="IQ_EBITDA_SBC_HIGH_EST" hidden="1">"c4339"</definedName>
    <definedName name="IQ_EBITDA_SBC_HIGH_EST_CIQ" hidden="1">"c4864"</definedName>
    <definedName name="IQ_EBITDA_SBC_HIGH_GUIDANCE" hidden="1">"c4194"</definedName>
    <definedName name="IQ_EBITDA_SBC_HIGH_GUIDANCE_CIQ" hidden="1">"c4606"</definedName>
    <definedName name="IQ_EBITDA_SBC_LOW_EST" hidden="1">"c4340"</definedName>
    <definedName name="IQ_EBITDA_SBC_LOW_EST_CIQ" hidden="1">"c4865"</definedName>
    <definedName name="IQ_EBITDA_SBC_LOW_GUIDANCE" hidden="1">"c4234"</definedName>
    <definedName name="IQ_EBITDA_SBC_LOW_GUIDANCE_CIQ" hidden="1">"c4646"</definedName>
    <definedName name="IQ_EBITDA_SBC_MEDIAN_EST" hidden="1">"c4341"</definedName>
    <definedName name="IQ_EBITDA_SBC_MEDIAN_EST_CIQ" hidden="1">"c4866"</definedName>
    <definedName name="IQ_EBITDA_SBC_NUM_EST" hidden="1">"c4342"</definedName>
    <definedName name="IQ_EBITDA_SBC_NUM_EST_CIQ" hidden="1">"c4867"</definedName>
    <definedName name="IQ_EBITDA_SBC_STDDEV_EST" hidden="1">"c4343"</definedName>
    <definedName name="IQ_EBITDA_SBC_STDDEV_EST_CIQ" hidden="1">"c4868"</definedName>
    <definedName name="IQ_EBITDA_STDDEV_EST" hidden="1">"c375"</definedName>
    <definedName name="IQ_EBITDA_STDDEV_EST_CIQ" hidden="1">"c3627"</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GAAP_GUIDANCE" hidden="1">"c4345"</definedName>
    <definedName name="IQ_EBT_GAAP_GUIDANCE_CIQ" hidden="1">"c4870"</definedName>
    <definedName name="IQ_EBT_GAAP_HIGH_GUIDANCE" hidden="1">"c4174"</definedName>
    <definedName name="IQ_EBT_GAAP_HIGH_GUIDANCE_CIQ" hidden="1">"c4586"</definedName>
    <definedName name="IQ_EBT_GAAP_LOW_GUIDANCE" hidden="1">"c4214"</definedName>
    <definedName name="IQ_EBT_GAAP_LOW_GUIDANCE_CIQ" hidden="1">"c4626"</definedName>
    <definedName name="IQ_EBT_GUIDANCE" hidden="1">"c4346"</definedName>
    <definedName name="IQ_EBT_GUIDANCE_CIQ" hidden="1">"c4871"</definedName>
    <definedName name="IQ_EBT_GW_GUIDANCE" hidden="1">"c4347"</definedName>
    <definedName name="IQ_EBT_GW_GUIDANCE_CIQ" hidden="1">"c4872"</definedName>
    <definedName name="IQ_EBT_GW_HIGH_GUIDANCE" hidden="1">"c4175"</definedName>
    <definedName name="IQ_EBT_GW_HIGH_GUIDANCE_CIQ" hidden="1">"c4587"</definedName>
    <definedName name="IQ_EBT_GW_LOW_GUIDANCE" hidden="1">"c4215"</definedName>
    <definedName name="IQ_EBT_GW_LOW_GUIDANCE_CIQ" hidden="1">"c4627"</definedName>
    <definedName name="IQ_EBT_HIGH_GUIDANCE" hidden="1">"c4173"</definedName>
    <definedName name="IQ_EBT_HIGH_GUIDANCE_CIQ" hidden="1">"c4585"</definedName>
    <definedName name="IQ_EBT_INCL_MARGIN" hidden="1">"c387"</definedName>
    <definedName name="IQ_EBT_INS" hidden="1">"c388"</definedName>
    <definedName name="IQ_EBT_LOW_GUIDANCE" hidden="1">"c4213"</definedName>
    <definedName name="IQ_EBT_LOW_GUIDANCE_CIQ" hidden="1">"c4625"</definedName>
    <definedName name="IQ_EBT_RE" hidden="1">"c6215"</definedName>
    <definedName name="IQ_EBT_REIT" hidden="1">"c389"</definedName>
    <definedName name="IQ_EBT_SBC_ACT_OR_EST" hidden="1">"c4350"</definedName>
    <definedName name="IQ_EBT_SBC_ACT_OR_EST_CIQ" hidden="1">"c4875"</definedName>
    <definedName name="IQ_EBT_SBC_EST" hidden="1">"c4349"</definedName>
    <definedName name="IQ_EBT_SBC_EST_CIQ" hidden="1">"c4874"</definedName>
    <definedName name="IQ_EBT_SBC_GUIDANCE" hidden="1">"c4351"</definedName>
    <definedName name="IQ_EBT_SBC_GUIDANCE_CIQ" hidden="1">"c4876"</definedName>
    <definedName name="IQ_EBT_SBC_GW_ACT_OR_EST" hidden="1">"c4354"</definedName>
    <definedName name="IQ_EBT_SBC_GW_ACT_OR_EST_CIQ" hidden="1">"c4879"</definedName>
    <definedName name="IQ_EBT_SBC_GW_EST" hidden="1">"c4353"</definedName>
    <definedName name="IQ_EBT_SBC_GW_EST_CIQ" hidden="1">"c4878"</definedName>
    <definedName name="IQ_EBT_SBC_GW_GUIDANCE" hidden="1">"c4355"</definedName>
    <definedName name="IQ_EBT_SBC_GW_GUIDANCE_CIQ" hidden="1">"c4880"</definedName>
    <definedName name="IQ_EBT_SBC_GW_HIGH_EST" hidden="1">"c4356"</definedName>
    <definedName name="IQ_EBT_SBC_GW_HIGH_EST_CIQ" hidden="1">"c4881"</definedName>
    <definedName name="IQ_EBT_SBC_GW_HIGH_GUIDANCE" hidden="1">"c4191"</definedName>
    <definedName name="IQ_EBT_SBC_GW_HIGH_GUIDANCE_CIQ" hidden="1">"c4603"</definedName>
    <definedName name="IQ_EBT_SBC_GW_LOW_EST" hidden="1">"c4357"</definedName>
    <definedName name="IQ_EBT_SBC_GW_LOW_EST_CIQ" hidden="1">"c4882"</definedName>
    <definedName name="IQ_EBT_SBC_GW_LOW_GUIDANCE" hidden="1">"c4231"</definedName>
    <definedName name="IQ_EBT_SBC_GW_LOW_GUIDANCE_CIQ" hidden="1">"c4643"</definedName>
    <definedName name="IQ_EBT_SBC_GW_MEDIAN_EST" hidden="1">"c4358"</definedName>
    <definedName name="IQ_EBT_SBC_GW_MEDIAN_EST_CIQ" hidden="1">"c4883"</definedName>
    <definedName name="IQ_EBT_SBC_GW_NUM_EST" hidden="1">"c4359"</definedName>
    <definedName name="IQ_EBT_SBC_GW_NUM_EST_CIQ" hidden="1">"c4884"</definedName>
    <definedName name="IQ_EBT_SBC_GW_STDDEV_EST" hidden="1">"c4360"</definedName>
    <definedName name="IQ_EBT_SBC_GW_STDDEV_EST_CIQ" hidden="1">"c4885"</definedName>
    <definedName name="IQ_EBT_SBC_HIGH_EST" hidden="1">"c4362"</definedName>
    <definedName name="IQ_EBT_SBC_HIGH_EST_CIQ" hidden="1">"c4887"</definedName>
    <definedName name="IQ_EBT_SBC_HIGH_GUIDANCE" hidden="1">"c4190"</definedName>
    <definedName name="IQ_EBT_SBC_HIGH_GUIDANCE_CIQ" hidden="1">"c4602"</definedName>
    <definedName name="IQ_EBT_SBC_LOW_EST" hidden="1">"c4363"</definedName>
    <definedName name="IQ_EBT_SBC_LOW_EST_CIQ" hidden="1">"c4888"</definedName>
    <definedName name="IQ_EBT_SBC_LOW_GUIDANCE" hidden="1">"c4230"</definedName>
    <definedName name="IQ_EBT_SBC_LOW_GUIDANCE_CIQ" hidden="1">"c4642"</definedName>
    <definedName name="IQ_EBT_SBC_MEDIAN_EST" hidden="1">"c4364"</definedName>
    <definedName name="IQ_EBT_SBC_MEDIAN_EST_CIQ" hidden="1">"c4889"</definedName>
    <definedName name="IQ_EBT_SBC_NUM_EST" hidden="1">"c4365"</definedName>
    <definedName name="IQ_EBT_SBC_NUM_EST_CIQ" hidden="1">"c4890"</definedName>
    <definedName name="IQ_EBT_SBC_STDDEV_EST" hidden="1">"c4366"</definedName>
    <definedName name="IQ_EBT_SBC_STDDEV_EST_CIQ" hidden="1">"c4891"</definedName>
    <definedName name="IQ_EBT_UTI" hidden="1">"c390"</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"c1348"</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CIQ" hidden="1">"c5058"</definedName>
    <definedName name="IQ_EPS_EST" hidden="1">"c399"</definedName>
    <definedName name="IQ_EPS_EST_BOTTOM_UP" hidden="1">"c5489"</definedName>
    <definedName name="IQ_EPS_EST_CIQ" hidden="1">"c4994"</definedName>
    <definedName name="IQ_EPS_EST_REUT" hidden="1">"c5453"</definedName>
    <definedName name="IQ_EPS_EXCL_GUIDANCE" hidden="1">"c4368"</definedName>
    <definedName name="IQ_EPS_EXCL_GUIDANCE_CIQ" hidden="1">"c4893"</definedName>
    <definedName name="IQ_EPS_EXCL_HIGH_GUIDANCE" hidden="1">"c4369"</definedName>
    <definedName name="IQ_EPS_EXCL_HIGH_GUIDANCE_CIQ" hidden="1">"c4894"</definedName>
    <definedName name="IQ_EPS_EXCL_LOW_GUIDANCE" hidden="1">"c4204"</definedName>
    <definedName name="IQ_EPS_EXCL_LOW_GUIDANCE_CIQ" hidden="1">"c4616"</definedName>
    <definedName name="IQ_EPS_GAAP_GUIDANCE" hidden="1">"c4370"</definedName>
    <definedName name="IQ_EPS_GAAP_GUIDANCE_CIQ" hidden="1">"c4895"</definedName>
    <definedName name="IQ_EPS_GAAP_HIGH_GUIDANCE" hidden="1">"c4371"</definedName>
    <definedName name="IQ_EPS_GAAP_HIGH_GUIDANCE_CIQ" hidden="1">"c4896"</definedName>
    <definedName name="IQ_EPS_GAAP_LOW_GUIDANCE" hidden="1">"c4205"</definedName>
    <definedName name="IQ_EPS_GAAP_LOW_GUIDANCE_CIQ" hidden="1">"c4617"</definedName>
    <definedName name="IQ_EPS_GW_ACT_OR_EST" hidden="1">"c2223"</definedName>
    <definedName name="IQ_EPS_GW_ACT_OR_EST_CIQ" hidden="1">"c5066"</definedName>
    <definedName name="IQ_EPS_GW_EST" hidden="1">"c1737"</definedName>
    <definedName name="IQ_EPS_GW_EST_BOTTOM_UP" hidden="1">"c5491"</definedName>
    <definedName name="IQ_EPS_GW_EST_CIQ" hidden="1">"c4723"</definedName>
    <definedName name="IQ_EPS_GW_EST_REUT" hidden="1">"c5389"</definedName>
    <definedName name="IQ_EPS_GW_GUIDANCE" hidden="1">"c4372"</definedName>
    <definedName name="IQ_EPS_GW_GUIDANCE_CIQ" hidden="1">"c4897"</definedName>
    <definedName name="IQ_EPS_GW_HIGH_EST" hidden="1">"c1739"</definedName>
    <definedName name="IQ_EPS_GW_HIGH_EST_CIQ" hidden="1">"c4725"</definedName>
    <definedName name="IQ_EPS_GW_HIGH_EST_REUT" hidden="1">"c5391"</definedName>
    <definedName name="IQ_EPS_GW_HIGH_GUIDANCE" hidden="1">"c4373"</definedName>
    <definedName name="IQ_EPS_GW_HIGH_GUIDANCE_CIQ" hidden="1">"c4898"</definedName>
    <definedName name="IQ_EPS_GW_LOW_EST" hidden="1">"c1740"</definedName>
    <definedName name="IQ_EPS_GW_LOW_EST_CIQ" hidden="1">"c4726"</definedName>
    <definedName name="IQ_EPS_GW_LOW_EST_REUT" hidden="1">"c5392"</definedName>
    <definedName name="IQ_EPS_GW_LOW_GUIDANCE" hidden="1">"c4206"</definedName>
    <definedName name="IQ_EPS_GW_LOW_GUIDANCE_CIQ" hidden="1">"c4618"</definedName>
    <definedName name="IQ_EPS_GW_MEDIAN_EST" hidden="1">"c1738"</definedName>
    <definedName name="IQ_EPS_GW_MEDIAN_EST_CIQ" hidden="1">"c4724"</definedName>
    <definedName name="IQ_EPS_GW_MEDIAN_EST_REUT" hidden="1">"c5390"</definedName>
    <definedName name="IQ_EPS_GW_NUM_EST" hidden="1">"c1741"</definedName>
    <definedName name="IQ_EPS_GW_NUM_EST_CIQ" hidden="1">"c4727"</definedName>
    <definedName name="IQ_EPS_GW_NUM_EST_REUT" hidden="1">"c5393"</definedName>
    <definedName name="IQ_EPS_GW_STDDEV_EST" hidden="1">"c1742"</definedName>
    <definedName name="IQ_EPS_GW_STDDEV_EST_CIQ" hidden="1">"c4728"</definedName>
    <definedName name="IQ_EPS_GW_STDDEV_EST_REUT" hidden="1">"c5394"</definedName>
    <definedName name="IQ_EPS_HIGH_EST" hidden="1">"c400"</definedName>
    <definedName name="IQ_EPS_HIGH_EST_CIQ" hidden="1">"c4995"</definedName>
    <definedName name="IQ_EPS_HIGH_EST_REUT" hidden="1">"c5454"</definedName>
    <definedName name="IQ_EPS_LOW_EST" hidden="1">"c401"</definedName>
    <definedName name="IQ_EPS_LOW_EST_CIQ" hidden="1">"c4996"</definedName>
    <definedName name="IQ_EPS_LOW_EST_REUT" hidden="1">"c5455"</definedName>
    <definedName name="IQ_EPS_MEDIAN_EST" hidden="1">"c1661"</definedName>
    <definedName name="IQ_EPS_MEDIAN_EST_CIQ" hidden="1">"c4997"</definedName>
    <definedName name="IQ_EPS_MEDIAN_EST_REUT" hidden="1">"c5456"</definedName>
    <definedName name="IQ_EPS_NORM" hidden="1">"c1902"</definedName>
    <definedName name="IQ_EPS_NORM_EST" hidden="1">"c2226"</definedName>
    <definedName name="IQ_EPS_NORM_EST_BOTTOM_UP" hidden="1">"c5490"</definedName>
    <definedName name="IQ_EPS_NORM_EST_CIQ" hidden="1">"c4667"</definedName>
    <definedName name="IQ_EPS_NORM_EST_REUT" hidden="1">"c5326"</definedName>
    <definedName name="IQ_EPS_NORM_HIGH_EST" hidden="1">"c2228"</definedName>
    <definedName name="IQ_EPS_NORM_HIGH_EST_CIQ" hidden="1">"c4669"</definedName>
    <definedName name="IQ_EPS_NORM_HIGH_EST_REUT" hidden="1">"c5328"</definedName>
    <definedName name="IQ_EPS_NORM_LOW_EST" hidden="1">"c2229"</definedName>
    <definedName name="IQ_EPS_NORM_LOW_EST_CIQ" hidden="1">"c4670"</definedName>
    <definedName name="IQ_EPS_NORM_LOW_EST_REUT" hidden="1">"c5329"</definedName>
    <definedName name="IQ_EPS_NORM_MEDIAN_EST" hidden="1">"c2227"</definedName>
    <definedName name="IQ_EPS_NORM_MEDIAN_EST_CIQ" hidden="1">"c4668"</definedName>
    <definedName name="IQ_EPS_NORM_MEDIAN_EST_REUT" hidden="1">"c5327"</definedName>
    <definedName name="IQ_EPS_NORM_NUM_EST" hidden="1">"c2230"</definedName>
    <definedName name="IQ_EPS_NORM_NUM_EST_CIQ" hidden="1">"c4671"</definedName>
    <definedName name="IQ_EPS_NORM_NUM_EST_REUT" hidden="1">"c5330"</definedName>
    <definedName name="IQ_EPS_NORM_STDDEV_EST" hidden="1">"c2231"</definedName>
    <definedName name="IQ_EPS_NORM_STDDEV_EST_CIQ" hidden="1">"c4672"</definedName>
    <definedName name="IQ_EPS_NORM_STDDEV_EST_REUT" hidden="1">"c5331"</definedName>
    <definedName name="IQ_EPS_NUM_EST" hidden="1">"c402"</definedName>
    <definedName name="IQ_EPS_NUM_EST_CIQ" hidden="1">"c4992"</definedName>
    <definedName name="IQ_EPS_NUM_EST_REUT" hidden="1">"c5451"</definedName>
    <definedName name="IQ_EPS_REPORT_ACT_OR_EST" hidden="1">"c2224"</definedName>
    <definedName name="IQ_EPS_REPORT_ACT_OR_EST_CIQ" hidden="1">"c5067"</definedName>
    <definedName name="IQ_EPS_REPORTED_EST" hidden="1">"c1744"</definedName>
    <definedName name="IQ_EPS_REPORTED_EST_BOTTOM_UP" hidden="1">"c5492"</definedName>
    <definedName name="IQ_EPS_REPORTED_EST_CIQ" hidden="1">"c4730"</definedName>
    <definedName name="IQ_EPS_REPORTED_EST_REUT" hidden="1">"c5396"</definedName>
    <definedName name="IQ_EPS_REPORTED_HIGH_EST" hidden="1">"c1746"</definedName>
    <definedName name="IQ_EPS_REPORTED_HIGH_EST_CIQ" hidden="1">"c4732"</definedName>
    <definedName name="IQ_EPS_REPORTED_HIGH_EST_REUT" hidden="1">"c5398"</definedName>
    <definedName name="IQ_EPS_REPORTED_LOW_EST" hidden="1">"c1747"</definedName>
    <definedName name="IQ_EPS_REPORTED_LOW_EST_CIQ" hidden="1">"c4733"</definedName>
    <definedName name="IQ_EPS_REPORTED_LOW_EST_REUT" hidden="1">"c5399"</definedName>
    <definedName name="IQ_EPS_REPORTED_MEDIAN_EST" hidden="1">"c1745"</definedName>
    <definedName name="IQ_EPS_REPORTED_MEDIAN_EST_CIQ" hidden="1">"c4731"</definedName>
    <definedName name="IQ_EPS_REPORTED_MEDIAN_EST_REUT" hidden="1">"c5397"</definedName>
    <definedName name="IQ_EPS_REPORTED_NUM_EST" hidden="1">"c1748"</definedName>
    <definedName name="IQ_EPS_REPORTED_NUM_EST_CIQ" hidden="1">"c4734"</definedName>
    <definedName name="IQ_EPS_REPORTED_NUM_EST_REUT" hidden="1">"c5400"</definedName>
    <definedName name="IQ_EPS_REPORTED_STDDEV_EST" hidden="1">"c1749"</definedName>
    <definedName name="IQ_EPS_REPORTED_STDDEV_EST_CIQ" hidden="1">"c4735"</definedName>
    <definedName name="IQ_EPS_REPORTED_STDDEV_EST_REUT" hidden="1">"c5401"</definedName>
    <definedName name="IQ_EPS_SBC_ACT_OR_EST" hidden="1">"c4376"</definedName>
    <definedName name="IQ_EPS_SBC_ACT_OR_EST_CIQ" hidden="1">"c4901"</definedName>
    <definedName name="IQ_EPS_SBC_EST" hidden="1">"c4375"</definedName>
    <definedName name="IQ_EPS_SBC_EST_CIQ" hidden="1">"c4900"</definedName>
    <definedName name="IQ_EPS_SBC_GUIDANCE" hidden="1">"c4377"</definedName>
    <definedName name="IQ_EPS_SBC_GUIDANCE_CIQ" hidden="1">"c4902"</definedName>
    <definedName name="IQ_EPS_SBC_GW_ACT_OR_EST" hidden="1">"c4380"</definedName>
    <definedName name="IQ_EPS_SBC_GW_ACT_OR_EST_CIQ" hidden="1">"c4905"</definedName>
    <definedName name="IQ_EPS_SBC_GW_EST" hidden="1">"c4379"</definedName>
    <definedName name="IQ_EPS_SBC_GW_EST_CIQ" hidden="1">"c4904"</definedName>
    <definedName name="IQ_EPS_SBC_GW_GUIDANCE" hidden="1">"c4381"</definedName>
    <definedName name="IQ_EPS_SBC_GW_GUIDANCE_CIQ" hidden="1">"c4906"</definedName>
    <definedName name="IQ_EPS_SBC_GW_HIGH_EST" hidden="1">"c4382"</definedName>
    <definedName name="IQ_EPS_SBC_GW_HIGH_EST_CIQ" hidden="1">"c4907"</definedName>
    <definedName name="IQ_EPS_SBC_GW_HIGH_GUIDANCE" hidden="1">"c4189"</definedName>
    <definedName name="IQ_EPS_SBC_GW_HIGH_GUIDANCE_CIQ" hidden="1">"c4601"</definedName>
    <definedName name="IQ_EPS_SBC_GW_LOW_EST" hidden="1">"c4383"</definedName>
    <definedName name="IQ_EPS_SBC_GW_LOW_EST_CIQ" hidden="1">"c4908"</definedName>
    <definedName name="IQ_EPS_SBC_GW_LOW_GUIDANCE" hidden="1">"c4229"</definedName>
    <definedName name="IQ_EPS_SBC_GW_LOW_GUIDANCE_CIQ" hidden="1">"c4641"</definedName>
    <definedName name="IQ_EPS_SBC_GW_MEDIAN_EST" hidden="1">"c4384"</definedName>
    <definedName name="IQ_EPS_SBC_GW_MEDIAN_EST_CIQ" hidden="1">"c4909"</definedName>
    <definedName name="IQ_EPS_SBC_GW_NUM_EST" hidden="1">"c4385"</definedName>
    <definedName name="IQ_EPS_SBC_GW_NUM_EST_CIQ" hidden="1">"c4910"</definedName>
    <definedName name="IQ_EPS_SBC_GW_STDDEV_EST" hidden="1">"c4386"</definedName>
    <definedName name="IQ_EPS_SBC_GW_STDDEV_EST_CIQ" hidden="1">"c4911"</definedName>
    <definedName name="IQ_EPS_SBC_HIGH_EST" hidden="1">"c4388"</definedName>
    <definedName name="IQ_EPS_SBC_HIGH_EST_CIQ" hidden="1">"c4913"</definedName>
    <definedName name="IQ_EPS_SBC_HIGH_GUIDANCE" hidden="1">"c4188"</definedName>
    <definedName name="IQ_EPS_SBC_HIGH_GUIDANCE_CIQ" hidden="1">"c4600"</definedName>
    <definedName name="IQ_EPS_SBC_LOW_EST" hidden="1">"c4389"</definedName>
    <definedName name="IQ_EPS_SBC_LOW_EST_CIQ" hidden="1">"c4914"</definedName>
    <definedName name="IQ_EPS_SBC_LOW_GUIDANCE" hidden="1">"c4228"</definedName>
    <definedName name="IQ_EPS_SBC_LOW_GUIDANCE_CIQ" hidden="1">"c4640"</definedName>
    <definedName name="IQ_EPS_SBC_MEDIAN_EST" hidden="1">"c4390"</definedName>
    <definedName name="IQ_EPS_SBC_MEDIAN_EST_CIQ" hidden="1">"c4915"</definedName>
    <definedName name="IQ_EPS_SBC_NUM_EST" hidden="1">"c4391"</definedName>
    <definedName name="IQ_EPS_SBC_NUM_EST_CIQ" hidden="1">"c4916"</definedName>
    <definedName name="IQ_EPS_SBC_STDDEV_EST" hidden="1">"c4392"</definedName>
    <definedName name="IQ_EPS_SBC_STDDEV_EST_CIQ" hidden="1">"c4917"</definedName>
    <definedName name="IQ_EPS_STDDEV_EST" hidden="1">"c403"</definedName>
    <definedName name="IQ_EPS_STDDEV_EST_CIQ" hidden="1">"c4993"</definedName>
    <definedName name="IQ_EPS_STDDEV_EST_REUT" hidden="1">"c5452"</definedName>
    <definedName name="IQ_EQUITY_AFFIL" hidden="1">"c1451"</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"c1390"</definedName>
    <definedName name="IQ_ESOP_DEBT" hidden="1">"c1597"</definedName>
    <definedName name="IQ_EST_ACT_BV" hidden="1">"c5630"</definedName>
    <definedName name="IQ_EST_ACT_BV_CIQ" hidden="1">"c4743"</definedName>
    <definedName name="IQ_EST_ACT_BV_SHARE" hidden="1">"c3549"</definedName>
    <definedName name="IQ_EST_ACT_BV_SHARE_CIQ" hidden="1">"c3806"</definedName>
    <definedName name="IQ_EST_ACT_CAPEX" hidden="1">"c3546"</definedName>
    <definedName name="IQ_EST_ACT_CAPEX_CIQ" hidden="1">"c3813"</definedName>
    <definedName name="IQ_EST_ACT_CASH_EPS" hidden="1">"c5637"</definedName>
    <definedName name="IQ_EST_ACT_CASH_FLOW" hidden="1">"c4394"</definedName>
    <definedName name="IQ_EST_ACT_CASH_FLOW_CIQ" hidden="1">"c4919"</definedName>
    <definedName name="IQ_EST_ACT_CASH_OPER" hidden="1">"c4395"</definedName>
    <definedName name="IQ_EST_ACT_CASH_OPER_CIQ" hidden="1">"c4920"</definedName>
    <definedName name="IQ_EST_ACT_CFPS" hidden="1">"c1673"</definedName>
    <definedName name="IQ_EST_ACT_CFPS_CIQ" hidden="1">"c3681"</definedName>
    <definedName name="IQ_EST_ACT_DISTRIBUTABLE_CASH" hidden="1">"c4396"</definedName>
    <definedName name="IQ_EST_ACT_DISTRIBUTABLE_CASH_CIQ" hidden="1">"c4921"</definedName>
    <definedName name="IQ_EST_ACT_DISTRIBUTABLE_CASH_SHARE" hidden="1">"c4397"</definedName>
    <definedName name="IQ_EST_ACT_DISTRIBUTABLE_CASH_SHARE_CIQ" hidden="1">"c4922"</definedName>
    <definedName name="IQ_EST_ACT_DPS" hidden="1">"c1680"</definedName>
    <definedName name="IQ_EST_ACT_DPS_CIQ" hidden="1">"c3688"</definedName>
    <definedName name="IQ_EST_ACT_EBIT" hidden="1">"c1687"</definedName>
    <definedName name="IQ_EST_ACT_EBIT_CIQ" hidden="1">"c4680"</definedName>
    <definedName name="IQ_EST_ACT_EBIT_GW" hidden="1">"c4398"</definedName>
    <definedName name="IQ_EST_ACT_EBIT_GW_CIQ" hidden="1">"c4923"</definedName>
    <definedName name="IQ_EST_ACT_EBIT_SBC" hidden="1">"c4399"</definedName>
    <definedName name="IQ_EST_ACT_EBIT_SBC_CIQ" hidden="1">"c4924"</definedName>
    <definedName name="IQ_EST_ACT_EBIT_SBC_GW" hidden="1">"c4400"</definedName>
    <definedName name="IQ_EST_ACT_EBIT_SBC_GW_CIQ" hidden="1">"c4925"</definedName>
    <definedName name="IQ_EST_ACT_EBITDA" hidden="1">"c1664"</definedName>
    <definedName name="IQ_EST_ACT_EBITDA_CIQ" hidden="1">"c3667"</definedName>
    <definedName name="IQ_EST_ACT_EBITDA_SBC" hidden="1">"c4401"</definedName>
    <definedName name="IQ_EST_ACT_EBITDA_SBC_CIQ" hidden="1">"c4926"</definedName>
    <definedName name="IQ_EST_ACT_EBT_SBC" hidden="1">"c4402"</definedName>
    <definedName name="IQ_EST_ACT_EBT_SBC_CIQ" hidden="1">"c4927"</definedName>
    <definedName name="IQ_EST_ACT_EBT_SBC_GW" hidden="1">"c4403"</definedName>
    <definedName name="IQ_EST_ACT_EBT_SBC_GW_CIQ" hidden="1">"c4928"</definedName>
    <definedName name="IQ_EST_ACT_EPS" hidden="1">"c1648"</definedName>
    <definedName name="IQ_EST_ACT_EPS_CIQ" hidden="1">"c4998"</definedName>
    <definedName name="IQ_EST_ACT_EPS_GW" hidden="1">"c1743"</definedName>
    <definedName name="IQ_EST_ACT_EPS_GW_CIQ" hidden="1">"c4729"</definedName>
    <definedName name="IQ_EST_ACT_EPS_GW_REUT" hidden="1">"c5395"</definedName>
    <definedName name="IQ_EST_ACT_EPS_NORM" hidden="1">"c2232"</definedName>
    <definedName name="IQ_EST_ACT_EPS_NORM_CIQ" hidden="1">"c4673"</definedName>
    <definedName name="IQ_EST_ACT_EPS_NORM_REUT" hidden="1">"c5332"</definedName>
    <definedName name="IQ_EST_ACT_EPS_REPORTED" hidden="1">"c1750"</definedName>
    <definedName name="IQ_EST_ACT_EPS_REPORTED_CIQ" hidden="1">"c4736"</definedName>
    <definedName name="IQ_EST_ACT_EPS_REPORTED_REUT" hidden="1">"c5402"</definedName>
    <definedName name="IQ_EST_ACT_EPS_SBC" hidden="1">"c4404"</definedName>
    <definedName name="IQ_EST_ACT_EPS_SBC_CIQ" hidden="1">"c4929"</definedName>
    <definedName name="IQ_EST_ACT_EPS_SBC_GW" hidden="1">"c4405"</definedName>
    <definedName name="IQ_EST_ACT_EPS_SBC_GW_CIQ" hidden="1">"c4930"</definedName>
    <definedName name="IQ_EST_ACT_FFO" hidden="1">"c1666"</definedName>
    <definedName name="IQ_EST_ACT_FFO_ADJ" hidden="1">"c4406"</definedName>
    <definedName name="IQ_EST_ACT_FFO_ADJ_CIQ" hidden="1">"c4931"</definedName>
    <definedName name="IQ_EST_ACT_FFO_CIQ" hidden="1">"c3674"</definedName>
    <definedName name="IQ_EST_ACT_FFO_SHARE" hidden="1">"c4407"</definedName>
    <definedName name="IQ_EST_ACT_FFO_SHARE_CIQ" hidden="1">"c4932"</definedName>
    <definedName name="IQ_EST_ACT_GROSS_MARGIN" hidden="1">"c5553"</definedName>
    <definedName name="IQ_EST_ACT_MAINT_CAPEX" hidden="1">"c4408"</definedName>
    <definedName name="IQ_EST_ACT_MAINT_CAPEX_CIQ" hidden="1">"c4933"</definedName>
    <definedName name="IQ_EST_ACT_NAV" hidden="1">"c1757"</definedName>
    <definedName name="IQ_EST_ACT_NAV_SHARE" hidden="1">"c5608"</definedName>
    <definedName name="IQ_EST_ACT_NET_DEBT" hidden="1">"c3545"</definedName>
    <definedName name="IQ_EST_ACT_NET_DEBT_CIQ" hidden="1">"c3820"</definedName>
    <definedName name="IQ_EST_ACT_NI" hidden="1">"c1722"</definedName>
    <definedName name="IQ_EST_ACT_NI_CIQ" hidden="1">"c4708"</definedName>
    <definedName name="IQ_EST_ACT_NI_GW_CIQ" hidden="1">"c4715"</definedName>
    <definedName name="IQ_EST_ACT_NI_REPORTED" hidden="1">"c1736"</definedName>
    <definedName name="IQ_EST_ACT_NI_REPORTED_CIQ" hidden="1">"c4722"</definedName>
    <definedName name="IQ_EST_ACT_NI_SBC" hidden="1">"c4409"</definedName>
    <definedName name="IQ_EST_ACT_NI_SBC_CIQ" hidden="1">"c4934"</definedName>
    <definedName name="IQ_EST_ACT_NI_SBC_GW" hidden="1">"c4410"</definedName>
    <definedName name="IQ_EST_ACT_NI_SBC_GW_CIQ" hidden="1">"c4935"</definedName>
    <definedName name="IQ_EST_ACT_OPER_INC" hidden="1">"c1694"</definedName>
    <definedName name="IQ_EST_ACT_PRETAX_GW_INC" hidden="1">"c1708"</definedName>
    <definedName name="IQ_EST_ACT_PRETAX_GW_INC_CIQ" hidden="1">"c4694"</definedName>
    <definedName name="IQ_EST_ACT_PRETAX_INC" hidden="1">"c1701"</definedName>
    <definedName name="IQ_EST_ACT_PRETAX_INC_CIQ" hidden="1">"c4687"</definedName>
    <definedName name="IQ_EST_ACT_PRETAX_REPORT_INC" hidden="1">"c1715"</definedName>
    <definedName name="IQ_EST_ACT_PRETAX_REPORT_INC_CIQ" hidden="1">"c4701"</definedName>
    <definedName name="IQ_EST_ACT_RECURRING_PROFIT" hidden="1">"c4411"</definedName>
    <definedName name="IQ_EST_ACT_RECURRING_PROFIT_CIQ" hidden="1">"c4936"</definedName>
    <definedName name="IQ_EST_ACT_RECURRING_PROFIT_SHARE" hidden="1">"c4412"</definedName>
    <definedName name="IQ_EST_ACT_RECURRING_PROFIT_SHARE_CIQ" hidden="1">"c4937"</definedName>
    <definedName name="IQ_EST_ACT_RETURN_ASSETS" hidden="1">"c3547"</definedName>
    <definedName name="IQ_EST_ACT_RETURN_EQUITY" hidden="1">"c3548"</definedName>
    <definedName name="IQ_EST_ACT_REV" hidden="1">"c2113"</definedName>
    <definedName name="IQ_EST_ACT_REV_CIQ" hidden="1">"c3666"</definedName>
    <definedName name="IQ_EST_BV_SHARE_DIFF" hidden="1">"c4147"</definedName>
    <definedName name="IQ_EST_BV_SHARE_DIFF_CIQ" hidden="1">"c4559"</definedName>
    <definedName name="IQ_EST_BV_SHARE_SURPRISE_PERCENT" hidden="1">"c4148"</definedName>
    <definedName name="IQ_EST_BV_SHARE_SURPRISE_PERCENT_CIQ" hidden="1">"c4560"</definedName>
    <definedName name="IQ_EST_CAPEX_DIFF" hidden="1">"c4149"</definedName>
    <definedName name="IQ_EST_CAPEX_DIFF_CIQ" hidden="1">"c4561"</definedName>
    <definedName name="IQ_EST_CAPEX_GROWTH_1YR" hidden="1">"c3588"</definedName>
    <definedName name="IQ_EST_CAPEX_GROWTH_1YR_CIQ" hidden="1">"c4972"</definedName>
    <definedName name="IQ_EST_CAPEX_GROWTH_2YR" hidden="1">"c3589"</definedName>
    <definedName name="IQ_EST_CAPEX_GROWTH_2YR_CIQ" hidden="1">"c4973"</definedName>
    <definedName name="IQ_EST_CAPEX_GROWTH_Q_1YR" hidden="1">"c3590"</definedName>
    <definedName name="IQ_EST_CAPEX_GROWTH_Q_1YR_CIQ" hidden="1">"c4974"</definedName>
    <definedName name="IQ_EST_CAPEX_SEQ_GROWTH_Q" hidden="1">"c3591"</definedName>
    <definedName name="IQ_EST_CAPEX_SEQ_GROWTH_Q_CIQ" hidden="1">"c4975"</definedName>
    <definedName name="IQ_EST_CAPEX_SURPRISE_PERCENT" hidden="1">"c4151"</definedName>
    <definedName name="IQ_EST_CAPEX_SURPRISE_PERCENT_CIQ" hidden="1">"c4563"</definedName>
    <definedName name="IQ_EST_CASH_FLOW_DIFF" hidden="1">"c4152"</definedName>
    <definedName name="IQ_EST_CASH_FLOW_DIFF_CIQ" hidden="1">"c4564"</definedName>
    <definedName name="IQ_EST_CASH_FLOW_SURPRISE_PERCENT" hidden="1">"c4161"</definedName>
    <definedName name="IQ_EST_CASH_FLOW_SURPRISE_PERCENT_CIQ" hidden="1">"c4573"</definedName>
    <definedName name="IQ_EST_CASH_OPER_DIFF" hidden="1">"c4162"</definedName>
    <definedName name="IQ_EST_CASH_OPER_DIFF_CIQ" hidden="1">"c4574"</definedName>
    <definedName name="IQ_EST_CASH_OPER_SURPRISE_PERCENT" hidden="1">"c4248"</definedName>
    <definedName name="IQ_EST_CASH_OPER_SURPRISE_PERCENT_CIQ" hidden="1">"c4774"</definedName>
    <definedName name="IQ_EST_CFPS_DIFF" hidden="1">"c1871"</definedName>
    <definedName name="IQ_EST_CFPS_DIFF_CIQ" hidden="1">"c3723"</definedName>
    <definedName name="IQ_EST_CFPS_GROWTH_1YR" hidden="1">"c1774"</definedName>
    <definedName name="IQ_EST_CFPS_GROWTH_1YR_CIQ" hidden="1">"c3709"</definedName>
    <definedName name="IQ_EST_CFPS_GROWTH_2YR" hidden="1">"c1775"</definedName>
    <definedName name="IQ_EST_CFPS_GROWTH_2YR_CIQ" hidden="1">"c3710"</definedName>
    <definedName name="IQ_EST_CFPS_GROWTH_Q_1YR" hidden="1">"c1776"</definedName>
    <definedName name="IQ_EST_CFPS_GROWTH_Q_1YR_CIQ" hidden="1">"c3711"</definedName>
    <definedName name="IQ_EST_CFPS_SEQ_GROWTH_Q" hidden="1">"c1777"</definedName>
    <definedName name="IQ_EST_CFPS_SEQ_GROWTH_Q_CIQ" hidden="1">"c3712"</definedName>
    <definedName name="IQ_EST_CFPS_SURPRISE_PERCENT" hidden="1">"c1872"</definedName>
    <definedName name="IQ_EST_CFPS_SURPRISE_PERCENT_CIQ" hidden="1">"c3724"</definedName>
    <definedName name="IQ_EST_CURRENCY" hidden="1">"c2140"</definedName>
    <definedName name="IQ_EST_CURRENCY_CIQ" hidden="1">"c4769"</definedName>
    <definedName name="IQ_EST_CURRENCY_REUT" hidden="1">"c5437"</definedName>
    <definedName name="IQ_EST_DATE" hidden="1">"c1634"</definedName>
    <definedName name="IQ_EST_DATE_CIQ" hidden="1">"c4770"</definedName>
    <definedName name="IQ_EST_DATE_REUT" hidden="1">"c5438"</definedName>
    <definedName name="IQ_EST_DISTRIBUTABLE_CASH_DIFF" hidden="1">"c4276"</definedName>
    <definedName name="IQ_EST_DISTRIBUTABLE_CASH_DIFF_CIQ" hidden="1">"c4801"</definedName>
    <definedName name="IQ_EST_DISTRIBUTABLE_CASH_GROWTH_1YR" hidden="1">"c4413"</definedName>
    <definedName name="IQ_EST_DISTRIBUTABLE_CASH_GROWTH_1YR_CIQ" hidden="1">"c4938"</definedName>
    <definedName name="IQ_EST_DISTRIBUTABLE_CASH_GROWTH_2YR" hidden="1">"c4414"</definedName>
    <definedName name="IQ_EST_DISTRIBUTABLE_CASH_GROWTH_2YR_CIQ" hidden="1">"c4939"</definedName>
    <definedName name="IQ_EST_DISTRIBUTABLE_CASH_GROWTH_Q_1YR" hidden="1">"c4415"</definedName>
    <definedName name="IQ_EST_DISTRIBUTABLE_CASH_GROWTH_Q_1YR_CIQ" hidden="1">"c4940"</definedName>
    <definedName name="IQ_EST_DISTRIBUTABLE_CASH_SEQ_GROWTH_Q" hidden="1">"c4416"</definedName>
    <definedName name="IQ_EST_DISTRIBUTABLE_CASH_SEQ_GROWTH_Q_CIQ" hidden="1">"c4941"</definedName>
    <definedName name="IQ_EST_DISTRIBUTABLE_CASH_SHARE_DIFF" hidden="1">"c4284"</definedName>
    <definedName name="IQ_EST_DISTRIBUTABLE_CASH_SHARE_DIFF_CIQ" hidden="1">"c4809"</definedName>
    <definedName name="IQ_EST_DISTRIBUTABLE_CASH_SHARE_GROWTH_1YR" hidden="1">"c4417"</definedName>
    <definedName name="IQ_EST_DISTRIBUTABLE_CASH_SHARE_GROWTH_1YR_CIQ" hidden="1">"c4942"</definedName>
    <definedName name="IQ_EST_DISTRIBUTABLE_CASH_SHARE_GROWTH_2YR" hidden="1">"c4418"</definedName>
    <definedName name="IQ_EST_DISTRIBUTABLE_CASH_SHARE_GROWTH_2YR_CIQ" hidden="1">"c4943"</definedName>
    <definedName name="IQ_EST_DISTRIBUTABLE_CASH_SHARE_GROWTH_Q_1YR" hidden="1">"c4419"</definedName>
    <definedName name="IQ_EST_DISTRIBUTABLE_CASH_SHARE_GROWTH_Q_1YR_CIQ" hidden="1">"c4944"</definedName>
    <definedName name="IQ_EST_DISTRIBUTABLE_CASH_SHARE_SEQ_GROWTH_Q" hidden="1">"c4420"</definedName>
    <definedName name="IQ_EST_DISTRIBUTABLE_CASH_SHARE_SEQ_GROWTH_Q_CIQ" hidden="1">"c4945"</definedName>
    <definedName name="IQ_EST_DISTRIBUTABLE_CASH_SHARE_SURPRISE_PERCENT" hidden="1">"c4293"</definedName>
    <definedName name="IQ_EST_DISTRIBUTABLE_CASH_SHARE_SURPRISE_PERCENT_CIQ" hidden="1">"c4818"</definedName>
    <definedName name="IQ_EST_DISTRIBUTABLE_CASH_SURPRISE_PERCENT" hidden="1">"c4295"</definedName>
    <definedName name="IQ_EST_DISTRIBUTABLE_CASH_SURPRISE_PERCENT_CIQ" hidden="1">"c4820"</definedName>
    <definedName name="IQ_EST_DPS_DIFF" hidden="1">"c1873"</definedName>
    <definedName name="IQ_EST_DPS_DIFF_CIQ" hidden="1">"c3725"</definedName>
    <definedName name="IQ_EST_DPS_GROWTH_1YR" hidden="1">"c1778"</definedName>
    <definedName name="IQ_EST_DPS_GROWTH_1YR_CIQ" hidden="1">"c3713"</definedName>
    <definedName name="IQ_EST_DPS_GROWTH_2YR" hidden="1">"c1779"</definedName>
    <definedName name="IQ_EST_DPS_GROWTH_2YR_CIQ" hidden="1">"c3714"</definedName>
    <definedName name="IQ_EST_DPS_GROWTH_Q_1YR" hidden="1">"c1780"</definedName>
    <definedName name="IQ_EST_DPS_GROWTH_Q_1YR_CIQ" hidden="1">"c3715"</definedName>
    <definedName name="IQ_EST_DPS_SEQ_GROWTH_Q" hidden="1">"c1781"</definedName>
    <definedName name="IQ_EST_DPS_SEQ_GROWTH_Q_CIQ" hidden="1">"c3716"</definedName>
    <definedName name="IQ_EST_DPS_SURPRISE_PERCENT" hidden="1">"c1874"</definedName>
    <definedName name="IQ_EST_DPS_SURPRISE_PERCENT_CIQ" hidden="1">"c3726"</definedName>
    <definedName name="IQ_EST_EBIT_DIFF" hidden="1">"c1875"</definedName>
    <definedName name="IQ_EST_EBIT_DIFF_CIQ" hidden="1">"c4747"</definedName>
    <definedName name="IQ_EST_EBIT_GW_DIFF" hidden="1">"c4304"</definedName>
    <definedName name="IQ_EST_EBIT_GW_DIFF_CIQ" hidden="1">"c4829"</definedName>
    <definedName name="IQ_EST_EBIT_GW_SURPRISE_PERCENT" hidden="1">"c4313"</definedName>
    <definedName name="IQ_EST_EBIT_GW_SURPRISE_PERCENT_CIQ" hidden="1">"c4838"</definedName>
    <definedName name="IQ_EST_EBIT_SBC_DIFF" hidden="1">"c4314"</definedName>
    <definedName name="IQ_EST_EBIT_SBC_DIFF_CIQ" hidden="1">"c4839"</definedName>
    <definedName name="IQ_EST_EBIT_SBC_GW_DIFF" hidden="1">"c4318"</definedName>
    <definedName name="IQ_EST_EBIT_SBC_GW_DIFF_CIQ" hidden="1">"c4843"</definedName>
    <definedName name="IQ_EST_EBIT_SBC_GW_SURPRISE_PERCENT" hidden="1">"c4327"</definedName>
    <definedName name="IQ_EST_EBIT_SBC_GW_SURPRISE_PERCENT_CIQ" hidden="1">"c4852"</definedName>
    <definedName name="IQ_EST_EBIT_SBC_SURPRISE_PERCENT" hidden="1">"c4333"</definedName>
    <definedName name="IQ_EST_EBIT_SBC_SURPRISE_PERCENT_CIQ" hidden="1">"c4858"</definedName>
    <definedName name="IQ_EST_EBIT_SURPRISE_PERCENT" hidden="1">"c1876"</definedName>
    <definedName name="IQ_EST_EBIT_SURPRISE_PERCENT_CIQ" hidden="1">"c4748"</definedName>
    <definedName name="IQ_EST_EBITDA_DIFF" hidden="1">"c1867"</definedName>
    <definedName name="IQ_EST_EBITDA_DIFF_CIQ" hidden="1">"c3719"</definedName>
    <definedName name="IQ_EST_EBITDA_GROWTH_1YR" hidden="1">"c1766"</definedName>
    <definedName name="IQ_EST_EBITDA_GROWTH_1YR_CIQ" hidden="1">"c3695"</definedName>
    <definedName name="IQ_EST_EBITDA_GROWTH_2YR" hidden="1">"c1767"</definedName>
    <definedName name="IQ_EST_EBITDA_GROWTH_2YR_CIQ" hidden="1">"c3696"</definedName>
    <definedName name="IQ_EST_EBITDA_GROWTH_Q_1YR" hidden="1">"c1768"</definedName>
    <definedName name="IQ_EST_EBITDA_GROWTH_Q_1YR_CIQ" hidden="1">"c3697"</definedName>
    <definedName name="IQ_EST_EBITDA_SBC_DIFF" hidden="1">"c4335"</definedName>
    <definedName name="IQ_EST_EBITDA_SBC_DIFF_CIQ" hidden="1">"c4860"</definedName>
    <definedName name="IQ_EST_EBITDA_SBC_SURPRISE_PERCENT" hidden="1">"c4344"</definedName>
    <definedName name="IQ_EST_EBITDA_SBC_SURPRISE_PERCENT_CIQ" hidden="1">"c4869"</definedName>
    <definedName name="IQ_EST_EBITDA_SEQ_GROWTH_Q" hidden="1">"c1769"</definedName>
    <definedName name="IQ_EST_EBITDA_SEQ_GROWTH_Q_CIQ" hidden="1">"c3698"</definedName>
    <definedName name="IQ_EST_EBITDA_SURPRISE_PERCENT" hidden="1">"c1868"</definedName>
    <definedName name="IQ_EST_EBITDA_SURPRISE_PERCENT_CIQ" hidden="1">"c3720"</definedName>
    <definedName name="IQ_EST_EBT_SBC_DIFF" hidden="1">"c4348"</definedName>
    <definedName name="IQ_EST_EBT_SBC_DIFF_CIQ" hidden="1">"c4873"</definedName>
    <definedName name="IQ_EST_EBT_SBC_GW_DIFF" hidden="1">"c4352"</definedName>
    <definedName name="IQ_EST_EBT_SBC_GW_DIFF_CIQ" hidden="1">"c4877"</definedName>
    <definedName name="IQ_EST_EBT_SBC_GW_SURPRISE_PERCENT" hidden="1">"c4361"</definedName>
    <definedName name="IQ_EST_EBT_SBC_GW_SURPRISE_PERCENT_CIQ" hidden="1">"c4886"</definedName>
    <definedName name="IQ_EST_EBT_SBC_SURPRISE_PERCENT" hidden="1">"c4367"</definedName>
    <definedName name="IQ_EST_EBT_SBC_SURPRISE_PERCENT_CIQ" hidden="1">"c4892"</definedName>
    <definedName name="IQ_EST_EPS_DIFF" hidden="1">"c1864"</definedName>
    <definedName name="IQ_EST_EPS_DIFF_CIQ" hidden="1">"c4999"</definedName>
    <definedName name="IQ_EST_EPS_GROWTH_1YR" hidden="1">"c1636"</definedName>
    <definedName name="IQ_EST_EPS_GROWTH_1YR_CIQ" hidden="1">"c3628"</definedName>
    <definedName name="IQ_EST_EPS_GROWTH_1YR_REUT" hidden="1">"c3646"</definedName>
    <definedName name="IQ_EST_EPS_GROWTH_2YR" hidden="1">"c1637"</definedName>
    <definedName name="IQ_EST_EPS_GROWTH_2YR_CIQ" hidden="1">"c3689"</definedName>
    <definedName name="IQ_EST_EPS_GROWTH_5YR" hidden="1">"c1655"</definedName>
    <definedName name="IQ_EST_EPS_GROWTH_5YR_BOTTOM_UP" hidden="1">"c5487"</definedName>
    <definedName name="IQ_EST_EPS_GROWTH_5YR_CIQ" hidden="1">"c3615"</definedName>
    <definedName name="IQ_EST_EPS_GROWTH_5YR_HIGH_CIQ" hidden="1">"c4663"</definedName>
    <definedName name="IQ_EST_EPS_GROWTH_5YR_LOW_CIQ" hidden="1">"c4664"</definedName>
    <definedName name="IQ_EST_EPS_GROWTH_5YR_MEDIAN_CIQ" hidden="1">"c5480"</definedName>
    <definedName name="IQ_EST_EPS_GROWTH_5YR_NUM_CIQ" hidden="1">"c4665"</definedName>
    <definedName name="IQ_EST_EPS_GROWTH_5YR_REUT" hidden="1">"c3633"</definedName>
    <definedName name="IQ_EST_EPS_GROWTH_5YR_STDDEV_CIQ" hidden="1">"c4666"</definedName>
    <definedName name="IQ_EST_EPS_GROWTH_Q_1YR" hidden="1">"c1641"</definedName>
    <definedName name="IQ_EST_EPS_GROWTH_Q_1YR_CIQ" hidden="1">"c4744"</definedName>
    <definedName name="IQ_EST_EPS_GROWTH_Q_1YR_REUT" hidden="1">"c5410"</definedName>
    <definedName name="IQ_EST_EPS_GW_DIFF" hidden="1">"c1891"</definedName>
    <definedName name="IQ_EST_EPS_GW_DIFF_CIQ" hidden="1">"c4761"</definedName>
    <definedName name="IQ_EST_EPS_GW_DIFF_REUT" hidden="1">"c5429"</definedName>
    <definedName name="IQ_EST_EPS_GW_SURPRISE_PERCENT" hidden="1">"c1892"</definedName>
    <definedName name="IQ_EST_EPS_GW_SURPRISE_PERCENT_CIQ" hidden="1">"c4762"</definedName>
    <definedName name="IQ_EST_EPS_GW_SURPRISE_PERCENT_REUT" hidden="1">"c5430"</definedName>
    <definedName name="IQ_EST_EPS_NORM_DIFF" hidden="1">"c2247"</definedName>
    <definedName name="IQ_EST_EPS_NORM_DIFF_CIQ" hidden="1">"c4745"</definedName>
    <definedName name="IQ_EST_EPS_NORM_DIFF_REUT" hidden="1">"c5411"</definedName>
    <definedName name="IQ_EST_EPS_NORM_SURPRISE_PERCENT" hidden="1">"c2248"</definedName>
    <definedName name="IQ_EST_EPS_NORM_SURPRISE_PERCENT_CIQ" hidden="1">"c4746"</definedName>
    <definedName name="IQ_EST_EPS_NORM_SURPRISE_PERCENT_REUT" hidden="1">"c5412"</definedName>
    <definedName name="IQ_EST_EPS_REPORT_DIFF" hidden="1">"c1893"</definedName>
    <definedName name="IQ_EST_EPS_REPORT_DIFF_CIQ" hidden="1">"c4763"</definedName>
    <definedName name="IQ_EST_EPS_REPORT_DIFF_REUT" hidden="1">"c5431"</definedName>
    <definedName name="IQ_EST_EPS_REPORT_SURPRISE_PERCENT" hidden="1">"c1894"</definedName>
    <definedName name="IQ_EST_EPS_REPORT_SURPRISE_PERCENT_CIQ" hidden="1">"c4764"</definedName>
    <definedName name="IQ_EST_EPS_REPORT_SURPRISE_PERCENT_REUT" hidden="1">"c5432"</definedName>
    <definedName name="IQ_EST_EPS_SBC_DIFF" hidden="1">"c4374"</definedName>
    <definedName name="IQ_EST_EPS_SBC_DIFF_CIQ" hidden="1">"c4899"</definedName>
    <definedName name="IQ_EST_EPS_SBC_GW_DIFF" hidden="1">"c4378"</definedName>
    <definedName name="IQ_EST_EPS_SBC_GW_DIFF_CIQ" hidden="1">"c4903"</definedName>
    <definedName name="IQ_EST_EPS_SBC_GW_SURPRISE_PERCENT" hidden="1">"c4387"</definedName>
    <definedName name="IQ_EST_EPS_SBC_GW_SURPRISE_PERCENT_CIQ" hidden="1">"c4912"</definedName>
    <definedName name="IQ_EST_EPS_SBC_SURPRISE_PERCENT" hidden="1">"c4393"</definedName>
    <definedName name="IQ_EST_EPS_SBC_SURPRISE_PERCENT_CIQ" hidden="1">"c4918"</definedName>
    <definedName name="IQ_EST_EPS_SEQ_GROWTH_Q" hidden="1">"c1764"</definedName>
    <definedName name="IQ_EST_EPS_SEQ_GROWTH_Q_CIQ" hidden="1">"c3690"</definedName>
    <definedName name="IQ_EST_EPS_SURPRISE_PERCENT" hidden="1">"c1635"</definedName>
    <definedName name="IQ_EST_EPS_SURPRISE_PERCENT_CIQ" hidden="1">"c5000"</definedName>
    <definedName name="IQ_EST_FFO_ADJ_DIFF" hidden="1">"c4433"</definedName>
    <definedName name="IQ_EST_FFO_ADJ_DIFF_CIQ" hidden="1">"c4958"</definedName>
    <definedName name="IQ_EST_FFO_ADJ_GROWTH_1YR" hidden="1">"c4421"</definedName>
    <definedName name="IQ_EST_FFO_ADJ_GROWTH_1YR_CIQ" hidden="1">"c4946"</definedName>
    <definedName name="IQ_EST_FFO_ADJ_GROWTH_2YR" hidden="1">"c4422"</definedName>
    <definedName name="IQ_EST_FFO_ADJ_GROWTH_2YR_CIQ" hidden="1">"c4947"</definedName>
    <definedName name="IQ_EST_FFO_ADJ_GROWTH_Q_1YR" hidden="1">"c4423"</definedName>
    <definedName name="IQ_EST_FFO_ADJ_GROWTH_Q_1YR_CIQ" hidden="1">"c4948"</definedName>
    <definedName name="IQ_EST_FFO_ADJ_SEQ_GROWTH_Q" hidden="1">"c4424"</definedName>
    <definedName name="IQ_EST_FFO_ADJ_SEQ_GROWTH_Q_CIQ" hidden="1">"c4949"</definedName>
    <definedName name="IQ_EST_FFO_ADJ_SURPRISE_PERCENT" hidden="1">"c4442"</definedName>
    <definedName name="IQ_EST_FFO_ADJ_SURPRISE_PERCENT_CIQ" hidden="1">"c4967"</definedName>
    <definedName name="IQ_EST_FFO_DIFF" hidden="1">"c1869"</definedName>
    <definedName name="IQ_EST_FFO_DIFF_CIQ" hidden="1">"c3721"</definedName>
    <definedName name="IQ_EST_FFO_GROWTH_1YR" hidden="1">"c1770"</definedName>
    <definedName name="IQ_EST_FFO_GROWTH_1YR_CIQ" hidden="1">"c3705"</definedName>
    <definedName name="IQ_EST_FFO_GROWTH_2YR" hidden="1">"c1771"</definedName>
    <definedName name="IQ_EST_FFO_GROWTH_2YR_CIQ" hidden="1">"c3706"</definedName>
    <definedName name="IQ_EST_FFO_GROWTH_Q_1YR" hidden="1">"c1772"</definedName>
    <definedName name="IQ_EST_FFO_GROWTH_Q_1YR_CIQ" hidden="1">"c3707"</definedName>
    <definedName name="IQ_EST_FFO_SEQ_GROWTH_Q" hidden="1">"c1773"</definedName>
    <definedName name="IQ_EST_FFO_SEQ_GROWTH_Q_CIQ" hidden="1">"c3708"</definedName>
    <definedName name="IQ_EST_FFO_SHARE_DIFF" hidden="1">"c4444"</definedName>
    <definedName name="IQ_EST_FFO_SHARE_DIFF_CIQ" hidden="1">"c4969"</definedName>
    <definedName name="IQ_EST_FFO_SHARE_GROWTH_1YR" hidden="1">"c4425"</definedName>
    <definedName name="IQ_EST_FFO_SHARE_GROWTH_1YR_CIQ" hidden="1">"c4950"</definedName>
    <definedName name="IQ_EST_FFO_SHARE_GROWTH_2YR" hidden="1">"c4426"</definedName>
    <definedName name="IQ_EST_FFO_SHARE_GROWTH_2YR_CIQ" hidden="1">"c4951"</definedName>
    <definedName name="IQ_EST_FFO_SHARE_GROWTH_Q_1YR" hidden="1">"c4427"</definedName>
    <definedName name="IQ_EST_FFO_SHARE_GROWTH_Q_1YR_CIQ" hidden="1">"c4952"</definedName>
    <definedName name="IQ_EST_FFO_SHARE_SEQ_GROWTH_Q" hidden="1">"c4428"</definedName>
    <definedName name="IQ_EST_FFO_SHARE_SEQ_GROWTH_Q_CIQ" hidden="1">"c4953"</definedName>
    <definedName name="IQ_EST_FFO_SHARE_SURPRISE_PERCENT" hidden="1">"c4453"</definedName>
    <definedName name="IQ_EST_FFO_SHARE_SURPRISE_PERCENT_CIQ" hidden="1">"c4982"</definedName>
    <definedName name="IQ_EST_FFO_SURPRISE_PERCENT" hidden="1">"c1870"</definedName>
    <definedName name="IQ_EST_FFO_SURPRISE_PERCENT_CIQ" hidden="1">"c3722"</definedName>
    <definedName name="IQ_EST_FOOTNOTE" hidden="1">"c4540"</definedName>
    <definedName name="IQ_EST_MAINT_CAPEX_DIFF" hidden="1">"c4456"</definedName>
    <definedName name="IQ_EST_MAINT_CAPEX_DIFF_CIQ" hidden="1">"c4985"</definedName>
    <definedName name="IQ_EST_MAINT_CAPEX_GROWTH_1YR" hidden="1">"c4429"</definedName>
    <definedName name="IQ_EST_MAINT_CAPEX_GROWTH_1YR_CIQ" hidden="1">"c4954"</definedName>
    <definedName name="IQ_EST_MAINT_CAPEX_GROWTH_2YR" hidden="1">"c4430"</definedName>
    <definedName name="IQ_EST_MAINT_CAPEX_GROWTH_2YR_CIQ" hidden="1">"c4955"</definedName>
    <definedName name="IQ_EST_MAINT_CAPEX_GROWTH_Q_1YR" hidden="1">"c4431"</definedName>
    <definedName name="IQ_EST_MAINT_CAPEX_GROWTH_Q_1YR_CIQ" hidden="1">"c4956"</definedName>
    <definedName name="IQ_EST_MAINT_CAPEX_SEQ_GROWTH_Q" hidden="1">"c4432"</definedName>
    <definedName name="IQ_EST_MAINT_CAPEX_SEQ_GROWTH_Q_CIQ" hidden="1">"c4957"</definedName>
    <definedName name="IQ_EST_MAINT_CAPEX_SURPRISE_PERCENT" hidden="1">"c4465"</definedName>
    <definedName name="IQ_EST_MAINT_CAPEX_SURPRISE_PERCENT_CIQ" hidden="1">"c5003"</definedName>
    <definedName name="IQ_EST_NAV_DIFF" hidden="1">"c1895"</definedName>
    <definedName name="IQ_EST_NAV_SHARE_SURPRISE_PERCENT" hidden="1">"c1896"</definedName>
    <definedName name="IQ_EST_NET_DEBT_DIFF" hidden="1">"c4466"</definedName>
    <definedName name="IQ_EST_NET_DEBT_DIFF_CIQ" hidden="1">"c5004"</definedName>
    <definedName name="IQ_EST_NET_DEBT_SURPRISE_PERCENT" hidden="1">"c4468"</definedName>
    <definedName name="IQ_EST_NET_DEBT_SURPRISE_PERCENT_CIQ" hidden="1">"c5006"</definedName>
    <definedName name="IQ_EST_NI_DIFF" hidden="1">"c1885"</definedName>
    <definedName name="IQ_EST_NI_DIFF_CIQ" hidden="1">"c4755"</definedName>
    <definedName name="IQ_EST_NI_GW_DIFF_CIQ" hidden="1">"c4757"</definedName>
    <definedName name="IQ_EST_NI_GW_SURPRISE_PERCENT_CIQ" hidden="1">"c4758"</definedName>
    <definedName name="IQ_EST_NI_REPORT_DIFF" hidden="1">"c1889"</definedName>
    <definedName name="IQ_EST_NI_REPORT_DIFF_CIQ" hidden="1">"c4759"</definedName>
    <definedName name="IQ_EST_NI_REPORT_SURPRISE_PERCENT" hidden="1">"c1890"</definedName>
    <definedName name="IQ_EST_NI_REPORT_SURPRISE_PERCENT_CIQ" hidden="1">"c4760"</definedName>
    <definedName name="IQ_EST_NI_SBC_DIFF" hidden="1">"c4472"</definedName>
    <definedName name="IQ_EST_NI_SBC_DIFF_CIQ" hidden="1">"c5010"</definedName>
    <definedName name="IQ_EST_NI_SBC_GW_DIFF" hidden="1">"c4476"</definedName>
    <definedName name="IQ_EST_NI_SBC_GW_DIFF_CIQ" hidden="1">"c5014"</definedName>
    <definedName name="IQ_EST_NI_SBC_GW_SURPRISE_PERCENT" hidden="1">"c4485"</definedName>
    <definedName name="IQ_EST_NI_SBC_GW_SURPRISE_PERCENT_CIQ" hidden="1">"c5023"</definedName>
    <definedName name="IQ_EST_NI_SBC_SURPRISE_PERCENT" hidden="1">"c4491"</definedName>
    <definedName name="IQ_EST_NI_SBC_SURPRISE_PERCENT_CIQ" hidden="1">"c5029"</definedName>
    <definedName name="IQ_EST_NI_SURPRISE_PERCENT" hidden="1">"c1886"</definedName>
    <definedName name="IQ_EST_NI_SURPRISE_PERCENT_CIQ" hidden="1">"c4756"</definedName>
    <definedName name="IQ_EST_NUM_BUY" hidden="1">"c1759"</definedName>
    <definedName name="IQ_EST_NUM_HIGH_REC" hidden="1">"c5649"</definedName>
    <definedName name="IQ_EST_NUM_HIGH_REC_CIQ" hidden="1">"c3701"</definedName>
    <definedName name="IQ_EST_NUM_HIGHEST_REC" hidden="1">"c5648"</definedName>
    <definedName name="IQ_EST_NUM_HIGHEST_REC_CIQ" hidden="1">"c3700"</definedName>
    <definedName name="IQ_EST_NUM_HOLD" hidden="1">"c1761"</definedName>
    <definedName name="IQ_EST_NUM_LOW_REC" hidden="1">"c5651"</definedName>
    <definedName name="IQ_EST_NUM_LOW_REC_CIQ" hidden="1">"c3703"</definedName>
    <definedName name="IQ_EST_NUM_LOWEST_REC" hidden="1">"c5652"</definedName>
    <definedName name="IQ_EST_NUM_LOWEST_REC_CIQ" hidden="1">"c3704"</definedName>
    <definedName name="IQ_EST_NUM_NEUTRAL_REC" hidden="1">"c5650"</definedName>
    <definedName name="IQ_EST_NUM_NEUTRAL_REC_CIQ" hidden="1">"c3702"</definedName>
    <definedName name="IQ_EST_NUM_NO_OPINION" hidden="1">"c1758"</definedName>
    <definedName name="IQ_EST_NUM_NO_OPINION_CIQ" hidden="1">"c3699"</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DIFF_CIQ" hidden="1">"c4749"</definedName>
    <definedName name="IQ_EST_PRE_TAX_GW_DIFF" hidden="1">"c1881"</definedName>
    <definedName name="IQ_EST_PRE_TAX_GW_DIFF_CIQ" hidden="1">"c4751"</definedName>
    <definedName name="IQ_EST_PRE_TAX_GW_SURPRISE_PERCENT" hidden="1">"c1882"</definedName>
    <definedName name="IQ_EST_PRE_TAX_GW_SURPRISE_PERCENT_CIQ" hidden="1">"c4752"</definedName>
    <definedName name="IQ_EST_PRE_TAX_REPORT_DIFF" hidden="1">"c1883"</definedName>
    <definedName name="IQ_EST_PRE_TAX_REPORT_DIFF_CIQ" hidden="1">"c4753"</definedName>
    <definedName name="IQ_EST_PRE_TAX_REPORT_SURPRISE_PERCENT" hidden="1">"c1884"</definedName>
    <definedName name="IQ_EST_PRE_TAX_REPORT_SURPRISE_PERCENT_CIQ" hidden="1">"c4754"</definedName>
    <definedName name="IQ_EST_PRE_TAX_SURPRISE_PERCENT" hidden="1">"c1880"</definedName>
    <definedName name="IQ_EST_PRE_TAX_SURPRISE_PERCENT_CIQ" hidden="1">"c4750"</definedName>
    <definedName name="IQ_EST_RECURRING_PROFIT_SHARE_DIFF" hidden="1">"c4505"</definedName>
    <definedName name="IQ_EST_RECURRING_PROFIT_SHARE_DIFF_CIQ" hidden="1">"c5043"</definedName>
    <definedName name="IQ_EST_RECURRING_PROFIT_SHARE_SURPRISE_PERCENT" hidden="1">"c4515"</definedName>
    <definedName name="IQ_EST_RECURRING_PROFIT_SHARE_SURPRISE_PERCENT_CIQ" hidden="1">"c5053"</definedName>
    <definedName name="IQ_EST_REV_DIFF" hidden="1">"c1865"</definedName>
    <definedName name="IQ_EST_REV_DIFF_CIQ" hidden="1">"c3717"</definedName>
    <definedName name="IQ_EST_REV_GROWTH_1YR" hidden="1">"c1638"</definedName>
    <definedName name="IQ_EST_REV_GROWTH_1YR_CIQ" hidden="1">"c3691"</definedName>
    <definedName name="IQ_EST_REV_GROWTH_2YR" hidden="1">"c1639"</definedName>
    <definedName name="IQ_EST_REV_GROWTH_2YR_CIQ" hidden="1">"c3692"</definedName>
    <definedName name="IQ_EST_REV_GROWTH_Q_1YR" hidden="1">"c1640"</definedName>
    <definedName name="IQ_EST_REV_GROWTH_Q_1YR_CIQ" hidden="1">"c3693"</definedName>
    <definedName name="IQ_EST_REV_SEQ_GROWTH_Q" hidden="1">"c1765"</definedName>
    <definedName name="IQ_EST_REV_SEQ_GROWTH_Q_CIQ" hidden="1">"c3694"</definedName>
    <definedName name="IQ_EST_REV_SURPRISE_PERCENT" hidden="1">"c1866"</definedName>
    <definedName name="IQ_EST_REV_SURPRISE_PERCENT_CIQ" hidden="1">"c3718"</definedName>
    <definedName name="IQ_EST_VENDOR" hidden="1">"c5564"</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"c1459"</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ADJ_ACT_OR_EST_CIQ" hidden="1">"c4960"</definedName>
    <definedName name="IQ_FFO_ADJ_EST" hidden="1">"c4434"</definedName>
    <definedName name="IQ_FFO_ADJ_EST_CIQ" hidden="1">"c4959"</definedName>
    <definedName name="IQ_FFO_ADJ_GUIDANCE" hidden="1">"c4436"</definedName>
    <definedName name="IQ_FFO_ADJ_GUIDANCE_CIQ" hidden="1">"c4961"</definedName>
    <definedName name="IQ_FFO_ADJ_HIGH_EST" hidden="1">"c4437"</definedName>
    <definedName name="IQ_FFO_ADJ_HIGH_EST_CIQ" hidden="1">"c4962"</definedName>
    <definedName name="IQ_FFO_ADJ_HIGH_GUIDANCE" hidden="1">"c4202"</definedName>
    <definedName name="IQ_FFO_ADJ_HIGH_GUIDANCE_CIQ" hidden="1">"c4614"</definedName>
    <definedName name="IQ_FFO_ADJ_LOW_EST" hidden="1">"c4438"</definedName>
    <definedName name="IQ_FFO_ADJ_LOW_EST_CIQ" hidden="1">"c4963"</definedName>
    <definedName name="IQ_FFO_ADJ_LOW_GUIDANCE" hidden="1">"c4242"</definedName>
    <definedName name="IQ_FFO_ADJ_LOW_GUIDANCE_CIQ" hidden="1">"c4654"</definedName>
    <definedName name="IQ_FFO_ADJ_MEDIAN_EST" hidden="1">"c4439"</definedName>
    <definedName name="IQ_FFO_ADJ_MEDIAN_EST_CIQ" hidden="1">"c4964"</definedName>
    <definedName name="IQ_FFO_ADJ_NUM_EST" hidden="1">"c4440"</definedName>
    <definedName name="IQ_FFO_ADJ_NUM_EST_CIQ" hidden="1">"c4965"</definedName>
    <definedName name="IQ_FFO_ADJ_STDDEV_EST" hidden="1">"c4441"</definedName>
    <definedName name="IQ_FFO_ADJ_STDDEV_EST_CIQ" hidden="1">"c4966"</definedName>
    <definedName name="IQ_FFO_EST" hidden="1">"c418"</definedName>
    <definedName name="IQ_FFO_EST_CIQ" hidden="1">"c3668"</definedName>
    <definedName name="IQ_FFO_GUIDANCE" hidden="1">"c4443"</definedName>
    <definedName name="IQ_FFO_GUIDANCE_CIQ" hidden="1">"c4968"</definedName>
    <definedName name="IQ_FFO_HIGH_EST" hidden="1">"c419"</definedName>
    <definedName name="IQ_FFO_HIGH_EST_CIQ" hidden="1">"c3670"</definedName>
    <definedName name="IQ_FFO_HIGH_GUIDANCE" hidden="1">"c4184"</definedName>
    <definedName name="IQ_FFO_HIGH_GUIDANCE_CIQ" hidden="1">"c4596"</definedName>
    <definedName name="IQ_FFO_LOW_EST" hidden="1">"c420"</definedName>
    <definedName name="IQ_FFO_LOW_EST_CIQ" hidden="1">"c3671"</definedName>
    <definedName name="IQ_FFO_LOW_GUIDANCE" hidden="1">"c4224"</definedName>
    <definedName name="IQ_FFO_LOW_GUIDANCE_CIQ" hidden="1">"c4636"</definedName>
    <definedName name="IQ_FFO_MEDIAN_EST" hidden="1">"c1665"</definedName>
    <definedName name="IQ_FFO_MEDIAN_EST_CIQ" hidden="1">"c3669"</definedName>
    <definedName name="IQ_FFO_NUM_EST" hidden="1">"c421"</definedName>
    <definedName name="IQ_FFO_NUM_EST_CIQ" hidden="1">"c3672"</definedName>
    <definedName name="IQ_FFO_PAYOUT_RATIO" hidden="1">"c3492"</definedName>
    <definedName name="IQ_FFO_SHARE_ACT_OR_EST" hidden="1">"c4446"</definedName>
    <definedName name="IQ_FFO_SHARE_ACT_OR_EST_CIQ" hidden="1">"c4971"</definedName>
    <definedName name="IQ_FFO_SHARE_EST" hidden="1">"c4445"</definedName>
    <definedName name="IQ_FFO_SHARE_EST_CIQ" hidden="1">"c4970"</definedName>
    <definedName name="IQ_FFO_SHARE_GUIDANCE" hidden="1">"c4447"</definedName>
    <definedName name="IQ_FFO_SHARE_GUIDANCE_CIQ" hidden="1">"c4976"</definedName>
    <definedName name="IQ_FFO_SHARE_HIGH_EST" hidden="1">"c4448"</definedName>
    <definedName name="IQ_FFO_SHARE_HIGH_EST_CIQ" hidden="1">"c4977"</definedName>
    <definedName name="IQ_FFO_SHARE_HIGH_GUIDANCE" hidden="1">"c4203"</definedName>
    <definedName name="IQ_FFO_SHARE_HIGH_GUIDANCE_CIQ" hidden="1">"c4615"</definedName>
    <definedName name="IQ_FFO_SHARE_LOW_EST" hidden="1">"c4449"</definedName>
    <definedName name="IQ_FFO_SHARE_LOW_EST_CIQ" hidden="1">"c4978"</definedName>
    <definedName name="IQ_FFO_SHARE_LOW_GUIDANCE" hidden="1">"c4243"</definedName>
    <definedName name="IQ_FFO_SHARE_LOW_GUIDANCE_CIQ" hidden="1">"c4655"</definedName>
    <definedName name="IQ_FFO_SHARE_MEDIAN_EST" hidden="1">"c4450"</definedName>
    <definedName name="IQ_FFO_SHARE_MEDIAN_EST_CIQ" hidden="1">"c4979"</definedName>
    <definedName name="IQ_FFO_SHARE_NUM_EST" hidden="1">"c4451"</definedName>
    <definedName name="IQ_FFO_SHARE_NUM_EST_CIQ" hidden="1">"c4980"</definedName>
    <definedName name="IQ_FFO_SHARE_STDDEV_EST" hidden="1">"c4452"</definedName>
    <definedName name="IQ_FFO_SHARE_STDDEV_EST_CIQ" hidden="1">"c4981"</definedName>
    <definedName name="IQ_FFO_STDDEV_EST" hidden="1">"c422"</definedName>
    <definedName name="IQ_FFO_STDDEV_EST_CIQ" hidden="1">"c3673"</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DEBT_CURRENT" hidden="1">"c429"</definedName>
    <definedName name="IQ_FIN_DIV_DEBT_LT" hidden="1">"c430"</definedName>
    <definedName name="IQ_FIN_DIV_DEBT_TOTAL" hidden="1">"c5656"</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REV" hidden="1">"c437"</definedName>
    <definedName name="IQ_FIN_DIV_ST_DEBT_TOTAL" hidden="1">"c5527"</definedName>
    <definedName name="IQ_FIN_DIV_ST_INVEST" hidden="1">"c6288"</definedName>
    <definedName name="IQ_FINANCING_CASH" hidden="1">"c1405"</definedName>
    <definedName name="IQ_FINANCING_CASH_SUPPL" hidden="1">"c1406"</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CIQ" hidden="1">"c6806"</definedName>
    <definedName name="IQ_FISCAL_Q_EST_REUT" hidden="1">"c6798"</definedName>
    <definedName name="IQ_FISCAL_Y" hidden="1">"c441"</definedName>
    <definedName name="IQ_FISCAL_Y_EST" hidden="1">"c6795"</definedName>
    <definedName name="IQ_FISCAL_Y_EST_CIQ" hidden="1">"c6807"</definedName>
    <definedName name="IQ_FISCAL_Y_EST_REUT" hidden="1">"c6799"</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X_CONTRACTS_FDIC" hidden="1">"c6517"</definedName>
    <definedName name="IQ_FX_CONTRACTS_SPOT_FDIC" hidden="1">"c6356"</definedName>
    <definedName name="IQ_FY" hidden="1">1000</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"c1380"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 hidden="1">"c5554"</definedName>
    <definedName name="IQ_GROSS_MARGIN_EST" hidden="1">"c5547"</definedName>
    <definedName name="IQ_GROSS_MARGIN_HIGH_EST" hidden="1">"c5549"</definedName>
    <definedName name="IQ_GROSS_MARGIN_LOW_EST" hidden="1">"c5550"</definedName>
    <definedName name="IQ_GROSS_MARGIN_MEDIAN_EST" hidden="1">"c5548"</definedName>
    <definedName name="IQ_GROSS_MARGIN_NUM_EST" hidden="1">"c5551"</definedName>
    <definedName name="IQ_GROSS_MARGIN_STDDEV_EST" hidden="1">"c5552"</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CIQ" hidden="1">"c4659"</definedName>
    <definedName name="IQ_HIGH_TARGET_PRICE_REUT" hidden="1">"c5317"</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"c1407"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CIQ" hidden="1">"c4660"</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CAPEX_ACT_OR_EST" hidden="1">"c4458"</definedName>
    <definedName name="IQ_MAINT_CAPEX_ACT_OR_EST_CIQ" hidden="1">"c4987"</definedName>
    <definedName name="IQ_MAINT_CAPEX_EST" hidden="1">"c4457"</definedName>
    <definedName name="IQ_MAINT_CAPEX_EST_CIQ" hidden="1">"c4986"</definedName>
    <definedName name="IQ_MAINT_CAPEX_GUIDANCE" hidden="1">"c4459"</definedName>
    <definedName name="IQ_MAINT_CAPEX_GUIDANCE_CIQ" hidden="1">"c4988"</definedName>
    <definedName name="IQ_MAINT_CAPEX_HIGH_EST" hidden="1">"c4460"</definedName>
    <definedName name="IQ_MAINT_CAPEX_HIGH_EST_CIQ" hidden="1">"c4989"</definedName>
    <definedName name="IQ_MAINT_CAPEX_HIGH_GUIDANCE" hidden="1">"c4197"</definedName>
    <definedName name="IQ_MAINT_CAPEX_HIGH_GUIDANCE_CIQ" hidden="1">"c4609"</definedName>
    <definedName name="IQ_MAINT_CAPEX_LOW_EST" hidden="1">"c4461"</definedName>
    <definedName name="IQ_MAINT_CAPEX_LOW_EST_CIQ" hidden="1">"c4990"</definedName>
    <definedName name="IQ_MAINT_CAPEX_LOW_GUIDANCE" hidden="1">"c4237"</definedName>
    <definedName name="IQ_MAINT_CAPEX_LOW_GUIDANCE_CIQ" hidden="1">"c4649"</definedName>
    <definedName name="IQ_MAINT_CAPEX_MEDIAN_EST" hidden="1">"c4462"</definedName>
    <definedName name="IQ_MAINT_CAPEX_MEDIAN_EST_CIQ" hidden="1">"c4991"</definedName>
    <definedName name="IQ_MAINT_CAPEX_NUM_EST" hidden="1">"c4463"</definedName>
    <definedName name="IQ_MAINT_CAPEX_NUM_EST_CIQ" hidden="1">"c5001"</definedName>
    <definedName name="IQ_MAINT_CAPEX_STDDEV_EST" hidden="1">"c4464"</definedName>
    <definedName name="IQ_MAINT_CAPEX_STDDEV_EST_CIQ" hidden="1">"c5002"</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TARGET_PRICE" hidden="1">"c1650"</definedName>
    <definedName name="IQ_MEDIAN_TARGET_PRICE_CIQ" hidden="1">"c4658"</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CIQ" hidden="1">"c4041"</definedName>
    <definedName name="IQ_MKTCAP_TOTAL_REV_FWD_REUT" hidden="1">"c4048"</definedName>
    <definedName name="IQ_MM_ACCOUNT" hidden="1">"c743"</definedName>
    <definedName name="IQ_MONEY_MARKET_DEPOSIT_ACCOUNTS_FDIC" hidden="1">"c6553"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ULTIFAMILY_RESIDENTIAL_LOANS_FDIC" hidden="1">"c6311"</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HARE_ACT_OR_EST" hidden="1">"c2225"</definedName>
    <definedName name="IQ_NAV_SHARE_EST" hidden="1">"c5609"</definedName>
    <definedName name="IQ_NAV_SHARE_HIGH_EST" hidden="1">"c5612"</definedName>
    <definedName name="IQ_NAV_SHARE_LOW_EST" hidden="1">"c5613"</definedName>
    <definedName name="IQ_NAV_SHARE_MEDIAN_EST" hidden="1">"c5610"</definedName>
    <definedName name="IQ_NAV_SHARE_NUM_EST" hidden="1">"c5614"</definedName>
    <definedName name="IQ_NAV_SHARE_STDDEV_EST" hidden="1">"c5611"</definedName>
    <definedName name="IQ_NAV_STDDEV_EST" hidden="1">"c1756"</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CIQ" hidden="1">"c5070"</definedName>
    <definedName name="IQ_NET_DEBT_EBITDA" hidden="1">"c750"</definedName>
    <definedName name="IQ_NET_DEBT_EBITDA_CAPEX" hidden="1">"c2949"</definedName>
    <definedName name="IQ_NET_DEBT_EST" hidden="1">"c3517"</definedName>
    <definedName name="IQ_NET_DEBT_EST_CIQ" hidden="1">"c3814"</definedName>
    <definedName name="IQ_NET_DEBT_GUIDANCE" hidden="1">"c4467"</definedName>
    <definedName name="IQ_NET_DEBT_GUIDANCE_CIQ" hidden="1">"c5005"</definedName>
    <definedName name="IQ_NET_DEBT_HIGH_EST" hidden="1">"c3518"</definedName>
    <definedName name="IQ_NET_DEBT_HIGH_EST_CIQ" hidden="1">"c3816"</definedName>
    <definedName name="IQ_NET_DEBT_HIGH_GUIDANCE" hidden="1">"c4181"</definedName>
    <definedName name="IQ_NET_DEBT_HIGH_GUIDANCE_CIQ" hidden="1">"c4593"</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CIQ" hidden="1">"c3817"</definedName>
    <definedName name="IQ_NET_DEBT_LOW_GUIDANCE" hidden="1">"c4221"</definedName>
    <definedName name="IQ_NET_DEBT_LOW_GUIDANCE_CIQ" hidden="1">"c4633"</definedName>
    <definedName name="IQ_NET_DEBT_MEDIAN_EST" hidden="1">"c3520"</definedName>
    <definedName name="IQ_NET_DEBT_MEDIAN_EST_CIQ" hidden="1">"c3815"</definedName>
    <definedName name="IQ_NET_DEBT_NUM_EST" hidden="1">"c3515"</definedName>
    <definedName name="IQ_NET_DEBT_NUM_EST_CIQ" hidden="1">"c3818"</definedName>
    <definedName name="IQ_NET_DEBT_STDDEV_EST" hidden="1">"c3516"</definedName>
    <definedName name="IQ_NET_DEBT_STDDEV_EST_CIQ" hidden="1">"c3819"</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CIQ" hidden="1">"c5065"</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CIQ" hidden="1">"c4702"</definedName>
    <definedName name="IQ_NI_GAAP_GUIDANCE" hidden="1">"c4470"</definedName>
    <definedName name="IQ_NI_GAAP_GUIDANCE_CIQ" hidden="1">"c5008"</definedName>
    <definedName name="IQ_NI_GAAP_HIGH_GUIDANCE" hidden="1">"c4177"</definedName>
    <definedName name="IQ_NI_GAAP_HIGH_GUIDANCE_CIQ" hidden="1">"c4589"</definedName>
    <definedName name="IQ_NI_GAAP_LOW_GUIDANCE" hidden="1">"c4217"</definedName>
    <definedName name="IQ_NI_GAAP_LOW_GUIDANCE_CIQ" hidden="1">"c4629"</definedName>
    <definedName name="IQ_NI_GUIDANCE" hidden="1">"c4469"</definedName>
    <definedName name="IQ_NI_GUIDANCE_CIQ" hidden="1">"c5007"</definedName>
    <definedName name="IQ_NI_GW_EST_CIQ" hidden="1">"c4709"</definedName>
    <definedName name="IQ_NI_GW_GUIDANCE" hidden="1">"c4471"</definedName>
    <definedName name="IQ_NI_GW_GUIDANCE_CIQ" hidden="1">"c5009"</definedName>
    <definedName name="IQ_NI_GW_HIGH_EST_CIQ" hidden="1">"c4711"</definedName>
    <definedName name="IQ_NI_GW_HIGH_GUIDANCE" hidden="1">"c4178"</definedName>
    <definedName name="IQ_NI_GW_HIGH_GUIDANCE_CIQ" hidden="1">"c4590"</definedName>
    <definedName name="IQ_NI_GW_LOW_EST_CIQ" hidden="1">"c4712"</definedName>
    <definedName name="IQ_NI_GW_LOW_GUIDANCE" hidden="1">"c4218"</definedName>
    <definedName name="IQ_NI_GW_LOW_GUIDANCE_CIQ" hidden="1">"c4630"</definedName>
    <definedName name="IQ_NI_GW_MEDIAN_EST_CIQ" hidden="1">"c4710"</definedName>
    <definedName name="IQ_NI_GW_NUM_EST_CIQ" hidden="1">"c4713"</definedName>
    <definedName name="IQ_NI_GW_STDDEV_EST_CIQ" hidden="1">"c4714"</definedName>
    <definedName name="IQ_NI_HIGH_EST" hidden="1">"c1718"</definedName>
    <definedName name="IQ_NI_HIGH_EST_CIQ" hidden="1">"c4704"</definedName>
    <definedName name="IQ_NI_HIGH_GUIDANCE" hidden="1">"c4176"</definedName>
    <definedName name="IQ_NI_HIGH_GUIDANCE_CIQ" hidden="1">"c4588"</definedName>
    <definedName name="IQ_NI_LOW_EST" hidden="1">"c1719"</definedName>
    <definedName name="IQ_NI_LOW_EST_CIQ" hidden="1">"c4705"</definedName>
    <definedName name="IQ_NI_LOW_GUIDANCE" hidden="1">"c4216"</definedName>
    <definedName name="IQ_NI_LOW_GUIDANCE_CIQ" hidden="1">"c4628"</definedName>
    <definedName name="IQ_NI_MARGIN" hidden="1">"c794"</definedName>
    <definedName name="IQ_NI_MEDIAN_EST" hidden="1">"c1717"</definedName>
    <definedName name="IQ_NI_MEDIAN_EST_CIQ" hidden="1">"c4703"</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CIQ" hidden="1">"c4706"</definedName>
    <definedName name="IQ_NI_REPORTED_EST" hidden="1">"c1730"</definedName>
    <definedName name="IQ_NI_REPORTED_EST_CIQ" hidden="1">"c4716"</definedName>
    <definedName name="IQ_NI_REPORTED_HIGH_EST" hidden="1">"c1732"</definedName>
    <definedName name="IQ_NI_REPORTED_HIGH_EST_CIQ" hidden="1">"c4718"</definedName>
    <definedName name="IQ_NI_REPORTED_LOW_EST" hidden="1">"c1733"</definedName>
    <definedName name="IQ_NI_REPORTED_LOW_EST_CIQ" hidden="1">"c4719"</definedName>
    <definedName name="IQ_NI_REPORTED_MEDIAN_EST" hidden="1">"c1731"</definedName>
    <definedName name="IQ_NI_REPORTED_MEDIAN_EST_CIQ" hidden="1">"c4717"</definedName>
    <definedName name="IQ_NI_REPORTED_NUM_EST" hidden="1">"c1734"</definedName>
    <definedName name="IQ_NI_REPORTED_NUM_EST_CIQ" hidden="1">"c4720"</definedName>
    <definedName name="IQ_NI_REPORTED_STDDEV_EST" hidden="1">"c1735"</definedName>
    <definedName name="IQ_NI_REPORTED_STDDEV_EST_CIQ" hidden="1">"c4721"</definedName>
    <definedName name="IQ_NI_SBC_ACT_OR_EST" hidden="1">"c4474"</definedName>
    <definedName name="IQ_NI_SBC_ACT_OR_EST_CIQ" hidden="1">"c5012"</definedName>
    <definedName name="IQ_NI_SBC_EST" hidden="1">"c4473"</definedName>
    <definedName name="IQ_NI_SBC_EST_CIQ" hidden="1">"c5011"</definedName>
    <definedName name="IQ_NI_SBC_GUIDANCE" hidden="1">"c4475"</definedName>
    <definedName name="IQ_NI_SBC_GUIDANCE_CIQ" hidden="1">"c5013"</definedName>
    <definedName name="IQ_NI_SBC_GW_ACT_OR_EST" hidden="1">"c4478"</definedName>
    <definedName name="IQ_NI_SBC_GW_ACT_OR_EST_CIQ" hidden="1">"c5016"</definedName>
    <definedName name="IQ_NI_SBC_GW_EST" hidden="1">"c4477"</definedName>
    <definedName name="IQ_NI_SBC_GW_EST_CIQ" hidden="1">"c5015"</definedName>
    <definedName name="IQ_NI_SBC_GW_GUIDANCE" hidden="1">"c4479"</definedName>
    <definedName name="IQ_NI_SBC_GW_GUIDANCE_CIQ" hidden="1">"c5017"</definedName>
    <definedName name="IQ_NI_SBC_GW_HIGH_EST" hidden="1">"c4480"</definedName>
    <definedName name="IQ_NI_SBC_GW_HIGH_EST_CIQ" hidden="1">"c5018"</definedName>
    <definedName name="IQ_NI_SBC_GW_HIGH_GUIDANCE" hidden="1">"c4187"</definedName>
    <definedName name="IQ_NI_SBC_GW_HIGH_GUIDANCE_CIQ" hidden="1">"c4599"</definedName>
    <definedName name="IQ_NI_SBC_GW_LOW_EST" hidden="1">"c4481"</definedName>
    <definedName name="IQ_NI_SBC_GW_LOW_EST_CIQ" hidden="1">"c5019"</definedName>
    <definedName name="IQ_NI_SBC_GW_LOW_GUIDANCE" hidden="1">"c4227"</definedName>
    <definedName name="IQ_NI_SBC_GW_LOW_GUIDANCE_CIQ" hidden="1">"c4639"</definedName>
    <definedName name="IQ_NI_SBC_GW_MEDIAN_EST" hidden="1">"c4482"</definedName>
    <definedName name="IQ_NI_SBC_GW_MEDIAN_EST_CIQ" hidden="1">"c5020"</definedName>
    <definedName name="IQ_NI_SBC_GW_NUM_EST" hidden="1">"c4483"</definedName>
    <definedName name="IQ_NI_SBC_GW_NUM_EST_CIQ" hidden="1">"c5021"</definedName>
    <definedName name="IQ_NI_SBC_GW_STDDEV_EST" hidden="1">"c4484"</definedName>
    <definedName name="IQ_NI_SBC_GW_STDDEV_EST_CIQ" hidden="1">"c5022"</definedName>
    <definedName name="IQ_NI_SBC_HIGH_EST" hidden="1">"c4486"</definedName>
    <definedName name="IQ_NI_SBC_HIGH_EST_CIQ" hidden="1">"c5024"</definedName>
    <definedName name="IQ_NI_SBC_HIGH_GUIDANCE" hidden="1">"c4186"</definedName>
    <definedName name="IQ_NI_SBC_HIGH_GUIDANCE_CIQ" hidden="1">"c4598"</definedName>
    <definedName name="IQ_NI_SBC_LOW_EST" hidden="1">"c4487"</definedName>
    <definedName name="IQ_NI_SBC_LOW_EST_CIQ" hidden="1">"c5025"</definedName>
    <definedName name="IQ_NI_SBC_LOW_GUIDANCE" hidden="1">"c4226"</definedName>
    <definedName name="IQ_NI_SBC_LOW_GUIDANCE_CIQ" hidden="1">"c4638"</definedName>
    <definedName name="IQ_NI_SBC_MEDIAN_EST" hidden="1">"c4488"</definedName>
    <definedName name="IQ_NI_SBC_MEDIAN_EST_CIQ" hidden="1">"c5026"</definedName>
    <definedName name="IQ_NI_SBC_NUM_EST" hidden="1">"c4489"</definedName>
    <definedName name="IQ_NI_SBC_NUM_EST_CIQ" hidden="1">"c5027"</definedName>
    <definedName name="IQ_NI_SBC_STDDEV_EST" hidden="1">"c4490"</definedName>
    <definedName name="IQ_NI_SBC_STDDEV_EST_CIQ" hidden="1">"c5028"</definedName>
    <definedName name="IQ_NI_SFAS" hidden="1">"c795"</definedName>
    <definedName name="IQ_NI_STDDEV_EST" hidden="1">"c1721"</definedName>
    <definedName name="IQ_NI_STDDEV_EST_CIQ" hidden="1">"c4707"</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TRANSACTION_ACCOUNTS_FDIC" hidden="1">"c6552"</definedName>
    <definedName name="IQ_NONUTIL_REV" hidden="1">"c2089"</definedName>
    <definedName name="IQ_NORM_EPS_ACT_OR_EST" hidden="1">"c2249"</definedName>
    <definedName name="IQ_NORM_EPS_ACT_OR_EST_CIQ" hidden="1">"c5069"</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ACT_OR_EST" hidden="1">"c2220"</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 hidden="1">"c6240"</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CIQ" hidden="1">"c4042"</definedName>
    <definedName name="IQ_PE_EXCL_FWD_REUT" hidden="1">"c4049"</definedName>
    <definedName name="IQ_PE_NORMALIZED" hidden="1">"c2207"</definedName>
    <definedName name="IQ_PE_RATIO" hidden="1">"c1610"</definedName>
    <definedName name="IQ_PEG_FWD" hidden="1">"c1863"</definedName>
    <definedName name="IQ_PEG_FWD_CIQ" hidden="1">"c4045"</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CIQ" hidden="1">"c3790"</definedName>
    <definedName name="IQ_PERCENT_CHANGE_EST_5YR_GROWTH_RATE_18MONTHS" hidden="1">"c1853"</definedName>
    <definedName name="IQ_PERCENT_CHANGE_EST_5YR_GROWTH_RATE_18MONTHS_CIQ" hidden="1">"c3791"</definedName>
    <definedName name="IQ_PERCENT_CHANGE_EST_5YR_GROWTH_RATE_3MONTHS" hidden="1">"c1849"</definedName>
    <definedName name="IQ_PERCENT_CHANGE_EST_5YR_GROWTH_RATE_3MONTHS_CIQ" hidden="1">"c3787"</definedName>
    <definedName name="IQ_PERCENT_CHANGE_EST_5YR_GROWTH_RATE_6MONTHS" hidden="1">"c1850"</definedName>
    <definedName name="IQ_PERCENT_CHANGE_EST_5YR_GROWTH_RATE_6MONTHS_CIQ" hidden="1">"c3788"</definedName>
    <definedName name="IQ_PERCENT_CHANGE_EST_5YR_GROWTH_RATE_9MONTHS" hidden="1">"c1851"</definedName>
    <definedName name="IQ_PERCENT_CHANGE_EST_5YR_GROWTH_RATE_9MONTHS_CIQ" hidden="1">"c3789"</definedName>
    <definedName name="IQ_PERCENT_CHANGE_EST_5YR_GROWTH_RATE_DAY" hidden="1">"c1846"</definedName>
    <definedName name="IQ_PERCENT_CHANGE_EST_5YR_GROWTH_RATE_DAY_CIQ" hidden="1">"c3785"</definedName>
    <definedName name="IQ_PERCENT_CHANGE_EST_5YR_GROWTH_RATE_MONTH" hidden="1">"c1848"</definedName>
    <definedName name="IQ_PERCENT_CHANGE_EST_5YR_GROWTH_RATE_MONTH_CIQ" hidden="1">"c3786"</definedName>
    <definedName name="IQ_PERCENT_CHANGE_EST_5YR_GROWTH_RATE_WEEK" hidden="1">"c1847"</definedName>
    <definedName name="IQ_PERCENT_CHANGE_EST_5YR_GROWTH_RATE_WEEK_CIQ" hidden="1">"c3797"</definedName>
    <definedName name="IQ_PERCENT_CHANGE_EST_CFPS_12MONTHS" hidden="1">"c1812"</definedName>
    <definedName name="IQ_PERCENT_CHANGE_EST_CFPS_12MONTHS_CIQ" hidden="1">"c3755"</definedName>
    <definedName name="IQ_PERCENT_CHANGE_EST_CFPS_18MONTHS" hidden="1">"c1813"</definedName>
    <definedName name="IQ_PERCENT_CHANGE_EST_CFPS_18MONTHS_CIQ" hidden="1">"c3756"</definedName>
    <definedName name="IQ_PERCENT_CHANGE_EST_CFPS_3MONTHS" hidden="1">"c1809"</definedName>
    <definedName name="IQ_PERCENT_CHANGE_EST_CFPS_3MONTHS_CIQ" hidden="1">"c3752"</definedName>
    <definedName name="IQ_PERCENT_CHANGE_EST_CFPS_6MONTHS" hidden="1">"c1810"</definedName>
    <definedName name="IQ_PERCENT_CHANGE_EST_CFPS_6MONTHS_CIQ" hidden="1">"c3753"</definedName>
    <definedName name="IQ_PERCENT_CHANGE_EST_CFPS_9MONTHS" hidden="1">"c1811"</definedName>
    <definedName name="IQ_PERCENT_CHANGE_EST_CFPS_9MONTHS_CIQ" hidden="1">"c3754"</definedName>
    <definedName name="IQ_PERCENT_CHANGE_EST_CFPS_DAY" hidden="1">"c1806"</definedName>
    <definedName name="IQ_PERCENT_CHANGE_EST_CFPS_DAY_CIQ" hidden="1">"c3750"</definedName>
    <definedName name="IQ_PERCENT_CHANGE_EST_CFPS_MONTH" hidden="1">"c1808"</definedName>
    <definedName name="IQ_PERCENT_CHANGE_EST_CFPS_MONTH_CIQ" hidden="1">"c3751"</definedName>
    <definedName name="IQ_PERCENT_CHANGE_EST_CFPS_WEEK" hidden="1">"c1807"</definedName>
    <definedName name="IQ_PERCENT_CHANGE_EST_CFPS_WEEK_CIQ" hidden="1">"c3793"</definedName>
    <definedName name="IQ_PERCENT_CHANGE_EST_DPS_12MONTHS" hidden="1">"c1820"</definedName>
    <definedName name="IQ_PERCENT_CHANGE_EST_DPS_12MONTHS_CIQ" hidden="1">"c3762"</definedName>
    <definedName name="IQ_PERCENT_CHANGE_EST_DPS_18MONTHS" hidden="1">"c1821"</definedName>
    <definedName name="IQ_PERCENT_CHANGE_EST_DPS_18MONTHS_CIQ" hidden="1">"c3763"</definedName>
    <definedName name="IQ_PERCENT_CHANGE_EST_DPS_3MONTHS" hidden="1">"c1817"</definedName>
    <definedName name="IQ_PERCENT_CHANGE_EST_DPS_3MONTHS_CIQ" hidden="1">"c3759"</definedName>
    <definedName name="IQ_PERCENT_CHANGE_EST_DPS_6MONTHS" hidden="1">"c1818"</definedName>
    <definedName name="IQ_PERCENT_CHANGE_EST_DPS_6MONTHS_CIQ" hidden="1">"c3760"</definedName>
    <definedName name="IQ_PERCENT_CHANGE_EST_DPS_9MONTHS" hidden="1">"c1819"</definedName>
    <definedName name="IQ_PERCENT_CHANGE_EST_DPS_9MONTHS_CIQ" hidden="1">"c3761"</definedName>
    <definedName name="IQ_PERCENT_CHANGE_EST_DPS_DAY" hidden="1">"c1814"</definedName>
    <definedName name="IQ_PERCENT_CHANGE_EST_DPS_DAY_CIQ" hidden="1">"c3757"</definedName>
    <definedName name="IQ_PERCENT_CHANGE_EST_DPS_MONTH" hidden="1">"c1816"</definedName>
    <definedName name="IQ_PERCENT_CHANGE_EST_DPS_MONTH_CIQ" hidden="1">"c3758"</definedName>
    <definedName name="IQ_PERCENT_CHANGE_EST_DPS_WEEK" hidden="1">"c1815"</definedName>
    <definedName name="IQ_PERCENT_CHANGE_EST_DPS_WEEK_CIQ" hidden="1">"c3794"</definedName>
    <definedName name="IQ_PERCENT_CHANGE_EST_EBITDA_12MONTHS" hidden="1">"c1804"</definedName>
    <definedName name="IQ_PERCENT_CHANGE_EST_EBITDA_12MONTHS_CIQ" hidden="1">"c3748"</definedName>
    <definedName name="IQ_PERCENT_CHANGE_EST_EBITDA_18MONTHS" hidden="1">"c1805"</definedName>
    <definedName name="IQ_PERCENT_CHANGE_EST_EBITDA_18MONTHS_CIQ" hidden="1">"c3749"</definedName>
    <definedName name="IQ_PERCENT_CHANGE_EST_EBITDA_3MONTHS" hidden="1">"c1801"</definedName>
    <definedName name="IQ_PERCENT_CHANGE_EST_EBITDA_3MONTHS_CIQ" hidden="1">"c3745"</definedName>
    <definedName name="IQ_PERCENT_CHANGE_EST_EBITDA_6MONTHS" hidden="1">"c1802"</definedName>
    <definedName name="IQ_PERCENT_CHANGE_EST_EBITDA_6MONTHS_CIQ" hidden="1">"c3746"</definedName>
    <definedName name="IQ_PERCENT_CHANGE_EST_EBITDA_9MONTHS" hidden="1">"c1803"</definedName>
    <definedName name="IQ_PERCENT_CHANGE_EST_EBITDA_9MONTHS_CIQ" hidden="1">"c3747"</definedName>
    <definedName name="IQ_PERCENT_CHANGE_EST_EBITDA_DAY" hidden="1">"c1798"</definedName>
    <definedName name="IQ_PERCENT_CHANGE_EST_EBITDA_DAY_CIQ" hidden="1">"c3743"</definedName>
    <definedName name="IQ_PERCENT_CHANGE_EST_EBITDA_MONTH" hidden="1">"c1800"</definedName>
    <definedName name="IQ_PERCENT_CHANGE_EST_EBITDA_MONTH_CIQ" hidden="1">"c3744"</definedName>
    <definedName name="IQ_PERCENT_CHANGE_EST_EBITDA_WEEK" hidden="1">"c1799"</definedName>
    <definedName name="IQ_PERCENT_CHANGE_EST_EBITDA_WEEK_CIQ" hidden="1">"c3792"</definedName>
    <definedName name="IQ_PERCENT_CHANGE_EST_EPS_12MONTHS" hidden="1">"c1788"</definedName>
    <definedName name="IQ_PERCENT_CHANGE_EST_EPS_12MONTHS_CIQ" hidden="1">"c3733"</definedName>
    <definedName name="IQ_PERCENT_CHANGE_EST_EPS_18MONTHS" hidden="1">"c1789"</definedName>
    <definedName name="IQ_PERCENT_CHANGE_EST_EPS_18MONTHS_CIQ" hidden="1">"c3734"</definedName>
    <definedName name="IQ_PERCENT_CHANGE_EST_EPS_3MONTHS" hidden="1">"c1785"</definedName>
    <definedName name="IQ_PERCENT_CHANGE_EST_EPS_3MONTHS_CIQ" hidden="1">"c3730"</definedName>
    <definedName name="IQ_PERCENT_CHANGE_EST_EPS_6MONTHS" hidden="1">"c1786"</definedName>
    <definedName name="IQ_PERCENT_CHANGE_EST_EPS_6MONTHS_CIQ" hidden="1">"c3731"</definedName>
    <definedName name="IQ_PERCENT_CHANGE_EST_EPS_9MONTHS" hidden="1">"c1787"</definedName>
    <definedName name="IQ_PERCENT_CHANGE_EST_EPS_9MONTHS_CIQ" hidden="1">"c3732"</definedName>
    <definedName name="IQ_PERCENT_CHANGE_EST_EPS_DAY" hidden="1">"c1782"</definedName>
    <definedName name="IQ_PERCENT_CHANGE_EST_EPS_DAY_CIQ" hidden="1">"c3727"</definedName>
    <definedName name="IQ_PERCENT_CHANGE_EST_EPS_MONTH" hidden="1">"c1784"</definedName>
    <definedName name="IQ_PERCENT_CHANGE_EST_EPS_MONTH_CIQ" hidden="1">"c3729"</definedName>
    <definedName name="IQ_PERCENT_CHANGE_EST_EPS_WEEK" hidden="1">"c1783"</definedName>
    <definedName name="IQ_PERCENT_CHANGE_EST_EPS_WEEK_CIQ" hidden="1">"c3728"</definedName>
    <definedName name="IQ_PERCENT_CHANGE_EST_FFO_12MONTHS" hidden="1">"c1828"</definedName>
    <definedName name="IQ_PERCENT_CHANGE_EST_FFO_12MONTHS_CIQ" hidden="1">"c3769"</definedName>
    <definedName name="IQ_PERCENT_CHANGE_EST_FFO_18MONTHS" hidden="1">"c1829"</definedName>
    <definedName name="IQ_PERCENT_CHANGE_EST_FFO_18MONTHS_CIQ" hidden="1">"c3770"</definedName>
    <definedName name="IQ_PERCENT_CHANGE_EST_FFO_3MONTHS" hidden="1">"c1825"</definedName>
    <definedName name="IQ_PERCENT_CHANGE_EST_FFO_3MONTHS_CIQ" hidden="1">"c3766"</definedName>
    <definedName name="IQ_PERCENT_CHANGE_EST_FFO_6MONTHS" hidden="1">"c1826"</definedName>
    <definedName name="IQ_PERCENT_CHANGE_EST_FFO_6MONTHS_CIQ" hidden="1">"c3767"</definedName>
    <definedName name="IQ_PERCENT_CHANGE_EST_FFO_9MONTHS" hidden="1">"c1827"</definedName>
    <definedName name="IQ_PERCENT_CHANGE_EST_FFO_9MONTHS_CIQ" hidden="1">"c3768"</definedName>
    <definedName name="IQ_PERCENT_CHANGE_EST_FFO_DAY" hidden="1">"c1822"</definedName>
    <definedName name="IQ_PERCENT_CHANGE_EST_FFO_DAY_CIQ" hidden="1">"c3764"</definedName>
    <definedName name="IQ_PERCENT_CHANGE_EST_FFO_MONTH" hidden="1">"c1824"</definedName>
    <definedName name="IQ_PERCENT_CHANGE_EST_FFO_MONTH_CIQ" hidden="1">"c3765"</definedName>
    <definedName name="IQ_PERCENT_CHANGE_EST_FFO_WEEK" hidden="1">"c1823"</definedName>
    <definedName name="IQ_PERCENT_CHANGE_EST_FFO_WEEK_CIQ" hidden="1">"c3795"</definedName>
    <definedName name="IQ_PERCENT_CHANGE_EST_PRICE_TARGET_12MONTHS" hidden="1">"c1844"</definedName>
    <definedName name="IQ_PERCENT_CHANGE_EST_PRICE_TARGET_12MONTHS_CIQ" hidden="1">"c3783"</definedName>
    <definedName name="IQ_PERCENT_CHANGE_EST_PRICE_TARGET_18MONTHS" hidden="1">"c1845"</definedName>
    <definedName name="IQ_PERCENT_CHANGE_EST_PRICE_TARGET_18MONTHS_CIQ" hidden="1">"c3784"</definedName>
    <definedName name="IQ_PERCENT_CHANGE_EST_PRICE_TARGET_3MONTHS" hidden="1">"c1841"</definedName>
    <definedName name="IQ_PERCENT_CHANGE_EST_PRICE_TARGET_3MONTHS_CIQ" hidden="1">"c3780"</definedName>
    <definedName name="IQ_PERCENT_CHANGE_EST_PRICE_TARGET_6MONTHS" hidden="1">"c1842"</definedName>
    <definedName name="IQ_PERCENT_CHANGE_EST_PRICE_TARGET_6MONTHS_CIQ" hidden="1">"c3781"</definedName>
    <definedName name="IQ_PERCENT_CHANGE_EST_PRICE_TARGET_9MONTHS" hidden="1">"c1843"</definedName>
    <definedName name="IQ_PERCENT_CHANGE_EST_PRICE_TARGET_9MONTHS_CIQ" hidden="1">"c3782"</definedName>
    <definedName name="IQ_PERCENT_CHANGE_EST_PRICE_TARGET_DAY" hidden="1">"c1838"</definedName>
    <definedName name="IQ_PERCENT_CHANGE_EST_PRICE_TARGET_DAY_CIQ" hidden="1">"c3778"</definedName>
    <definedName name="IQ_PERCENT_CHANGE_EST_PRICE_TARGET_MONTH" hidden="1">"c1840"</definedName>
    <definedName name="IQ_PERCENT_CHANGE_EST_PRICE_TARGET_MONTH_CIQ" hidden="1">"c3779"</definedName>
    <definedName name="IQ_PERCENT_CHANGE_EST_PRICE_TARGET_WEEK" hidden="1">"c1839"</definedName>
    <definedName name="IQ_PERCENT_CHANGE_EST_PRICE_TARGET_WEEK_CIQ" hidden="1">"c3798"</definedName>
    <definedName name="IQ_PERCENT_CHANGE_EST_RECO_12MONTHS" hidden="1">"c1836"</definedName>
    <definedName name="IQ_PERCENT_CHANGE_EST_RECO_12MONTHS_CIQ" hidden="1">"c3776"</definedName>
    <definedName name="IQ_PERCENT_CHANGE_EST_RECO_18MONTHS" hidden="1">"c1837"</definedName>
    <definedName name="IQ_PERCENT_CHANGE_EST_RECO_18MONTHS_CIQ" hidden="1">"c3777"</definedName>
    <definedName name="IQ_PERCENT_CHANGE_EST_RECO_3MONTHS" hidden="1">"c1833"</definedName>
    <definedName name="IQ_PERCENT_CHANGE_EST_RECO_3MONTHS_CIQ" hidden="1">"c3773"</definedName>
    <definedName name="IQ_PERCENT_CHANGE_EST_RECO_6MONTHS" hidden="1">"c1834"</definedName>
    <definedName name="IQ_PERCENT_CHANGE_EST_RECO_6MONTHS_CIQ" hidden="1">"c3774"</definedName>
    <definedName name="IQ_PERCENT_CHANGE_EST_RECO_9MONTHS" hidden="1">"c1835"</definedName>
    <definedName name="IQ_PERCENT_CHANGE_EST_RECO_9MONTHS_CIQ" hidden="1">"c3775"</definedName>
    <definedName name="IQ_PERCENT_CHANGE_EST_RECO_DAY" hidden="1">"c1830"</definedName>
    <definedName name="IQ_PERCENT_CHANGE_EST_RECO_DAY_CIQ" hidden="1">"c3771"</definedName>
    <definedName name="IQ_PERCENT_CHANGE_EST_RECO_MONTH" hidden="1">"c1832"</definedName>
    <definedName name="IQ_PERCENT_CHANGE_EST_RECO_MONTH_CIQ" hidden="1">"c3772"</definedName>
    <definedName name="IQ_PERCENT_CHANGE_EST_RECO_WEEK" hidden="1">"c1831"</definedName>
    <definedName name="IQ_PERCENT_CHANGE_EST_RECO_WEEK_CIQ" hidden="1">"c3796"</definedName>
    <definedName name="IQ_PERCENT_CHANGE_EST_REV_12MONTHS" hidden="1">"c1796"</definedName>
    <definedName name="IQ_PERCENT_CHANGE_EST_REV_12MONTHS_CIQ" hidden="1">"c3741"</definedName>
    <definedName name="IQ_PERCENT_CHANGE_EST_REV_18MONTHS" hidden="1">"c1797"</definedName>
    <definedName name="IQ_PERCENT_CHANGE_EST_REV_18MONTHS_CIQ" hidden="1">"c3742"</definedName>
    <definedName name="IQ_PERCENT_CHANGE_EST_REV_3MONTHS" hidden="1">"c1793"</definedName>
    <definedName name="IQ_PERCENT_CHANGE_EST_REV_3MONTHS_CIQ" hidden="1">"c3738"</definedName>
    <definedName name="IQ_PERCENT_CHANGE_EST_REV_6MONTHS" hidden="1">"c1794"</definedName>
    <definedName name="IQ_PERCENT_CHANGE_EST_REV_6MONTHS_CIQ" hidden="1">"c3739"</definedName>
    <definedName name="IQ_PERCENT_CHANGE_EST_REV_9MONTHS" hidden="1">"c1795"</definedName>
    <definedName name="IQ_PERCENT_CHANGE_EST_REV_9MONTHS_CIQ" hidden="1">"c3740"</definedName>
    <definedName name="IQ_PERCENT_CHANGE_EST_REV_DAY" hidden="1">"c1790"</definedName>
    <definedName name="IQ_PERCENT_CHANGE_EST_REV_DAY_CIQ" hidden="1">"c3735"</definedName>
    <definedName name="IQ_PERCENT_CHANGE_EST_REV_MONTH" hidden="1">"c1792"</definedName>
    <definedName name="IQ_PERCENT_CHANGE_EST_REV_MONTH_CIQ" hidden="1">"c3737"</definedName>
    <definedName name="IQ_PERCENT_CHANGE_EST_REV_WEEK" hidden="1">"c1791"</definedName>
    <definedName name="IQ_PERCENT_CHANGE_EST_REV_WEEK_CIQ" hidden="1">"c3736"</definedName>
    <definedName name="IQ_PERCENT_INSURED_FDIC" hidden="1">"c6374"</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CIQ" hidden="1">"c3799"</definedName>
    <definedName name="IQ_PRE_OPEN_COST" hidden="1">"c1040"</definedName>
    <definedName name="IQ_PRE_TAX_ACT_OR_EST" hidden="1">"c2221"</definedName>
    <definedName name="IQ_PRE_TAX_ACT_OR_EST_CIQ" hidden="1">"c5064"</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TOT" hidden="1">"c1415"</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EST_CIQ" hidden="1">"c4688"</definedName>
    <definedName name="IQ_PRETAX_GW_INC_HIGH_EST" hidden="1">"c1704"</definedName>
    <definedName name="IQ_PRETAX_GW_INC_HIGH_EST_CIQ" hidden="1">"c4690"</definedName>
    <definedName name="IQ_PRETAX_GW_INC_LOW_EST" hidden="1">"c1705"</definedName>
    <definedName name="IQ_PRETAX_GW_INC_LOW_EST_CIQ" hidden="1">"c4691"</definedName>
    <definedName name="IQ_PRETAX_GW_INC_MEDIAN_EST" hidden="1">"c1703"</definedName>
    <definedName name="IQ_PRETAX_GW_INC_MEDIAN_EST_CIQ" hidden="1">"c4689"</definedName>
    <definedName name="IQ_PRETAX_GW_INC_NUM_EST" hidden="1">"c1706"</definedName>
    <definedName name="IQ_PRETAX_GW_INC_NUM_EST_CIQ" hidden="1">"c4692"</definedName>
    <definedName name="IQ_PRETAX_GW_INC_STDDEV_EST" hidden="1">"c1707"</definedName>
    <definedName name="IQ_PRETAX_GW_INC_STDDEV_EST_CIQ" hidden="1">"c4693"</definedName>
    <definedName name="IQ_PRETAX_INC_EST" hidden="1">"c1695"</definedName>
    <definedName name="IQ_PRETAX_INC_EST_CIQ" hidden="1">"c4681"</definedName>
    <definedName name="IQ_PRETAX_INC_HIGH_EST" hidden="1">"c1697"</definedName>
    <definedName name="IQ_PRETAX_INC_HIGH_EST_CIQ" hidden="1">"c4683"</definedName>
    <definedName name="IQ_PRETAX_INC_LOW_EST" hidden="1">"c1698"</definedName>
    <definedName name="IQ_PRETAX_INC_LOW_EST_CIQ" hidden="1">"c4684"</definedName>
    <definedName name="IQ_PRETAX_INC_MEDIAN_EST" hidden="1">"c1696"</definedName>
    <definedName name="IQ_PRETAX_INC_MEDIAN_EST_CIQ" hidden="1">"c4682"</definedName>
    <definedName name="IQ_PRETAX_INC_NUM_EST" hidden="1">"c1699"</definedName>
    <definedName name="IQ_PRETAX_INC_NUM_EST_CIQ" hidden="1">"c4685"</definedName>
    <definedName name="IQ_PRETAX_INC_STDDEV_EST" hidden="1">"c1700"</definedName>
    <definedName name="IQ_PRETAX_INC_STDDEV_EST_CIQ" hidden="1">"c4686"</definedName>
    <definedName name="IQ_PRETAX_REPORT_INC_EST" hidden="1">"c1709"</definedName>
    <definedName name="IQ_PRETAX_REPORT_INC_EST_CIQ" hidden="1">"c4695"</definedName>
    <definedName name="IQ_PRETAX_REPORT_INC_HIGH_EST" hidden="1">"c1711"</definedName>
    <definedName name="IQ_PRETAX_REPORT_INC_HIGH_EST_CIQ" hidden="1">"c4697"</definedName>
    <definedName name="IQ_PRETAX_REPORT_INC_LOW_EST" hidden="1">"c1712"</definedName>
    <definedName name="IQ_PRETAX_REPORT_INC_LOW_EST_CIQ" hidden="1">"c4698"</definedName>
    <definedName name="IQ_PRETAX_REPORT_INC_MEDIAN_EST" hidden="1">"c1710"</definedName>
    <definedName name="IQ_PRETAX_REPORT_INC_MEDIAN_EST_CIQ" hidden="1">"c4696"</definedName>
    <definedName name="IQ_PRETAX_REPORT_INC_NUM_EST" hidden="1">"c1713"</definedName>
    <definedName name="IQ_PRETAX_REPORT_INC_NUM_EST_CIQ" hidden="1">"c4699"</definedName>
    <definedName name="IQ_PRETAX_REPORT_INC_STDDEV_EST" hidden="1">"c1714"</definedName>
    <definedName name="IQ_PRETAX_REPORT_INC_STDDEV_EST_CIQ" hidden="1">"c4700"</definedName>
    <definedName name="IQ_PRETAX_RETURN_ASSETS_FDIC" hidden="1">"c6731"</definedName>
    <definedName name="IQ_PRICE_CFPS_FWD" hidden="1">"c2237"</definedName>
    <definedName name="IQ_PRICE_CFPS_FWD_CIQ" hidden="1">"c4046"</definedName>
    <definedName name="IQ_PRICE_OVER_BVPS" hidden="1">"c1412"</definedName>
    <definedName name="IQ_PRICE_OVER_LTM_EPS" hidden="1">"c1413"</definedName>
    <definedName name="IQ_PRICE_TARGET" hidden="1">"c82"</definedName>
    <definedName name="IQ_PRICE_TARGET_BOTTOM_UP" hidden="1">"c5486"</definedName>
    <definedName name="IQ_PRICE_TARGET_CIQ" hidden="1">"c3613"</definedName>
    <definedName name="IQ_PRICE_TARGET_REUT" hidden="1">"c3631"</definedName>
    <definedName name="IQ_PRICE_VOLATILITY_EST" hidden="1">"c4492"</definedName>
    <definedName name="IQ_PRICE_VOLATILITY_EST_CIQ" hidden="1">"c5030"</definedName>
    <definedName name="IQ_PRICE_VOLATILITY_HIGH" hidden="1">"c4493"</definedName>
    <definedName name="IQ_PRICE_VOLATILITY_HIGH_CIQ" hidden="1">"c5031"</definedName>
    <definedName name="IQ_PRICE_VOLATILITY_LOW" hidden="1">"c4494"</definedName>
    <definedName name="IQ_PRICE_VOLATILITY_LOW_CIQ" hidden="1">"c5032"</definedName>
    <definedName name="IQ_PRICE_VOLATILITY_MEDIAN" hidden="1">"c4495"</definedName>
    <definedName name="IQ_PRICE_VOLATILITY_MEDIAN_CIQ" hidden="1">"c5033"</definedName>
    <definedName name="IQ_PRICE_VOLATILITY_NUM" hidden="1">"c4496"</definedName>
    <definedName name="IQ_PRICE_VOLATILITY_NUM_CIQ" hidden="1">"c5034"</definedName>
    <definedName name="IQ_PRICE_VOLATILITY_STDDEV" hidden="1">"c4497"</definedName>
    <definedName name="IQ_PRICE_VOLATILITY_STDDEV_CIQ" hidden="1">"c5035"</definedName>
    <definedName name="IQ_PRICEDATE" hidden="1">"c1069"</definedName>
    <definedName name="IQ_PRICING_DATE" hidden="1">"c1613"</definedName>
    <definedName name="IQ_PRIMARY_EPS_TYPE" hidden="1">"c4498"</definedName>
    <definedName name="IQ_PRIMARY_EPS_TYPE_CIQ" hidden="1">"c5036"</definedName>
    <definedName name="IQ_PRIMARY_INDUSTRY" hidden="1">"c1070"</definedName>
    <definedName name="IQ_PRINCIPAL_AMT" hidden="1">"c2157"</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ACT_OR_EST_CIQ" hidden="1">"c5045"</definedName>
    <definedName name="IQ_RECURRING_PROFIT_EST" hidden="1">"c4499"</definedName>
    <definedName name="IQ_RECURRING_PROFIT_EST_CIQ" hidden="1">"c5037"</definedName>
    <definedName name="IQ_RECURRING_PROFIT_GUIDANCE" hidden="1">"c4500"</definedName>
    <definedName name="IQ_RECURRING_PROFIT_GUIDANCE_CIQ" hidden="1">"c5038"</definedName>
    <definedName name="IQ_RECURRING_PROFIT_HIGH_EST" hidden="1">"c4501"</definedName>
    <definedName name="IQ_RECURRING_PROFIT_HIGH_EST_CIQ" hidden="1">"c5039"</definedName>
    <definedName name="IQ_RECURRING_PROFIT_HIGH_GUIDANCE" hidden="1">"c4179"</definedName>
    <definedName name="IQ_RECURRING_PROFIT_HIGH_GUIDANCE_CIQ" hidden="1">"c4591"</definedName>
    <definedName name="IQ_RECURRING_PROFIT_LOW_EST" hidden="1">"c4502"</definedName>
    <definedName name="IQ_RECURRING_PROFIT_LOW_EST_CIQ" hidden="1">"c5040"</definedName>
    <definedName name="IQ_RECURRING_PROFIT_LOW_GUIDANCE" hidden="1">"c4219"</definedName>
    <definedName name="IQ_RECURRING_PROFIT_LOW_GUIDANCE_CIQ" hidden="1">"c4631"</definedName>
    <definedName name="IQ_RECURRING_PROFIT_MEDIAN_EST" hidden="1">"c4503"</definedName>
    <definedName name="IQ_RECURRING_PROFIT_MEDIAN_EST_CIQ" hidden="1">"c5041"</definedName>
    <definedName name="IQ_RECURRING_PROFIT_NUM_EST" hidden="1">"c4504"</definedName>
    <definedName name="IQ_RECURRING_PROFIT_NUM_EST_CIQ" hidden="1">"c5042"</definedName>
    <definedName name="IQ_RECURRING_PROFIT_SHARE_ACT_OR_EST" hidden="1">"c4508"</definedName>
    <definedName name="IQ_RECURRING_PROFIT_SHARE_ACT_OR_EST_CIQ" hidden="1">"c5046"</definedName>
    <definedName name="IQ_RECURRING_PROFIT_SHARE_EST" hidden="1">"c4506"</definedName>
    <definedName name="IQ_RECURRING_PROFIT_SHARE_EST_CIQ" hidden="1">"c5044"</definedName>
    <definedName name="IQ_RECURRING_PROFIT_SHARE_GUIDANCE" hidden="1">"c4509"</definedName>
    <definedName name="IQ_RECURRING_PROFIT_SHARE_GUIDANCE_CIQ" hidden="1">"c5047"</definedName>
    <definedName name="IQ_RECURRING_PROFIT_SHARE_HIGH_EST" hidden="1">"c4510"</definedName>
    <definedName name="IQ_RECURRING_PROFIT_SHARE_HIGH_EST_CIQ" hidden="1">"c5048"</definedName>
    <definedName name="IQ_RECURRING_PROFIT_SHARE_HIGH_GUIDANCE" hidden="1">"c4200"</definedName>
    <definedName name="IQ_RECURRING_PROFIT_SHARE_HIGH_GUIDANCE_CIQ" hidden="1">"c4612"</definedName>
    <definedName name="IQ_RECURRING_PROFIT_SHARE_LOW_EST" hidden="1">"c4511"</definedName>
    <definedName name="IQ_RECURRING_PROFIT_SHARE_LOW_EST_CIQ" hidden="1">"c5049"</definedName>
    <definedName name="IQ_RECURRING_PROFIT_SHARE_LOW_GUIDANCE" hidden="1">"c4240"</definedName>
    <definedName name="IQ_RECURRING_PROFIT_SHARE_LOW_GUIDANCE_CIQ" hidden="1">"c4652"</definedName>
    <definedName name="IQ_RECURRING_PROFIT_SHARE_MEDIAN_EST" hidden="1">"c4512"</definedName>
    <definedName name="IQ_RECURRING_PROFIT_SHARE_MEDIAN_EST_CIQ" hidden="1">"c5050"</definedName>
    <definedName name="IQ_RECURRING_PROFIT_SHARE_NUM_EST" hidden="1">"c4513"</definedName>
    <definedName name="IQ_RECURRING_PROFIT_SHARE_NUM_EST_CIQ" hidden="1">"c5051"</definedName>
    <definedName name="IQ_RECURRING_PROFIT_SHARE_STDDEV_EST" hidden="1">"c4514"</definedName>
    <definedName name="IQ_RECURRING_PROFIT_SHARE_STDDEV_EST_CIQ" hidden="1">"c5052"</definedName>
    <definedName name="IQ_RECURRING_PROFIT_STDDEV_EST" hidden="1">"c4516"</definedName>
    <definedName name="IQ_RECURRING_PROFIT_STDDEV_EST_CIQ" hidden="1">"c5054"</definedName>
    <definedName name="IQ_REDEEM_PREF_STOCK" hidden="1">"c1417"</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AINED_EARNINGS_AVERAGE_EQUITY_FDIC" hidden="1">"c6733"</definedName>
    <definedName name="IQ_RETURN_ASSETS" hidden="1">"c1113"</definedName>
    <definedName name="IQ_RETURN_ASSETS_ACT_OR_EST" hidden="1">"c3585"</definedName>
    <definedName name="IQ_RETURN_ASSETS_BANK" hidden="1">"c1114"</definedName>
    <definedName name="IQ_RETURN_ASSETS_BROK" hidden="1">"c1115"</definedName>
    <definedName name="IQ_RETURN_ASSETS_EST" hidden="1">"c3529"</definedName>
    <definedName name="IQ_RETURN_ASSETS_EST_CIQ" hidden="1">"c3828"</definedName>
    <definedName name="IQ_RETURN_ASSETS_FDIC" hidden="1">"c6730"</definedName>
    <definedName name="IQ_RETURN_ASSETS_FS" hidden="1">"c1116"</definedName>
    <definedName name="IQ_RETURN_ASSETS_GUIDANCE" hidden="1">"c4517"</definedName>
    <definedName name="IQ_RETURN_ASSETS_GUIDANCE_CIQ" hidden="1">"c5055"</definedName>
    <definedName name="IQ_RETURN_ASSETS_HIGH_EST" hidden="1">"c3530"</definedName>
    <definedName name="IQ_RETURN_ASSETS_HIGH_EST_CIQ" hidden="1">"c3830"</definedName>
    <definedName name="IQ_RETURN_ASSETS_HIGH_GUIDANCE" hidden="1">"c4183"</definedName>
    <definedName name="IQ_RETURN_ASSETS_HIGH_GUIDANCE_CIQ" hidden="1">"c4595"</definedName>
    <definedName name="IQ_RETURN_ASSETS_LOW_EST" hidden="1">"c3531"</definedName>
    <definedName name="IQ_RETURN_ASSETS_LOW_EST_CIQ" hidden="1">"c3831"</definedName>
    <definedName name="IQ_RETURN_ASSETS_LOW_GUIDANCE" hidden="1">"c4223"</definedName>
    <definedName name="IQ_RETURN_ASSETS_LOW_GUIDANCE_CIQ" hidden="1">"c4635"</definedName>
    <definedName name="IQ_RETURN_ASSETS_MEDIAN_EST" hidden="1">"c3532"</definedName>
    <definedName name="IQ_RETURN_ASSETS_MEDIAN_EST_CIQ" hidden="1">"c3829"</definedName>
    <definedName name="IQ_RETURN_ASSETS_NUM_EST" hidden="1">"c3527"</definedName>
    <definedName name="IQ_RETURN_ASSETS_NUM_EST_CIQ" hidden="1">"c3832"</definedName>
    <definedName name="IQ_RETURN_ASSETS_STDDEV_EST" hidden="1">"c3528"</definedName>
    <definedName name="IQ_RETURN_ASSETS_STDDEV_EST_CIQ" hidden="1">"c3833"</definedName>
    <definedName name="IQ_RETURN_CAPITAL" hidden="1">"c1117"</definedName>
    <definedName name="IQ_RETURN_EQUITY" hidden="1">"c1118"</definedName>
    <definedName name="IQ_RETURN_EQUITY_ACT_OR_EST" hidden="1">"c3586"</definedName>
    <definedName name="IQ_RETURN_EQUITY_BANK" hidden="1">"c1119"</definedName>
    <definedName name="IQ_RETURN_EQUITY_BROK" hidden="1">"c1120"</definedName>
    <definedName name="IQ_RETURN_EQUITY_EST" hidden="1">"c3535"</definedName>
    <definedName name="IQ_RETURN_EQUITY_EST_CIQ" hidden="1">"c3821"</definedName>
    <definedName name="IQ_RETURN_EQUITY_FDIC" hidden="1">"c6732"</definedName>
    <definedName name="IQ_RETURN_EQUITY_FS" hidden="1">"c1121"</definedName>
    <definedName name="IQ_RETURN_EQUITY_GUIDANCE" hidden="1">"c4518"</definedName>
    <definedName name="IQ_RETURN_EQUITY_GUIDANCE_CIQ" hidden="1">"c5056"</definedName>
    <definedName name="IQ_RETURN_EQUITY_HIGH_EST" hidden="1">"c3536"</definedName>
    <definedName name="IQ_RETURN_EQUITY_HIGH_EST_CIQ" hidden="1">"c3823"</definedName>
    <definedName name="IQ_RETURN_EQUITY_HIGH_GUIDANCE" hidden="1">"c4182"</definedName>
    <definedName name="IQ_RETURN_EQUITY_HIGH_GUIDANCE_CIQ" hidden="1">"c4594"</definedName>
    <definedName name="IQ_RETURN_EQUITY_LOW_EST" hidden="1">"c3537"</definedName>
    <definedName name="IQ_RETURN_EQUITY_LOW_EST_CIQ" hidden="1">"c3824"</definedName>
    <definedName name="IQ_RETURN_EQUITY_LOW_GUIDANCE" hidden="1">"c4222"</definedName>
    <definedName name="IQ_RETURN_EQUITY_LOW_GUIDANCE_CIQ" hidden="1">"c4634"</definedName>
    <definedName name="IQ_RETURN_EQUITY_MEDIAN_EST" hidden="1">"c3538"</definedName>
    <definedName name="IQ_RETURN_EQUITY_MEDIAN_EST_CIQ" hidden="1">"c3822"</definedName>
    <definedName name="IQ_RETURN_EQUITY_NUM_EST" hidden="1">"c3533"</definedName>
    <definedName name="IQ_RETURN_EQUITY_NUM_EST_CIQ" hidden="1">"c3825"</definedName>
    <definedName name="IQ_RETURN_EQUITY_STDDEV_EST" hidden="1">"c3534"</definedName>
    <definedName name="IQ_RETURN_EQUITY_STDDEV_EST_CIQ" hidden="1">"c3826"</definedName>
    <definedName name="IQ_RETURN_INVESTMENT" hidden="1">"c1421"</definedName>
    <definedName name="IQ_REV" hidden="1">"c1122"</definedName>
    <definedName name="IQ_REV_BEFORE_LL" hidden="1">"c1123"</definedName>
    <definedName name="IQ_REV_STDDEV_EST" hidden="1">"c1124"</definedName>
    <definedName name="IQ_REV_STDDEV_EST_CIQ" hidden="1">"c3621"</definedName>
    <definedName name="IQ_REV_STDDEV_EST_REUT" hidden="1">"c3639"</definedName>
    <definedName name="IQ_REV_UTI" hidden="1">"c1125"</definedName>
    <definedName name="IQ_REVALUATION_GAINS_FDIC" hidden="1">"c6428"</definedName>
    <definedName name="IQ_REVALUATION_LOSSES_FDIC" hidden="1">"c6429"</definedName>
    <definedName name="IQ_REVENUE" hidden="1">"c1422"</definedName>
    <definedName name="IQ_REVENUE_ACT_OR_EST" hidden="1">"c2214"</definedName>
    <definedName name="IQ_REVENUE_ACT_OR_EST_CIQ" hidden="1">"c5059"</definedName>
    <definedName name="IQ_REVENUE_EST" hidden="1">"c1126"</definedName>
    <definedName name="IQ_REVENUE_EST_BOTTOM_UP" hidden="1">"c5488"</definedName>
    <definedName name="IQ_REVENUE_EST_CIQ" hidden="1">"c3616"</definedName>
    <definedName name="IQ_REVENUE_EST_REUT" hidden="1">"c3634"</definedName>
    <definedName name="IQ_REVENUE_GUIDANCE" hidden="1">"c4519"</definedName>
    <definedName name="IQ_REVENUE_GUIDANCE_CIQ" hidden="1">"c5057"</definedName>
    <definedName name="IQ_REVENUE_HIGH_EST" hidden="1">"c1127"</definedName>
    <definedName name="IQ_REVENUE_HIGH_EST_CIQ" hidden="1">"c3618"</definedName>
    <definedName name="IQ_REVENUE_HIGH_EST_REUT" hidden="1">"c3636"</definedName>
    <definedName name="IQ_REVENUE_HIGH_GUIDANCE" hidden="1">"c4169"</definedName>
    <definedName name="IQ_REVENUE_HIGH_GUIDANCE_CIQ" hidden="1">"c4581"</definedName>
    <definedName name="IQ_REVENUE_LOW_EST" hidden="1">"c1128"</definedName>
    <definedName name="IQ_REVENUE_LOW_EST_CIQ" hidden="1">"c3619"</definedName>
    <definedName name="IQ_REVENUE_LOW_EST_REUT" hidden="1">"c3637"</definedName>
    <definedName name="IQ_REVENUE_LOW_GUIDANCE" hidden="1">"c4209"</definedName>
    <definedName name="IQ_REVENUE_LOW_GUIDANCE_CIQ" hidden="1">"c4621"</definedName>
    <definedName name="IQ_REVENUE_MEDIAN_EST" hidden="1">"c1662"</definedName>
    <definedName name="IQ_REVENUE_MEDIAN_EST_CIQ" hidden="1">"c3617"</definedName>
    <definedName name="IQ_REVENUE_MEDIAN_EST_REUT" hidden="1">"c3635"</definedName>
    <definedName name="IQ_REVENUE_NUM_EST" hidden="1">"c1129"</definedName>
    <definedName name="IQ_REVENUE_NUM_EST_CIQ" hidden="1">"c3620"</definedName>
    <definedName name="IQ_REVENUE_NUM_EST_REUT" hidden="1">"c3638"</definedName>
    <definedName name="IQ_REVISION_DATE_" hidden="1">39764.6724421296</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_BANK" hidden="1">"c2637"</definedName>
    <definedName name="IQ_SP_BANK_ACTION" hidden="1">"c2636"</definedName>
    <definedName name="IQ_SP_BANK_DATE" hidden="1">"c2635"</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EST" hidden="1">"c4520"</definedName>
    <definedName name="IQ_STOCK_BASED_EST_CIQ" hidden="1">"c5073"</definedName>
    <definedName name="IQ_STOCK_BASED_GA" hidden="1">"c2993"</definedName>
    <definedName name="IQ_STOCK_BASED_HIGH_EST" hidden="1">"c4521"</definedName>
    <definedName name="IQ_STOCK_BASED_HIGH_EST_CIQ" hidden="1">"c5074"</definedName>
    <definedName name="IQ_STOCK_BASED_LOW_EST" hidden="1">"c4522"</definedName>
    <definedName name="IQ_STOCK_BASED_LOW_EST_CIQ" hidden="1">"c5075"</definedName>
    <definedName name="IQ_STOCK_BASED_MEDIAN_EST" hidden="1">"c4523"</definedName>
    <definedName name="IQ_STOCK_BASED_MEDIAN_EST_CIQ" hidden="1">"c5076"</definedName>
    <definedName name="IQ_STOCK_BASED_NUM_EST" hidden="1">"c4524"</definedName>
    <definedName name="IQ_STOCK_BASED_NUM_EST_CIQ" hidden="1">"c5077"</definedName>
    <definedName name="IQ_STOCK_BASED_OTHER" hidden="1">"c2995"</definedName>
    <definedName name="IQ_STOCK_BASED_RD" hidden="1">"c2991"</definedName>
    <definedName name="IQ_STOCK_BASED_SGA" hidden="1">"c2994"</definedName>
    <definedName name="IQ_STOCK_BASED_SM" hidden="1">"c2992"</definedName>
    <definedName name="IQ_STOCK_BASED_STDDEV_EST" hidden="1">"c4525"</definedName>
    <definedName name="IQ_STOCK_BASED_STDDEV_EST_CIQ" hidden="1">"c5078"</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CIQ" hidden="1">"c4661"</definedName>
    <definedName name="IQ_TARGET_PRICE_NUM_REUT" hidden="1">"c5319"</definedName>
    <definedName name="IQ_TARGET_PRICE_STDDEV" hidden="1">"c1654"</definedName>
    <definedName name="IQ_TARGET_PRICE_STDDEV_CIQ" hidden="1">"c4662"</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CIQ" hidden="1">"c4047"</definedName>
    <definedName name="IQ_TEV_EBITDA" hidden="1">"c1222"</definedName>
    <definedName name="IQ_TEV_EBITDA_AVG" hidden="1">"c1223"</definedName>
    <definedName name="IQ_TEV_EBITDA_FWD" hidden="1">"c1224"</definedName>
    <definedName name="IQ_TEV_EBITDA_FWD_CIQ" hidden="1">"c4043"</definedName>
    <definedName name="IQ_TEV_EBITDA_FWD_REUT" hidden="1">"c4050"</definedName>
    <definedName name="IQ_TEV_EMPLOYEE_AVG" hidden="1">"c1225"</definedName>
    <definedName name="IQ_TEV_EST" hidden="1">"c4526"</definedName>
    <definedName name="IQ_TEV_EST_CIQ" hidden="1">"c5079"</definedName>
    <definedName name="IQ_TEV_HIGH_EST" hidden="1">"c4527"</definedName>
    <definedName name="IQ_TEV_HIGH_EST_CIQ" hidden="1">"c5080"</definedName>
    <definedName name="IQ_TEV_LOW_EST" hidden="1">"c4528"</definedName>
    <definedName name="IQ_TEV_LOW_EST_CIQ" hidden="1">"c5081"</definedName>
    <definedName name="IQ_TEV_MEDIAN_EST" hidden="1">"c4529"</definedName>
    <definedName name="IQ_TEV_MEDIAN_EST_CIQ" hidden="1">"c5082"</definedName>
    <definedName name="IQ_TEV_NUM_EST" hidden="1">"c4530"</definedName>
    <definedName name="IQ_TEV_NUM_EST_CIQ" hidden="1">"c5083"</definedName>
    <definedName name="IQ_TEV_STDDEV_EST" hidden="1">"c4531"</definedName>
    <definedName name="IQ_TEV_STDDEV_EST_CIQ" hidden="1">"c5084"</definedName>
    <definedName name="IQ_TEV_TOTAL_REV" hidden="1">"c1226"</definedName>
    <definedName name="IQ_TEV_TOTAL_REV_AVG" hidden="1">"c1227"</definedName>
    <definedName name="IQ_TEV_TOTAL_REV_FWD" hidden="1">"c1228"</definedName>
    <definedName name="IQ_TEV_TOTAL_REV_FWD_CIQ" hidden="1">"c4044"</definedName>
    <definedName name="IQ_TEV_TOTAL_REV_FWD_REUT" hidden="1">"c4051"</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ST" hidden="1">"c4532"</definedName>
    <definedName name="IQ_TOTAL_DEBT_EST_CIQ" hidden="1">"c5085"</definedName>
    <definedName name="IQ_TOTAL_DEBT_EXCL_FIN" hidden="1">"c2937"</definedName>
    <definedName name="IQ_TOTAL_DEBT_GUIDANCE" hidden="1">"c4533"</definedName>
    <definedName name="IQ_TOTAL_DEBT_GUIDANCE_CIQ" hidden="1">"c5086"</definedName>
    <definedName name="IQ_TOTAL_DEBT_HIGH_EST" hidden="1">"c4534"</definedName>
    <definedName name="IQ_TOTAL_DEBT_HIGH_EST_CIQ" hidden="1">"c5087"</definedName>
    <definedName name="IQ_TOTAL_DEBT_HIGH_GUIDANCE" hidden="1">"c4196"</definedName>
    <definedName name="IQ_TOTAL_DEBT_HIGH_GUIDANCE_CIQ" hidden="1">"c4608"</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LOW_EST" hidden="1">"c4535"</definedName>
    <definedName name="IQ_TOTAL_DEBT_LOW_EST_CIQ" hidden="1">"c5088"</definedName>
    <definedName name="IQ_TOTAL_DEBT_LOW_GUIDANCE" hidden="1">"c4236"</definedName>
    <definedName name="IQ_TOTAL_DEBT_LOW_GUIDANCE_CIQ" hidden="1">"c4648"</definedName>
    <definedName name="IQ_TOTAL_DEBT_MEDIAN_EST" hidden="1">"c4536"</definedName>
    <definedName name="IQ_TOTAL_DEBT_MEDIAN_EST_CIQ" hidden="1">"c5089"</definedName>
    <definedName name="IQ_TOTAL_DEBT_NUM_EST" hidden="1">"c4537"</definedName>
    <definedName name="IQ_TOTAL_DEBT_NUM_EST_CIQ" hidden="1">"c5090"</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BT_STDDEV_EST" hidden="1">"c4538"</definedName>
    <definedName name="IQ_TOTAL_DEBT_STDDEV_EST_CIQ" hidden="1">"c5091"</definedName>
    <definedName name="IQ_TOTAL_DEPOSITS" hidden="1">"c1265"</definedName>
    <definedName name="IQ_TOTAL_DEPOSITS_FDIC" hidden="1">"c6342"</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"c1436"</definedName>
    <definedName name="IQ_TOTAL_RISK_BASED_CAPITAL_RATIO_FDIC" hidden="1">"c6747"</definedName>
    <definedName name="IQ_TOTAL_SECURITIES_FDIC" hidden="1">"c6306"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"c2104"</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ir_032305">#REF!</definedName>
    <definedName name="IR_ABCE">#REF!</definedName>
    <definedName name="IR_DER_SSO">#REF!</definedName>
    <definedName name="IR_RD">#REF!</definedName>
    <definedName name="IR_SB">#REF!</definedName>
    <definedName name="IR_SIURB">#REF!</definedName>
    <definedName name="IRPJ">#REF!</definedName>
    <definedName name="Itaú">[31]ITAÚ!$D$21:$T$50</definedName>
    <definedName name="Itau23">'[31]ITAÚ US$ 23MM'!$D$21:$T$66</definedName>
    <definedName name="ITEM" localSheetId="8">'[76]CAPEX CUSTO'!$A$5:$B$118</definedName>
    <definedName name="Item" localSheetId="9">#REF!</definedName>
    <definedName name="Item">#REF!</definedName>
    <definedName name="J" localSheetId="9">#REF!</definedName>
    <definedName name="J">#REF!</definedName>
    <definedName name="Jaar">[67]Parameters!$B$2</definedName>
    <definedName name="Jacareacanga" localSheetId="9">#REF!</definedName>
    <definedName name="Jacareacanga">#REF!</definedName>
    <definedName name="jan">#REF!</definedName>
    <definedName name="Jan03_Cred">[77]Dados!$J$1:$J$65536</definedName>
    <definedName name="Jan03_Deb">[77]Dados!$I$1:$I$65536</definedName>
    <definedName name="JANNN" hidden="1">{"VENTAS1",#N/A,FALSE,"VENTAS";"VENTAS2",#N/A,FALSE,"VENTAS";"VENTAS3",#N/A,FALSE,"VENTAS";"VENTAS4",#N/A,FALSE,"VENTAS";"VENTAS5",#N/A,FALSE,"VENTAS";"VENTAS6",#N/A,FALSE,"VENTAS";"VENTAS7",#N/A,FALSE,"VENTAS";"VENTAS8",#N/A,FALSE,"VENTAS"}</definedName>
    <definedName name="jhlkjh">#REF!</definedName>
    <definedName name="JR_PAGE_ANCHOR_0_1" localSheetId="19">'ABC INSUMOS'!#REF!</definedName>
    <definedName name="JR_PAGE_ANCHOR_0_1">#REF!</definedName>
    <definedName name="jul">#REF!</definedName>
    <definedName name="julio" localSheetId="9">#REF!</definedName>
    <definedName name="julio">#REF!</definedName>
    <definedName name="jun">#REF!</definedName>
    <definedName name="Jun02_Cred">[8]Dados!$T$1:$T$65536</definedName>
    <definedName name="Jun02_Deb">[8]Dados!$S$1:$S$65536</definedName>
    <definedName name="JUNTADECONCRETO" localSheetId="9">#REF!</definedName>
    <definedName name="JUNTADECONCRETO">#REF!</definedName>
    <definedName name="JUNTASDECONCRETO">"$I$13"</definedName>
    <definedName name="K">#REF!</definedName>
    <definedName name="K1_">#REF!</definedName>
    <definedName name="K2_">#REF!</definedName>
    <definedName name="K3_">#REF!</definedName>
    <definedName name="kfkfkfkfk">#REF!</definedName>
    <definedName name="kjhkjlnnoj" hidden="1">{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name="KKKK">#REF!,#REF!</definedName>
    <definedName name="kkkk2">#REF!,#REF!</definedName>
    <definedName name="kkkkkkkk3">#REF!,#REF!</definedName>
    <definedName name="Kvenda" localSheetId="9">#REF!</definedName>
    <definedName name="Kvenda">#REF!</definedName>
    <definedName name="LARANJEIRAS" localSheetId="9">'[78]CUSTO LARANJEIRAS'!$A$3:$N$5</definedName>
    <definedName name="LARANJEIRAS">#REF!</definedName>
    <definedName name="LARGURA" localSheetId="6">#REF!</definedName>
    <definedName name="LARGURA" localSheetId="9">#REF!</definedName>
    <definedName name="LARGURA">#REF!</definedName>
    <definedName name="LARGURAEXCEDENTEESCAVACAO" localSheetId="9">[63]MODELO!$F$12</definedName>
    <definedName name="LARGURAEXCEDENTEESCAVACAO">#REF!</definedName>
    <definedName name="LARGURAEXCEDENTEMAGRO" localSheetId="9">[63]MODELO!$F$13</definedName>
    <definedName name="LARGURAEXCEDENTEMAGRO">#REF!</definedName>
    <definedName name="LARGURAPASSEIO" localSheetId="9">[63]MODELO!$F$15</definedName>
    <definedName name="LARGURAPASSEIO">#REF!</definedName>
    <definedName name="Leopoldina" localSheetId="6">#REF!</definedName>
    <definedName name="Leopoldina" localSheetId="9">#REF!</definedName>
    <definedName name="Leopoldina">#REF!</definedName>
    <definedName name="LIMP_TER">'[23]MC-Dem.-Rem.'!#REF!</definedName>
    <definedName name="LINHAS_DE_RECALQUE" localSheetId="6">#REF!</definedName>
    <definedName name="LINHAS_DE_RECALQUE" localSheetId="9">#REF!</definedName>
    <definedName name="LINHAS_DE_RECALQUE">#REF!</definedName>
    <definedName name="lista">#REF!</definedName>
    <definedName name="lista_corteaterro">#REF!</definedName>
    <definedName name="ll" localSheetId="9">#REF!</definedName>
    <definedName name="ll"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LLLLL">#REF!,#REF!</definedName>
    <definedName name="LLLLLLLLLLLLLLLLLLLLLLL">#REF!,#REF!</definedName>
    <definedName name="LLLLLLLLLLLLLLLLLLLLLLLLLLLLL">#REF!,#REF!</definedName>
    <definedName name="LOTE_01_330">#REF!</definedName>
    <definedName name="LOTE_01_348">#REF!</definedName>
    <definedName name="LOTE_03_323">#REF!</definedName>
    <definedName name="LOTE_05_322">#REF!</definedName>
    <definedName name="LOTE_08_225">#REF!</definedName>
    <definedName name="LOTE_09_0">#REF!</definedName>
    <definedName name="LOTE_09_310">#REF!</definedName>
    <definedName name="LOTE_10_255">#REF!</definedName>
    <definedName name="LOTE_10_318">#REF!</definedName>
    <definedName name="LOTE_10_330">#REF!</definedName>
    <definedName name="LOTE_10_334">#REF!</definedName>
    <definedName name="LOTE_10_345">#REF!</definedName>
    <definedName name="LOTE_11_215">#REF!</definedName>
    <definedName name="LOTE_11_340">#REF!</definedName>
    <definedName name="LOTE_11_342">#REF!</definedName>
    <definedName name="LOTE_11_344">#REF!</definedName>
    <definedName name="LOTE_11_350">#REF!</definedName>
    <definedName name="LOTE1">#REF!</definedName>
    <definedName name="LOTE2">#REF!</definedName>
    <definedName name="LOTES">#REF!</definedName>
    <definedName name="LRANJA" localSheetId="9">'[79]CUSTO ZONA SUL'!$A$3:$N$21</definedName>
    <definedName name="LRANJA">#REF!</definedName>
    <definedName name="LUCRO">#REF!</definedName>
    <definedName name="m">'[80]P&amp;L consolidated'!$D$1</definedName>
    <definedName name="Magconso">[81]Control!$F$25</definedName>
    <definedName name="mai">#REF!</definedName>
    <definedName name="Mai02_Cred">[8]Dados!$R$1:$R$65536</definedName>
    <definedName name="Mai02_Deb">[8]Dados!$Q$1:$Q$65536</definedName>
    <definedName name="mãodeobra" localSheetId="6">#REF!</definedName>
    <definedName name="mãodeobra" localSheetId="9">#REF!</definedName>
    <definedName name="mãodeobra">#REF!</definedName>
    <definedName name="mar">#REF!</definedName>
    <definedName name="Mar02_Cred">[8]Dados!$N$1:$N$65536</definedName>
    <definedName name="Mar02_Deb">[8]Dados!$M$1:$M$65536</definedName>
    <definedName name="Marina">'[16]Quadro II '!#REF!</definedName>
    <definedName name="MAT">#REF!</definedName>
    <definedName name="materiais" localSheetId="6">#REF!</definedName>
    <definedName name="materiais" localSheetId="9">#REF!</definedName>
    <definedName name="materiais">#REF!</definedName>
    <definedName name="máximo">#REF!</definedName>
    <definedName name="máximot">#REF!</definedName>
    <definedName name="MCOD02_020_0010">#REF!</definedName>
    <definedName name="MCOD02_020_0010_1">#REF!</definedName>
    <definedName name="MCOD02_020_0070">#REF!</definedName>
    <definedName name="MCOD02_020_0070_1">#REF!</definedName>
    <definedName name="MCOD02_030_0090">#REF!</definedName>
    <definedName name="MCOD02_030_0090_1">#REF!</definedName>
    <definedName name="MCOD02_030_0100">#REF!</definedName>
    <definedName name="MCOD02_030_0100_1">#REF!</definedName>
    <definedName name="MCOD02_040_0200">#REF!</definedName>
    <definedName name="MCOD02_040_0200_1">#REF!</definedName>
    <definedName name="MCOD02_040_0280">#REF!</definedName>
    <definedName name="MCOD02_040_0280_1">#REF!</definedName>
    <definedName name="MCOD02_040_0921">#REF!</definedName>
    <definedName name="MCOD02_040_0921_1">#REF!</definedName>
    <definedName name="MCOD02_040_1055">#REF!</definedName>
    <definedName name="MCOD02_040_1055_1">#REF!</definedName>
    <definedName name="MCOD02_040_1060">#REF!</definedName>
    <definedName name="MCOD02_040_1060_1">#REF!</definedName>
    <definedName name="MCOD02_040_3790">#REF!</definedName>
    <definedName name="MCOD02_040_3790_1">#REF!</definedName>
    <definedName name="MCOD02_040_3800">#REF!</definedName>
    <definedName name="MCOD02_040_3800_1">#REF!</definedName>
    <definedName name="MCOD02_040_3810">#REF!</definedName>
    <definedName name="MCOD02_040_3810_1">#REF!</definedName>
    <definedName name="MCOD02_040_4510">#REF!</definedName>
    <definedName name="MCOD02_040_4510_1">#REF!</definedName>
    <definedName name="MCOD02_040_4520">#REF!</definedName>
    <definedName name="MCOD02_040_4520_1">#REF!</definedName>
    <definedName name="MCOD02_040_4550">#REF!</definedName>
    <definedName name="MCOD02_040_4550_1">#REF!</definedName>
    <definedName name="MCOD02_040_4620">#REF!</definedName>
    <definedName name="MCOD02_040_4620_1">#REF!</definedName>
    <definedName name="MCOD02_040_4630">#REF!</definedName>
    <definedName name="MCOD02_040_4630_1">#REF!</definedName>
    <definedName name="MCOD02_040_4636">#REF!</definedName>
    <definedName name="MCOD02_040_4636_1">#REF!</definedName>
    <definedName name="MCOD02_040_4690">#REF!</definedName>
    <definedName name="MCOD02_040_4690_1">#REF!</definedName>
    <definedName name="MCOD02_040_7402">#REF!</definedName>
    <definedName name="MCOD02_040_7402_1">#REF!</definedName>
    <definedName name="MCOD02_040_9800">#REF!</definedName>
    <definedName name="MCOD02_040_9800_1">#REF!</definedName>
    <definedName name="MCOD02_040_9802">#REF!</definedName>
    <definedName name="MCOD02_040_9802_1">#REF!</definedName>
    <definedName name="MCOD02_040_9804">#REF!</definedName>
    <definedName name="MCOD02_040_9804_1">#REF!</definedName>
    <definedName name="MCOD02_110_0014">#REF!</definedName>
    <definedName name="MCOD02_110_0014_1">#REF!</definedName>
    <definedName name="MCOD02_110_0054">#REF!</definedName>
    <definedName name="MCOD02_110_0054_1">#REF!</definedName>
    <definedName name="MCOD02_110_0066">#REF!</definedName>
    <definedName name="MCOD02_110_0066_1">#REF!</definedName>
    <definedName name="MCOD02_110_0094">#REF!</definedName>
    <definedName name="MCOD02_110_0094_1">#REF!</definedName>
    <definedName name="MCOD02_110_0106">#REF!</definedName>
    <definedName name="MCOD02_110_0106_1">#REF!</definedName>
    <definedName name="MCOD02_110_0110">#REF!</definedName>
    <definedName name="MCOD02_110_0110_1">#REF!</definedName>
    <definedName name="MCOD02_110_0134">#REF!</definedName>
    <definedName name="MCOD02_110_0134_1">#REF!</definedName>
    <definedName name="MCOD02_110_0146">#REF!</definedName>
    <definedName name="MCOD02_110_0146_1">#REF!</definedName>
    <definedName name="MCOD02_110_0150">#REF!</definedName>
    <definedName name="MCOD02_110_0150_1">#REF!</definedName>
    <definedName name="MCOD02_110_0610">#REF!</definedName>
    <definedName name="MCOD02_110_0610_1">#REF!</definedName>
    <definedName name="MCOD02_110_0620">#REF!</definedName>
    <definedName name="MCOD02_110_0620_1">#REF!</definedName>
    <definedName name="MCOD02_110_0734">#REF!</definedName>
    <definedName name="MCOD02_110_0734_1">#REF!</definedName>
    <definedName name="MCOD02_110_0738">#REF!</definedName>
    <definedName name="MCOD02_110_0738_1">#REF!</definedName>
    <definedName name="MCOD02_110_0750">#REF!</definedName>
    <definedName name="MCOD02_110_0750_1">#REF!</definedName>
    <definedName name="MCOD02_110_1014">#REF!</definedName>
    <definedName name="MCOD02_110_1014_1">#REF!</definedName>
    <definedName name="MCOD02_110_1020">#REF!</definedName>
    <definedName name="MCOD02_110_1020_1">#REF!</definedName>
    <definedName name="MCOD02_110_1164">#REF!</definedName>
    <definedName name="MCOD02_110_1164_1">#REF!</definedName>
    <definedName name="MCOD02_110_1166">#REF!</definedName>
    <definedName name="MCOD02_110_1166_1">#REF!</definedName>
    <definedName name="MCOD02_110_1420">#REF!</definedName>
    <definedName name="MCOD02_110_1420_1">#REF!</definedName>
    <definedName name="MCOD02_110_1426">#REF!</definedName>
    <definedName name="MCOD02_110_1426_1">#REF!</definedName>
    <definedName name="MCOD02_110_1654">#REF!</definedName>
    <definedName name="MCOD02_110_1654_1">#REF!</definedName>
    <definedName name="MCOD02_110_1880">#REF!</definedName>
    <definedName name="MCOD02_110_1880_1">#REF!</definedName>
    <definedName name="MCOD02_110_1974">#REF!</definedName>
    <definedName name="MCOD02_110_1974_1">#REF!</definedName>
    <definedName name="MCOD02_110_1996">#REF!</definedName>
    <definedName name="MCOD02_110_1996_1">#REF!</definedName>
    <definedName name="MCOD02_110_2012">#REF!</definedName>
    <definedName name="MCOD02_110_2012_1">#REF!</definedName>
    <definedName name="MCOD02_110_2016">#REF!</definedName>
    <definedName name="MCOD02_110_2016_1">#REF!</definedName>
    <definedName name="MCOD02_110_2024">#REF!</definedName>
    <definedName name="MCOD02_110_2024_1">#REF!</definedName>
    <definedName name="MCOD02_110_2026">#REF!</definedName>
    <definedName name="MCOD02_110_2026_1">#REF!</definedName>
    <definedName name="MCOD02_110_2310">#REF!</definedName>
    <definedName name="MCOD02_110_2310_1">#REF!</definedName>
    <definedName name="MCOD02_110_2480">#REF!</definedName>
    <definedName name="MCOD02_110_2480_1">#REF!</definedName>
    <definedName name="MCOD02_110_2798">#REF!</definedName>
    <definedName name="MCOD02_110_2798_1">#REF!</definedName>
    <definedName name="MCOD02_110_2806">#REF!</definedName>
    <definedName name="MCOD02_110_2806_1">#REF!</definedName>
    <definedName name="MCOD02_110_2868">#REF!</definedName>
    <definedName name="MCOD02_110_2868_1">#REF!</definedName>
    <definedName name="MCOD02_110_3856">#REF!</definedName>
    <definedName name="MCOD02_110_3856_1">#REF!</definedName>
    <definedName name="MCOD02_110_3908">#REF!</definedName>
    <definedName name="MCOD02_110_3908_1">#REF!</definedName>
    <definedName name="MCOD02_110_3926">#REF!</definedName>
    <definedName name="MCOD02_110_3926_1">#REF!</definedName>
    <definedName name="MCOD02_110_4288">#REF!</definedName>
    <definedName name="MCOD02_110_4288_1">#REF!</definedName>
    <definedName name="MCOD02_110_4296">#REF!</definedName>
    <definedName name="MCOD02_110_4296_1">#REF!</definedName>
    <definedName name="MCOD02_110_4308">#REF!</definedName>
    <definedName name="MCOD02_110_4308_1">#REF!</definedName>
    <definedName name="MCOD02_110_4312">#REF!</definedName>
    <definedName name="MCOD02_110_4312_1">#REF!</definedName>
    <definedName name="MCOD02_110_4320">#REF!</definedName>
    <definedName name="MCOD02_110_4320_1">#REF!</definedName>
    <definedName name="MCOD02_110_4780">#REF!</definedName>
    <definedName name="MCOD02_110_4780_1">#REF!</definedName>
    <definedName name="MCOD02_120_0050">#REF!</definedName>
    <definedName name="MCOD02_120_0050_1">#REF!</definedName>
    <definedName name="MCOD02_120_0060">#REF!</definedName>
    <definedName name="MCOD02_120_0060_1">#REF!</definedName>
    <definedName name="MCOD02_120_0140">#REF!</definedName>
    <definedName name="MCOD02_120_0140_1">#REF!</definedName>
    <definedName name="MCOD02_130_0070">#REF!</definedName>
    <definedName name="MCOD02_130_0070_1">#REF!</definedName>
    <definedName name="MCOD02_130_0080">#REF!</definedName>
    <definedName name="MCOD02_130_0080_1">#REF!</definedName>
    <definedName name="MCOD02_130_0100">#REF!</definedName>
    <definedName name="MCOD02_130_0100_1">#REF!</definedName>
    <definedName name="MCOD02_140_0030">#REF!</definedName>
    <definedName name="MCOD02_140_0030_1">#REF!</definedName>
    <definedName name="MCOD02_140_0080">#REF!</definedName>
    <definedName name="MCOD02_140_0080_1">#REF!</definedName>
    <definedName name="MCOD02_140_0090">#REF!</definedName>
    <definedName name="MCOD02_140_0090_1">#REF!</definedName>
    <definedName name="MCOD02_160_0010">#REF!</definedName>
    <definedName name="MCOD02_160_0010_1">#REF!</definedName>
    <definedName name="MCOD02_160_0110">#REF!</definedName>
    <definedName name="MCOD02_160_0110_1">#REF!</definedName>
    <definedName name="MCOD02_180_0010">#REF!</definedName>
    <definedName name="MCOD02_180_0010_1">#REF!</definedName>
    <definedName name="MCOD02_210_0020">#REF!</definedName>
    <definedName name="MCOD02_210_0020_1">#REF!</definedName>
    <definedName name="MCOD02_210_0030">#REF!</definedName>
    <definedName name="MCOD02_210_0030_1">#REF!</definedName>
    <definedName name="MCOD02_210_0090">#REF!</definedName>
    <definedName name="MCOD02_210_0090_1">#REF!</definedName>
    <definedName name="MCOD02_210_0110">#REF!</definedName>
    <definedName name="MCOD02_210_0110_1">#REF!</definedName>
    <definedName name="MCOD02_210_0310">#REF!</definedName>
    <definedName name="MCOD02_210_0310_1">#REF!</definedName>
    <definedName name="MCOD02_210_0340">#REF!</definedName>
    <definedName name="MCOD02_210_0340_1">#REF!</definedName>
    <definedName name="MCOD02_210_0350">#REF!</definedName>
    <definedName name="MCOD02_210_0350_1">#REF!</definedName>
    <definedName name="MCOD02_210_0360">#REF!</definedName>
    <definedName name="MCOD02_210_0360_1">#REF!</definedName>
    <definedName name="MCOD02_210_0370">#REF!</definedName>
    <definedName name="MCOD02_210_0370_1">#REF!</definedName>
    <definedName name="MCOD02_210_0380">#REF!</definedName>
    <definedName name="MCOD02_210_0380_1">#REF!</definedName>
    <definedName name="MCOD02_210_1620">#REF!</definedName>
    <definedName name="MCOD02_210_1620_1">#REF!</definedName>
    <definedName name="MCOD02_210_1625">#REF!</definedName>
    <definedName name="MCOD02_210_1625_1">#REF!</definedName>
    <definedName name="MCOD02_210_1635">#REF!</definedName>
    <definedName name="MCOD02_210_1635_1">#REF!</definedName>
    <definedName name="MCOD02_210_1637">#REF!</definedName>
    <definedName name="MCOD02_210_1637_1">#REF!</definedName>
    <definedName name="MCOD03_020_0020">#REF!</definedName>
    <definedName name="MCOD03_020_0020_1">#REF!</definedName>
    <definedName name="MCOD05_150_0830">#REF!</definedName>
    <definedName name="MCOD05_150_0830_1">#REF!</definedName>
    <definedName name="MCOD05_150_0840">#REF!</definedName>
    <definedName name="MCOD05_150_0840_1">#REF!</definedName>
    <definedName name="MCODCOTADO01">#REF!</definedName>
    <definedName name="MCODCOTADO01_1">#REF!</definedName>
    <definedName name="MCODCOTADO02">#REF!</definedName>
    <definedName name="MCODCOTADO02_1">#REF!</definedName>
    <definedName name="MCODCOTADO03">#REF!</definedName>
    <definedName name="MCODCOTADO03_1">#REF!</definedName>
    <definedName name="MCODCOTADO04">#REF!</definedName>
    <definedName name="MCODCOTADO04_1">#REF!</definedName>
    <definedName name="MED" localSheetId="6">#REF!</definedName>
    <definedName name="MED">#REF!</definedName>
    <definedName name="Medicao">#REF!</definedName>
    <definedName name="meiofio" localSheetId="9">'[7]DADOS COLETATO'!$E$12</definedName>
    <definedName name="meiofio">#REF!</definedName>
    <definedName name="merito"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MES">#REF!</definedName>
    <definedName name="Mês">[82]Dados!$B$6:$B$18</definedName>
    <definedName name="mmmmm"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MMMMMMMMMMMMMMM">#REF!,#REF!</definedName>
    <definedName name="Mob" localSheetId="9">#REF!</definedName>
    <definedName name="Mob">#REF!</definedName>
    <definedName name="moi">#REF!</definedName>
    <definedName name="mpRenda">#REF!</definedName>
    <definedName name="MTOT02_020_0010">#REF!</definedName>
    <definedName name="MTOT02_020_0010_1">#REF!</definedName>
    <definedName name="MTOT02_020_0070">#REF!</definedName>
    <definedName name="MTOT02_020_0070_1">#REF!</definedName>
    <definedName name="MTOT02_030_0090">#REF!</definedName>
    <definedName name="MTOT02_030_0090_1">#REF!</definedName>
    <definedName name="MTOT02_030_0100">#REF!</definedName>
    <definedName name="MTOT02_030_0100_1">#REF!</definedName>
    <definedName name="MTOT02_040_0200">#REF!</definedName>
    <definedName name="MTOT02_040_0200_1">#REF!</definedName>
    <definedName name="MTOT02_040_0280">#REF!</definedName>
    <definedName name="MTOT02_040_0280_1">#REF!</definedName>
    <definedName name="MTOT02_040_0921">#REF!</definedName>
    <definedName name="MTOT02_040_0921_1">#REF!</definedName>
    <definedName name="MTOT02_040_1055">#REF!</definedName>
    <definedName name="MTOT02_040_1055_1">#REF!</definedName>
    <definedName name="MTOT02_040_1060">#REF!</definedName>
    <definedName name="MTOT02_040_1060_1">#REF!</definedName>
    <definedName name="MTOT02_040_3790">#REF!</definedName>
    <definedName name="MTOT02_040_3790_1">#REF!</definedName>
    <definedName name="MTOT02_040_3800">#REF!</definedName>
    <definedName name="MTOT02_040_3800_1">#REF!</definedName>
    <definedName name="MTOT02_040_3810">#REF!</definedName>
    <definedName name="MTOT02_040_3810_1">#REF!</definedName>
    <definedName name="MTOT02_040_4510">#REF!</definedName>
    <definedName name="MTOT02_040_4510_1">#REF!</definedName>
    <definedName name="MTOT02_040_4520">#REF!</definedName>
    <definedName name="MTOT02_040_4520_1">#REF!</definedName>
    <definedName name="MTOT02_040_4550">#REF!</definedName>
    <definedName name="MTOT02_040_4550_1">#REF!</definedName>
    <definedName name="MTOT02_040_4620">#REF!</definedName>
    <definedName name="MTOT02_040_4620_1">#REF!</definedName>
    <definedName name="MTOT02_040_4630">#REF!</definedName>
    <definedName name="MTOT02_040_4630_1">#REF!</definedName>
    <definedName name="MTOT02_040_4636">#REF!</definedName>
    <definedName name="MTOT02_040_4636_1">#REF!</definedName>
    <definedName name="MTOT02_040_4690">#REF!</definedName>
    <definedName name="MTOT02_040_4690_1">#REF!</definedName>
    <definedName name="MTOT02_040_7402">#REF!</definedName>
    <definedName name="MTOT02_040_7402_1">#REF!</definedName>
    <definedName name="MTOT02_040_9800">#REF!</definedName>
    <definedName name="MTOT02_040_9800_1">#REF!</definedName>
    <definedName name="MTOT02_040_9802">#REF!</definedName>
    <definedName name="MTOT02_040_9802_1">#REF!</definedName>
    <definedName name="MTOT02_040_9804">#REF!</definedName>
    <definedName name="MTOT02_040_9804_1">#REF!</definedName>
    <definedName name="MTOT02_110_0014">#REF!</definedName>
    <definedName name="MTOT02_110_0014_1">#REF!</definedName>
    <definedName name="MTOT02_110_0054">#REF!</definedName>
    <definedName name="MTOT02_110_0054_1">#REF!</definedName>
    <definedName name="MTOT02_110_0066">#REF!</definedName>
    <definedName name="MTOT02_110_0066_1">#REF!</definedName>
    <definedName name="MTOT02_110_0094">#REF!</definedName>
    <definedName name="MTOT02_110_0094_1">#REF!</definedName>
    <definedName name="MTOT02_110_0106">#REF!</definedName>
    <definedName name="MTOT02_110_0106_1">#REF!</definedName>
    <definedName name="MTOT02_110_0110">#REF!</definedName>
    <definedName name="MTOT02_110_0110_1">#REF!</definedName>
    <definedName name="MTOT02_110_0134">#REF!</definedName>
    <definedName name="MTOT02_110_0134_1">#REF!</definedName>
    <definedName name="MTOT02_110_0146">#REF!</definedName>
    <definedName name="MTOT02_110_0146_1">#REF!</definedName>
    <definedName name="MTOT02_110_0150">#REF!</definedName>
    <definedName name="MTOT02_110_0150_1">#REF!</definedName>
    <definedName name="MTOT02_110_0610">#REF!</definedName>
    <definedName name="MTOT02_110_0610_1">#REF!</definedName>
    <definedName name="MTOT02_110_0620">#REF!</definedName>
    <definedName name="MTOT02_110_0620_1">#REF!</definedName>
    <definedName name="MTOT02_110_0734">#REF!</definedName>
    <definedName name="MTOT02_110_0734_1">#REF!</definedName>
    <definedName name="MTOT02_110_0738">#REF!</definedName>
    <definedName name="MTOT02_110_0738_1">#REF!</definedName>
    <definedName name="MTOT02_110_0750">#REF!</definedName>
    <definedName name="MTOT02_110_0750_1">#REF!</definedName>
    <definedName name="MTOT02_110_1014">#REF!</definedName>
    <definedName name="MTOT02_110_1014_1">#REF!</definedName>
    <definedName name="MTOT02_110_1020">#REF!</definedName>
    <definedName name="MTOT02_110_1020_1">#REF!</definedName>
    <definedName name="MTOT02_110_1164">#REF!</definedName>
    <definedName name="MTOT02_110_1164_1">#REF!</definedName>
    <definedName name="MTOT02_110_1166">#REF!</definedName>
    <definedName name="MTOT02_110_1166_1">#REF!</definedName>
    <definedName name="MTOT02_110_1420">#REF!</definedName>
    <definedName name="MTOT02_110_1420_1">#REF!</definedName>
    <definedName name="MTOT02_110_1426">#REF!</definedName>
    <definedName name="MTOT02_110_1426_1">#REF!</definedName>
    <definedName name="MTOT02_110_1654">#REF!</definedName>
    <definedName name="MTOT02_110_1654_1">#REF!</definedName>
    <definedName name="MTOT02_110_1880">#REF!</definedName>
    <definedName name="MTOT02_110_1880_1">#REF!</definedName>
    <definedName name="MTOT02_110_1974">#REF!</definedName>
    <definedName name="MTOT02_110_1974_1">#REF!</definedName>
    <definedName name="MTOT02_110_1996">#REF!</definedName>
    <definedName name="MTOT02_110_1996_1">#REF!</definedName>
    <definedName name="MTOT02_110_2012">#REF!</definedName>
    <definedName name="MTOT02_110_2012_1">#REF!</definedName>
    <definedName name="MTOT02_110_2016">#REF!</definedName>
    <definedName name="MTOT02_110_2016_1">#REF!</definedName>
    <definedName name="MTOT02_110_2024">#REF!</definedName>
    <definedName name="MTOT02_110_2024_1">#REF!</definedName>
    <definedName name="MTOT02_110_2026">#REF!</definedName>
    <definedName name="MTOT02_110_2026_1">#REF!</definedName>
    <definedName name="MTOT02_110_2310">#REF!</definedName>
    <definedName name="MTOT02_110_2310_1">#REF!</definedName>
    <definedName name="MTOT02_110_2480">#REF!</definedName>
    <definedName name="MTOT02_110_2480_1">#REF!</definedName>
    <definedName name="MTOT02_110_2798">#REF!</definedName>
    <definedName name="MTOT02_110_2798_1">#REF!</definedName>
    <definedName name="MTOT02_110_2806">#REF!</definedName>
    <definedName name="MTOT02_110_2806_1">#REF!</definedName>
    <definedName name="MTOT02_110_2868">#REF!</definedName>
    <definedName name="MTOT02_110_2868_1">#REF!</definedName>
    <definedName name="MTOT02_110_3856">#REF!</definedName>
    <definedName name="MTOT02_110_3856_1">#REF!</definedName>
    <definedName name="MTOT02_110_3908">#REF!</definedName>
    <definedName name="MTOT02_110_3908_1">#REF!</definedName>
    <definedName name="MTOT02_110_3926">#REF!</definedName>
    <definedName name="MTOT02_110_3926_1">#REF!</definedName>
    <definedName name="MTOT02_110_4288">#REF!</definedName>
    <definedName name="MTOT02_110_4288_1">#REF!</definedName>
    <definedName name="MTOT02_110_4296">#REF!</definedName>
    <definedName name="MTOT02_110_4296_1">#REF!</definedName>
    <definedName name="MTOT02_110_4308">#REF!</definedName>
    <definedName name="MTOT02_110_4308_1">#REF!</definedName>
    <definedName name="MTOT02_110_4312">#REF!</definedName>
    <definedName name="MTOT02_110_4312_1">#REF!</definedName>
    <definedName name="MTOT02_110_4320">#REF!</definedName>
    <definedName name="MTOT02_110_4320_1">#REF!</definedName>
    <definedName name="MTOT02_110_4780">#REF!</definedName>
    <definedName name="MTOT02_110_4780_1">#REF!</definedName>
    <definedName name="MTOT02_110_610">#REF!</definedName>
    <definedName name="MTOT02_110_610_1">#REF!</definedName>
    <definedName name="MTOT02_120_0050">#REF!</definedName>
    <definedName name="MTOT02_120_0050_1">#REF!</definedName>
    <definedName name="MTOT02_120_0060">#REF!</definedName>
    <definedName name="MTOT02_120_0060_1">#REF!</definedName>
    <definedName name="MTOT02_120_0140">#REF!</definedName>
    <definedName name="MTOT02_120_0140_1">#REF!</definedName>
    <definedName name="MTOT02_130_0070">#REF!</definedName>
    <definedName name="MTOT02_130_0070_1">#REF!</definedName>
    <definedName name="MTOT02_130_0080">#REF!</definedName>
    <definedName name="MTOT02_130_0080_1">#REF!</definedName>
    <definedName name="MTOT02_130_0100">#REF!</definedName>
    <definedName name="MTOT02_130_0100_1">#REF!</definedName>
    <definedName name="MTOT02_140_0030">#REF!</definedName>
    <definedName name="MTOT02_140_0030_1">#REF!</definedName>
    <definedName name="MTOT02_140_0080">#REF!</definedName>
    <definedName name="MTOT02_140_0080_1">#REF!</definedName>
    <definedName name="MTOT02_140_0090">#REF!</definedName>
    <definedName name="MTOT02_140_0090_1">#REF!</definedName>
    <definedName name="MTOT02_160_0010">#REF!</definedName>
    <definedName name="MTOT02_160_0010_1">#REF!</definedName>
    <definedName name="MTOT02_160_0110">#REF!</definedName>
    <definedName name="MTOT02_160_0110_1">#REF!</definedName>
    <definedName name="MTOT02_180_0010">#REF!</definedName>
    <definedName name="MTOT02_180_0010_1">#REF!</definedName>
    <definedName name="MTOT02_210_0020">#REF!</definedName>
    <definedName name="MTOT02_210_0020_1">#REF!</definedName>
    <definedName name="MTOT02_210_0030">#REF!</definedName>
    <definedName name="MTOT02_210_0030_1">#REF!</definedName>
    <definedName name="MTOT02_210_0090">#REF!</definedName>
    <definedName name="MTOT02_210_0090_1">#REF!</definedName>
    <definedName name="MTOT02_210_0110">#REF!</definedName>
    <definedName name="MTOT02_210_0110_1">#REF!</definedName>
    <definedName name="MTOT02_210_0310">#REF!</definedName>
    <definedName name="MTOT02_210_0310_1">#REF!</definedName>
    <definedName name="MTOT02_210_0340">#REF!</definedName>
    <definedName name="MTOT02_210_0340_1">#REF!</definedName>
    <definedName name="MTOT02_210_0350">#REF!</definedName>
    <definedName name="MTOT02_210_0350_1">#REF!</definedName>
    <definedName name="MTOT02_210_0360">#REF!</definedName>
    <definedName name="MTOT02_210_0360_1">#REF!</definedName>
    <definedName name="MTOT02_210_0370">#REF!</definedName>
    <definedName name="MTOT02_210_0370_1">#REF!</definedName>
    <definedName name="MTOT02_210_0380">#REF!</definedName>
    <definedName name="MTOT02_210_0380_1">#REF!</definedName>
    <definedName name="MTOT02_210_1620">#REF!</definedName>
    <definedName name="MTOT02_210_1620_1">#REF!</definedName>
    <definedName name="MTOT02_210_1625">#REF!</definedName>
    <definedName name="MTOT02_210_1625_1">#REF!</definedName>
    <definedName name="MTOT02_210_1635">#REF!</definedName>
    <definedName name="MTOT02_210_1635_1">#REF!</definedName>
    <definedName name="MTOT02_210_1637">#REF!</definedName>
    <definedName name="MTOT02_210_1637_1">#REF!</definedName>
    <definedName name="MTOT02_2140_">#REF!</definedName>
    <definedName name="MTOT02_2140__1">#REF!</definedName>
    <definedName name="MTOT03_020_0020">#REF!</definedName>
    <definedName name="MTOT03_020_0020_1">#REF!</definedName>
    <definedName name="MTOT05_150_0830">#REF!</definedName>
    <definedName name="MTOT05_150_0830_1">#REF!</definedName>
    <definedName name="MTOT05_150_0840">#REF!</definedName>
    <definedName name="MTOT05_150_0840_1">#REF!</definedName>
    <definedName name="MTOTCOTADO01">#REF!</definedName>
    <definedName name="MTOTCOTADO01_1">#REF!</definedName>
    <definedName name="MTOTCOTADO02">#REF!</definedName>
    <definedName name="MTOTCOTADO02_1">#REF!</definedName>
    <definedName name="MTOTCOTADO03">#REF!</definedName>
    <definedName name="MTOTCOTADO03_1">#REF!</definedName>
    <definedName name="MTOTCOTADO04">#REF!</definedName>
    <definedName name="MTOTCOTADO04_1">#REF!</definedName>
    <definedName name="MTOTCOTADO05">#REF!</definedName>
    <definedName name="MTOTCOTADO05_1">#REF!</definedName>
    <definedName name="MTOTCOTADO21">#REF!</definedName>
    <definedName name="MTOTCOTADO21_1">#REF!</definedName>
    <definedName name="MTOTVERBA">#REF!</definedName>
    <definedName name="MTOTVERBA_1">#REF!</definedName>
    <definedName name="Mult">#REF!</definedName>
    <definedName name="n" localSheetId="8">[56]Inputs!$B$23</definedName>
    <definedName name="N" localSheetId="9">'[83]Orçamento Real'!#REF!</definedName>
    <definedName name="N">#REF!</definedName>
    <definedName name="N." localSheetId="6">#REF!</definedName>
    <definedName name="N." localSheetId="9">#REF!</definedName>
    <definedName name="N.">#REF!</definedName>
    <definedName name="nai">#REF!</definedName>
    <definedName name="name">'[84]P&amp;L'!$A$1</definedName>
    <definedName name="NameProj">[85]Inputs!$C$3</definedName>
    <definedName name="NColunas" localSheetId="6">#REF!</definedName>
    <definedName name="NColunas" localSheetId="9">#REF!</definedName>
    <definedName name="NColunas">#REF!</definedName>
    <definedName name="NLinhasPagina" localSheetId="6">#REF!</definedName>
    <definedName name="NLinhasPagina">#REF!</definedName>
    <definedName name="NLinhasRodape">#REF!</definedName>
    <definedName name="NNNNNNNNNNN">#REF!,#REF!</definedName>
    <definedName name="NNNNNNNNNNNN">#REF!,#REF!</definedName>
    <definedName name="NNNNNNNNNNNNNNNN">#REF!,#REF!</definedName>
    <definedName name="No">#REF!</definedName>
    <definedName name="NOME_BI_1">[23]Banco_Insumo!$B$17210</definedName>
    <definedName name="NOME_BI_2">[23]Banco_Insumo!$B$27376</definedName>
    <definedName name="NOME_BI_3">[23]Banco_Insumo!$B$33761</definedName>
    <definedName name="NOME_BI_4">[23]Banco_Insumo!$B$40559</definedName>
    <definedName name="NOME_BS_1">[23]Banco_Servico!$B$28971</definedName>
    <definedName name="NOME_BS_10">[23]Banco_Servico!$B$99986</definedName>
    <definedName name="NOME_BS_2">[23]Banco_Servico!$B$35146</definedName>
    <definedName name="NOME_BS_3">[23]Banco_Servico!$B$42979</definedName>
    <definedName name="NOME_BS_4">[23]Banco_Servico!$B$54316</definedName>
    <definedName name="NOME_BS_5">[23]Banco_Servico!$B$60826</definedName>
    <definedName name="NOME_BS_6">[23]Banco_Servico!$B$68658</definedName>
    <definedName name="NOME_BS_7">[23]Banco_Servico!$B$76490</definedName>
    <definedName name="NOME_BS_8">[23]Banco_Servico!$B$84322</definedName>
    <definedName name="NOME_BS_9">[23]Banco_Servico!$B$92154</definedName>
    <definedName name="nov">#REF!</definedName>
    <definedName name="NOVOBD1">#REF!</definedName>
    <definedName name="Num">#REF!</definedName>
    <definedName name="num_linhas">#REF!</definedName>
    <definedName name="NvsASD">"V2000-12-31"</definedName>
    <definedName name="NvsAutoDrillOk">"VN"</definedName>
    <definedName name="NvsElapsedTime">0.000526967596670147</definedName>
    <definedName name="NvsEndTime">36609.4681793982</definedName>
    <definedName name="NvsInstSpec">"%"</definedName>
    <definedName name="NvsLayoutType">"M3"</definedName>
    <definedName name="NvsNplSpec">"%,X,RZF..,CZF.."</definedName>
    <definedName name="NvsPanelEffdt">"V2000-07-01"</definedName>
    <definedName name="NvsPanelSetid">"VAB"</definedName>
    <definedName name="NvsReqBU">"VAB"</definedName>
    <definedName name="NvsReqBUOnly">"VY"</definedName>
    <definedName name="NvsTransLed">"VN"</definedName>
    <definedName name="NvsTreeASD">"V2000-12-31"</definedName>
    <definedName name="NvsValTbl.ACCOUNT">"GL_ACCOUNT_TBL"</definedName>
    <definedName name="OAAbr">[57]Orcto!$AG$1:$AG$65536</definedName>
    <definedName name="OAAbr03">[49]Orc!$AC$1:$AC$65536</definedName>
    <definedName name="OAAgo">[58]Orcto!$AK$1:$AK$65536</definedName>
    <definedName name="OAAgo03">[49]Orc!$AG$1:$AG$65536</definedName>
    <definedName name="OAbr">[57]Orcto!$R$1:$R$65536</definedName>
    <definedName name="OAbr03">[49]Orc!$P$1:$P$65536</definedName>
    <definedName name="OADez">[14]Orcto!$AO$1:$AO$65536</definedName>
    <definedName name="OADez03">[49]Orc!$AK$1:$AK$65536</definedName>
    <definedName name="OAEqptAbr03">#REF!</definedName>
    <definedName name="OAEqptAgo03">#REF!</definedName>
    <definedName name="OAEqptDez03">#REF!</definedName>
    <definedName name="OAEqptFev03">#REF!</definedName>
    <definedName name="OAEqptJul03">#REF!</definedName>
    <definedName name="OAEqptJun03">#REF!</definedName>
    <definedName name="OAEqptMai03">#REF!</definedName>
    <definedName name="OAEqptMar03">#REF!</definedName>
    <definedName name="OAEqptNov03">#REF!</definedName>
    <definedName name="OAEqptOut03">#REF!</definedName>
    <definedName name="OAEqptSet03">#REF!</definedName>
    <definedName name="OAFev">[86]Orcto!$AE$1:$AE$65536</definedName>
    <definedName name="OAGeproj">#REF!</definedName>
    <definedName name="OAgo">[58]Orcto!$V$1:$V$65536</definedName>
    <definedName name="OAgo03">[49]Orc!$T$1:$T$65536</definedName>
    <definedName name="OAJan">[14]Orcto!$AD$1:$AD$65536</definedName>
    <definedName name="OAJul">[58]Orcto!$AJ$1:$AJ$65536</definedName>
    <definedName name="oajul03">[49]Orc!$AF$1:$AF$65536</definedName>
    <definedName name="OAJun">[58]Orcto!$AI$1:$AI$65536</definedName>
    <definedName name="oajun03">[49]Orc!$AE$1:$AE$65536</definedName>
    <definedName name="OAMai">[60]Orcto!$AH$1:$AH$65536</definedName>
    <definedName name="oamai03">[49]Orc!$AD$1:$AD$65536</definedName>
    <definedName name="OAMar">[57]Orcto!$AF$1:$AF$65536</definedName>
    <definedName name="OAMar03">[49]Orc!$AB$1:$AB$65536</definedName>
    <definedName name="OAnGeproj">#REF!</definedName>
    <definedName name="OANov">[58]Orcto!$AN$1:$AN$65536</definedName>
    <definedName name="OAOut">[58]Orcto!$AM$1:$AM$65536</definedName>
    <definedName name="OASet">[58]Orcto!$AL$1:$AL$65536</definedName>
    <definedName name="OCod">[14]Orcto!$B$1:$B$65536</definedName>
    <definedName name="Octagon">[31]OCTAGON!$D$21:$T$45</definedName>
    <definedName name="ODez">[58]Orcto!$Z$1:$Z$65536</definedName>
    <definedName name="OEqptAbr03">#REF!</definedName>
    <definedName name="OEqptAgo03">#REF!</definedName>
    <definedName name="OEqptDez03">#REF!</definedName>
    <definedName name="OEqptFev03">#REF!</definedName>
    <definedName name="OEqptJan03">#REF!</definedName>
    <definedName name="OEqptJul03">#REF!</definedName>
    <definedName name="OEqptJun03">#REF!</definedName>
    <definedName name="OEqptMai03">#REF!</definedName>
    <definedName name="OEqptMar03">#REF!</definedName>
    <definedName name="OEqptNov03">#REF!</definedName>
    <definedName name="OEqptOut03">#REF!</definedName>
    <definedName name="OEqptSet03">#REF!</definedName>
    <definedName name="OFev">[14]Orcto!$P$1:$P$65536</definedName>
    <definedName name="OFev03">[49]Orc!$N$1:$N$65536</definedName>
    <definedName name="ofic">#REF!</definedName>
    <definedName name="OFICINA">#REF!</definedName>
    <definedName name="OJan">[14]Orcto!$O$1:$O$65536</definedName>
    <definedName name="OJul">[58]Orcto!$U$1:$U$65536</definedName>
    <definedName name="OJul03">[49]Orc!$S$1:$S$65536</definedName>
    <definedName name="OJun">[60]Orcto!$T$1:$T$65536</definedName>
    <definedName name="OJun03">[49]Orc!$R$1:$R$65536</definedName>
    <definedName name="OMai">[57]Orcto!$S$1:$S$65536</definedName>
    <definedName name="OMai03">[49]Orc!$Q$1:$Q$65536</definedName>
    <definedName name="OMar">[86]Orcto!$Q$1:$Q$65536</definedName>
    <definedName name="OMar03">[49]Orc!$O$1:$O$65536</definedName>
    <definedName name="ONov">[58]Orcto!$Y$1:$Y$65536</definedName>
    <definedName name="OO" localSheetId="9">#REF!</definedName>
    <definedName name="OO">#REF!</definedName>
    <definedName name="OOOOOOOOOOOOOOOOO">#REF!,#REF!</definedName>
    <definedName name="OOut">[58]Orcto!$X$1:$X$65536</definedName>
    <definedName name="OPAbr">[58]Orcto!$AU$1:$AU$65536</definedName>
    <definedName name="OPAgo">[58]Orcto!$AY$1:$AY$65536</definedName>
    <definedName name="Opção_02___Tesouro">#REF!</definedName>
    <definedName name="Opção1">[87]Plan2!$E$4:$E$5</definedName>
    <definedName name="Opção2">[87]Plan2!$F$4:$F$5</definedName>
    <definedName name="OPEqptAbr03">#REF!</definedName>
    <definedName name="OPEqptAgo03">#REF!</definedName>
    <definedName name="OPEqptDez03">#REF!</definedName>
    <definedName name="OPEqptJul03">#REF!</definedName>
    <definedName name="OPEqptJun03">#REF!</definedName>
    <definedName name="OPEqptMai03">#REF!</definedName>
    <definedName name="OPEqptMar03">#REF!</definedName>
    <definedName name="OPEqptNov03">#REF!</definedName>
    <definedName name="OPEqptOut03">#REF!</definedName>
    <definedName name="OPEqptSet03">#REF!</definedName>
    <definedName name="OPJul">[58]Orcto!$AX$1:$AX$65536</definedName>
    <definedName name="OPJun">[58]Orcto!$AW$1:$AW$65536</definedName>
    <definedName name="OPMai">[58]Orcto!$AV$1:$AV$65536</definedName>
    <definedName name="OPMar">[58]Orcto!$AT$1:$AT$65536</definedName>
    <definedName name="OPNov">[58]Orcto!$BB$1:$BB$65536</definedName>
    <definedName name="OPOut">[58]Orcto!$BA$1:$BA$65536</definedName>
    <definedName name="OR">'[76]O x R'!$D$4:$BI$280</definedName>
    <definedName name="ORÇ" localSheetId="9">#REF!</definedName>
    <definedName name="ORÇ">#REF!</definedName>
    <definedName name="ORCADO">'[76]CAPEX CUSTO'!$A$5:$CO$119</definedName>
    <definedName name="ORÇAMENTO.BancoRef" hidden="1">#REF!</definedName>
    <definedName name="ORÇAMENTO.CustoUnitario" hidden="1">ROUND(#REF!,15-13*#REF!)</definedName>
    <definedName name="ORÇAMENTO.PrecoUnitarioLicitado" hidden="1">#REF!</definedName>
    <definedName name="Ordem" localSheetId="9">'[88]Resumo do Consolidado'!$O:$P</definedName>
    <definedName name="Ordem">#REF!</definedName>
    <definedName name="origaplic">#REF!</definedName>
    <definedName name="OSet">[58]Orcto!$W$1:$W$65536</definedName>
    <definedName name="out">#REF!</definedName>
    <definedName name="OUTROS" localSheetId="6">#REF!</definedName>
    <definedName name="OUTROS" localSheetId="9">#REF!</definedName>
    <definedName name="OUTROS">#REF!</definedName>
    <definedName name="OUTUBRO">#REF!</definedName>
    <definedName name="OV_Divers">[89]Overige!$U$126,[89]Overige!$U$114,[89]Overige!$U$106</definedName>
    <definedName name="Pacotes">#REF!</definedName>
    <definedName name="PAG" hidden="1">#REF!</definedName>
    <definedName name="Paisagismo_Consulta" localSheetId="6">#REF!</definedName>
    <definedName name="Paisagismo_Consulta" localSheetId="9">#REF!</definedName>
    <definedName name="Paisagismo_Consulta">#REF!</definedName>
    <definedName name="PARALELO">#REF!</definedName>
    <definedName name="PARALELO_1">#REF!</definedName>
    <definedName name="parametros">#REF!</definedName>
    <definedName name="PasteArea">#REF!</definedName>
    <definedName name="pato">[90]Capa!$A$1:$D$137</definedName>
    <definedName name="PATRIMONIO">#REF!</definedName>
    <definedName name="PAVIMENTAÇÃO" localSheetId="9">#REF!</definedName>
    <definedName name="PAVIMENTAÇÃO">#REF!</definedName>
    <definedName name="Payment_Needed">"Pagamento necessário"</definedName>
    <definedName name="PBR" localSheetId="9">#REF!</definedName>
    <definedName name="PBR">#REF!</definedName>
    <definedName name="pbStartPageNumber">1</definedName>
    <definedName name="pbUpdatePageNumbering">TRUE</definedName>
    <definedName name="pcm">[19]Input!$L$11</definedName>
    <definedName name="PConta">#REF!</definedName>
    <definedName name="PeAntAbr">[9]anterior!$AP$1:$AP$65536</definedName>
    <definedName name="PeAntAgo">[9]anterior!$AT$1:$AT$65536</definedName>
    <definedName name="PeAntDez">[9]anterior!$AX$1:$AX$65536</definedName>
    <definedName name="PeAntFev">[9]anterior!$AN$1:$AN$65536</definedName>
    <definedName name="PeAntJan">[10]anterior!$AM$1:$AM$65536</definedName>
    <definedName name="PeAntJul">[9]anterior!$AS$1:$AS$65536</definedName>
    <definedName name="PeAntJun">[9]anterior!$AR$1:$AR$65536</definedName>
    <definedName name="PeAntMai">[9]anterior!$AQ$1:$AQ$65536</definedName>
    <definedName name="PeAntMar">[9]anterior!$AO$1:$AO$65536</definedName>
    <definedName name="PeAntNov">[9]anterior!$AW$1:$AW$65536</definedName>
    <definedName name="PeAntOut">[9]anterior!$AV$1:$AV$65536</definedName>
    <definedName name="PeAntSet">[9]anterior!$AU$1:$AU$65536</definedName>
    <definedName name="PEÇA" localSheetId="9">#REF!</definedName>
    <definedName name="PEÇA">#REF!</definedName>
    <definedName name="pedreira" localSheetId="9">'[7]DADOS COLETATO'!$C$41</definedName>
    <definedName name="pedreira">#REF!</definedName>
    <definedName name="PeFoAbr">[9]forecast!$AK$1:$AK$65536</definedName>
    <definedName name="PeFoAgo">[9]forecast!$AO$1:$AO$65536</definedName>
    <definedName name="PeFoDez">[9]forecast!$AS$1:$AS$65536</definedName>
    <definedName name="PeFoFev">[9]forecast!$AI$1:$AI$65536</definedName>
    <definedName name="PeFoJan">[9]forecast!$AH$1:$AH$65536</definedName>
    <definedName name="PeFoJul">[9]forecast!$AN$1:$AN$65536</definedName>
    <definedName name="PeFoJun">[9]forecast!$AM$1:$AM$65536</definedName>
    <definedName name="PeFoMai">[9]forecast!$AL$1:$AL$65536</definedName>
    <definedName name="PeFoMar">[9]forecast!$AJ$1:$AJ$65536</definedName>
    <definedName name="PeFoNov">[9]forecast!$AR$1:$AR$65536</definedName>
    <definedName name="PeFoOut">[9]forecast!$AQ$1:$AQ$65536</definedName>
    <definedName name="PeFoSet">[9]forecast!$AP$1:$AP$65536</definedName>
    <definedName name="pelicano">#REF!,#REF!</definedName>
    <definedName name="PeOrDez">[91]orçamento!$AM$1:$AM$65536</definedName>
    <definedName name="PeOrFev">[9]orçamento!$AI$1:$AI$65536</definedName>
    <definedName name="PeOrJan">[9]orçamento!$AH$1:$AH$65536</definedName>
    <definedName name="PeOrJul">[92]orçamento!$AH$1:$AH$65536</definedName>
    <definedName name="PeOrJun">[93]orçamento!$AG$1:$AG$65536</definedName>
    <definedName name="PeOrMar">[10]orçamento!$AJ$1:$AJ$65536</definedName>
    <definedName name="PeOrNov">[94]orçamento!$AL$1:$AL$65536</definedName>
    <definedName name="PeOrOut">[95]orçamento!$AK$1:$AK$65536</definedName>
    <definedName name="PeOrSet">[96]orçamento!$AJ$1:$AJ$65536</definedName>
    <definedName name="PERCAPITA" localSheetId="9">#REF!</definedName>
    <definedName name="PERCAPITA">#REF!</definedName>
    <definedName name="PeReAbr">[9]atual!$AQ$1:$AQ$65536</definedName>
    <definedName name="PeReAgo">[9]atual!$AU$1:$AU$65536</definedName>
    <definedName name="PeReDez">[9]atual!$AY$1:$AY$65536</definedName>
    <definedName name="PeReFev">[10]atual!$AO$1:$AO$65536</definedName>
    <definedName name="PeReJan">[9]atual!$AN$1:$AN$65536</definedName>
    <definedName name="PeReJul">[9]atual!$AT$1:$AT$65536</definedName>
    <definedName name="PeReJun">[9]atual!$AS$1:$AS$65536</definedName>
    <definedName name="PeReMai">[9]atual!$AR$1:$AR$65536</definedName>
    <definedName name="PeReMar">[14]Atual!$AT$1:$AT$65536</definedName>
    <definedName name="PeReNov">[9]atual!$AX$1:$AX$65536</definedName>
    <definedName name="PeReOut">[9]atual!$AW$1:$AW$65536</definedName>
    <definedName name="PeReSet">[9]atual!$AV$1:$AV$65536</definedName>
    <definedName name="period">12</definedName>
    <definedName name="Periode">'[11]1. Instellingen'!$B$16</definedName>
    <definedName name="Periodo">[97]Opções!$A$6:$A$8</definedName>
    <definedName name="perpetuityP">[98]WACC_PCM!$C$6</definedName>
    <definedName name="pers5">[74]Summary_T!$E$48</definedName>
    <definedName name="pesobrita" localSheetId="9">'[7]DADOS COLETATO'!$I$42</definedName>
    <definedName name="pesobrita">#REF!</definedName>
    <definedName name="pesoespecifico" localSheetId="9">'[7]DADOS COLETATO'!$I$40</definedName>
    <definedName name="pesoespecifico">#REF!</definedName>
    <definedName name="Pessoar">#REF!</definedName>
    <definedName name="pin">#REF!</definedName>
    <definedName name="PINHEIRO">#REF!</definedName>
    <definedName name="pinheiros">#REF!,#REF!</definedName>
    <definedName name="pl" localSheetId="9">#REF!</definedName>
    <definedName name="pl">#REF!,#REF!</definedName>
    <definedName name="pla">#REF!</definedName>
    <definedName name="PLACAS2">'[23]MC-Sinalização'!#REF!</definedName>
    <definedName name="PLACAS3">'[23]MC-Sinalização'!#REF!</definedName>
    <definedName name="plan">#REF!</definedName>
    <definedName name="plani" localSheetId="9">#REF!</definedName>
    <definedName name="plani">#REF!</definedName>
    <definedName name="planilha" localSheetId="9">#REF!</definedName>
    <definedName name="PLANILHA">#REF!</definedName>
    <definedName name="planilha_01">#REF!</definedName>
    <definedName name="planilha_ta22_antiga">#REF!</definedName>
    <definedName name="planilha3">#REF!</definedName>
    <definedName name="plassarelas">[90]Capa!$A$1:$D$137</definedName>
    <definedName name="Popular" hidden="1">{#N/A,#N/A,FALSE,"Cronograma";#N/A,#N/A,FALSE,"Cronogr. 2"}</definedName>
    <definedName name="ports">'[30]POP cost'!$B$16:$B$407</definedName>
    <definedName name="Poste" localSheetId="9">#REF!</definedName>
    <definedName name="Poste">#REF!</definedName>
    <definedName name="POut03">[13]Orcto!$AS$1:$AS$65536</definedName>
    <definedName name="PPPPPPPPPPPPPPPPPPPP" localSheetId="9">#REF!</definedName>
    <definedName name="PPPPPPPPPPPPPPPPPPPP">#REF!</definedName>
    <definedName name="PPPPPPPPPPPPPPPPPPPPPPPPPPPPPP">#REF!,#REF!</definedName>
    <definedName name="PrazoT">#REF!</definedName>
    <definedName name="Preco" localSheetId="9">#REF!</definedName>
    <definedName name="Preco">#REF!</definedName>
    <definedName name="Predio_02_andares_Consulta" localSheetId="9">[99]Predio_02_andares!$A$8:$F$723</definedName>
    <definedName name="Predio_02_andares_Consulta">#REF!</definedName>
    <definedName name="Preparo_Terreno" localSheetId="6">#REF!</definedName>
    <definedName name="Preparo_Terreno" localSheetId="9">#REF!</definedName>
    <definedName name="Preparo_Terreno">#REF!</definedName>
    <definedName name="Previsao" hidden="1">{"'Índice'!$A$1:$K$49"}</definedName>
    <definedName name="Print_Area_MI" localSheetId="9">[100]qorcamentodnerL1!#REF!</definedName>
    <definedName name="Print_Area_MI">#REF!</definedName>
    <definedName name="PROC_DESC_COMP">IFERROR(IF([23]Composições!XFD1="SERVIÇO",INDEX([101]Banco_Servico!G:XFB,MATCH([23]Composições!XFB1&amp;[23]Composições!XFC1,[101]Banco_Servico!$I:$I,0),3),INDEX([101]Banco_Insumo!G:XFB,MATCH([23]Composições!XFB1&amp;[23]Composições!XFC1,[101]Banco_Insumo!$I:$I,0),3)),"ITEM E OU CÓDIGO ERRADO")</definedName>
    <definedName name="PROC_PREÇO_COMP">IFERROR(IF([23]Composições!XFA1="SERVIÇO",INDEX([101]Banco_Servico!D:XFD,MATCH([23]Composições!XEY1&amp;[23]Composições!XEZ1,[101]Banco_Servico!C:C,0),2),INDEX([101]Banco_Insumo!D:XFD,MATCH([23]Composições!XEY1&amp;[23]Composições!XEZ1,[101]Banco_Insumo!C:C,0),2)),"")</definedName>
    <definedName name="PROCURA_ART">VLOOKUP([23]Memorial!$A$232,[23]Planilha1!$D$38:$E$42,2,FALSE)</definedName>
    <definedName name="PROCURA_DESCRICAO_COMPOSIÇÃO" localSheetId="12">IFERROR(IF([23]Composições!$C1="SERVIÇO",IF(AND([23]Composições!$A1="",[23]Composições!$B1=""),0,IF([23]Composições!$A1="SINAPI",VLOOKUP([23]Composições!$B1,[102]!SINAPI_SERVICO,2,0),IF([23]Composições!$A1="COMPOSIÇÃO",VLOOKUP([23]Composições!$B1,[102]!COMPOSIÇÕES,2,0),IF([23]Composições!$A1="IOPES",VLOOKUP([23]Composições!$B1,[102]!IOPES_SERVICO,2,0),IF([23]Composições!$A1="SETOP",VLOOKUP([23]Composições!$B1,[102]!SETOP_SERVICO,2,0),IF([23]Composições!$A1="SUDECAP",VLOOKUP([23]Composições!$B1,[102]!SUDECAP_SERVICO,2,0),IF([23]Composições!$A1="TCPO",VLOOKUP([23]Composições!$B1,[102]!TCPO_SERVICO,2,0),IF([23]Composições!$A1="COTAÇÃO",VLOOKUP([23]Composições!$B1,[102]!COTACAO,2,0),IF([23]Composições!$A1=[102]!NOME_BS_1,VLOOKUP([23]Composições!$B1,[102]!BANCO_1_SERVICO,2,0),IF([23]Composições!$A1=[102]!NOME_BS_2,VLOOKUP([23]Composições!$B1,[102]!BANCO_2_SERVICO,2,0),IF([23]Composições!$A1=[102]!NOME_BS_3,VLOOKUP([23]Composições!$B1,[102]!BANCO_3_SERVICO,2,0),IF([23]Composições!$A1=[102]!NOME_BS_4,VLOOKUP([23]Composições!$B1,[102]!BANCO_4_SERVICO,2,0),IF([23]Composições!$A1=[102]!NOME_BS_5,VLOOKUP([23]Composições!$B1,[102]!BANCO_5_SERVICO,2,0),IF([23]Composições!$A1=[102]!NOME_BS_6,VLOOKUP([23]Composições!$B1,[102]!BANCO_6_SERVICO,2,0),IF([23]Composições!$A1=[102]!NOME_BS_7,VLOOKUP([23]Composições!$B1,[102]!BANCO_7_SERVICO,2,0),IF([23]Composições!$A1=[102]!NOME_BS_8,VLOOKUP([23]Composições!$B1,[102]!BANCO_8_SERVICO,2,0),IF([23]Composições!$A1=[102]!NOME_BS_9,VLOOKUP([23]Composições!$B1,[102]!BANCO_9_SERVICO,2,0),IF([23]Composições!$A1=[102]!NOME_BS_10,VLOOKUP([23]Composições!$B1,[102]!BANCO_10_SERVICO,2,0),0)))))))))))))))))),IF([23]Composições!XFD1="INSUMO",IF(AND([23]Composições!$A1="",[23]Composições!$B1=""),0,IF([23]Composições!$A1="SINAPI",VLOOKUP([23]Composições!$B1,[102]!SINAPI_INSUMO,2,0),IF([23]Composições!$A1="COMPOSIÇÃO",VLOOKUP([23]Composições!$B1,[102]!COMPOSIÇÕES,2,0),IF([23]Composições!$A1="IOPES",VLOOKUP([23]Composições!$B1,[102]!EMBASA_INSUMO,2,0),IF([23]Composições!$A1="SETOP",VLOOKUP([23]Composições!$B1,[102]!SETOP_INSUMO,2,0),IF([23]Composições!$A1="SUDECAP",VLOOKUP([23]Composições!$B1,[102]!SUDECAP_INSUMO,2,0),IF([23]Composições!$A1="TCPO",VLOOKUP([23]Composições!$B1,[102]!TCPO_INSUMO,2,0),IF([23]Composições!$A1="COTAÇÃO",VLOOKUP([23]Composições!$B1,[102]!COTACAO,2,0),IF([23]Composições!$A1=[102]!NOME_BI_1,VLOOKUP([23]Composições!$B1,[102]!BANCO_1_INSUMO,2,0),IF([23]Composições!$A1=[102]!NOME_BI_2,VLOOKUP([23]Composições!$B1,[102]!BANCO_2_INSUMO,2,0),IF([23]Composições!$A1=[102]!NOME_BI_3,VLOOKUP([23]Composições!$B1,[102]!BANCO_3_INSUMO,2,0),IF([23]Composições!$A1=[102]!NOME_BI_4,VLOOKUP([23]Composições!$B1,[102]!BANCO_4_INSUMO,2,0),IF([23]Composições!$A1=NOME_BI_5,VLOOKUP([23]Composições!$B1,BANCO_5_INSUMO,2,0),IF([23]Composições!$A1=NOME_BI_6,VLOOKUP([23]Composições!$B1,BANCO_6_INSUMO,2,0),IF([23]Composições!$A1=NOME_BI_7,VLOOKUP([23]Composições!$B1,BANCO_7_INSUMO,2,0),IF([23]Composições!$A1=NOME_BI_8,VLOOKUP([23]Composições!$B1,BANCO_8_INSUMO,2,0),IF([23]Composições!$A1=NOME_BI_9,VLOOKUP([23]Composições!$B1,BANCO_8_INSUMO,2,0),IF([23]Composições!$A1=NOME_BI_10,VLOOKUP([23]Composições!$B1,BANCO_10_INSUMO,2,0),0)))))))))))))))))),0)),0)</definedName>
    <definedName name="PROCURA_DESCRICAO_COMPOSIÇÃO" localSheetId="14">IFERROR(IF([23]Composições!$C1="SERVIÇO",IF(AND([23]Composições!$A1="",[23]Composições!$B1=""),0,IF([23]Composições!$A1="SINAPI",VLOOKUP([23]Composições!$B1,SINAPI_SERVICO,2,0),IF([23]Composições!$A1="COMPOSIÇÃO",VLOOKUP([23]Composições!$B1,COMPOSIÇÕES,2,0),IF([23]Composições!$A1="IOPES",VLOOKUP([23]Composições!$B1,IOPES_SERVICO,2,0),IF([23]Composições!$A1="SETOP",VLOOKUP([23]Composições!$B1,SETOP_SERVICO,2,0),IF([23]Composições!$A1="SUDECAP",VLOOKUP([23]Composições!$B1,SUDECAP_SERVICO,2,0),IF([23]Composições!$A1="TCPO",VLOOKUP([23]Composições!$B1,TCPO_SERVICO,2,0),IF([23]Composições!$A1="COTAÇÃO",VLOOKUP([23]Composições!$B1,COTACAO,2,0),IF([23]Composições!$A1=NOME_BS_1,VLOOKUP([23]Composições!$B1,BANCO_1_SERVICO,2,0),IF([23]Composições!$A1=NOME_BS_2,VLOOKUP([23]Composições!$B1,BANCO_2_SERVICO,2,0),IF([23]Composições!$A1=NOME_BS_3,VLOOKUP([23]Composições!$B1,BANCO_3_SERVICO,2,0),IF([23]Composições!$A1=NOME_BS_4,VLOOKUP([23]Composições!$B1,BANCO_4_SERVICO,2,0),IF([23]Composições!$A1=NOME_BS_5,VLOOKUP([23]Composições!$B1,BANCO_5_SERVICO,2,0),IF([23]Composições!$A1=NOME_BS_6,VLOOKUP([23]Composições!$B1,BANCO_6_SERVICO,2,0),IF([23]Composições!$A1=NOME_BS_7,VLOOKUP([23]Composições!$B1,BANCO_7_SERVICO,2,0),IF([23]Composições!$A1=NOME_BS_8,VLOOKUP([23]Composições!$B1,BANCO_8_SERVICO,2,0),IF([23]Composições!$A1=NOME_BS_9,VLOOKUP([23]Composições!$B1,BANCO_9_SERVICO,2,0),IF([23]Composições!$A1=NOME_BS_10,VLOOKUP([23]Composições!$B1,BANCO_10_SERVICO,2,0),0)))))))))))))))))),IF([23]Composições!XFD1="INSUMO",IF(AND([23]Composições!$A1="",[23]Composições!$B1=""),0,IF([23]Composições!$A1="SINAPI",VLOOKUP([23]Composições!$B1,SINAPI_INSUMO,2,0),IF([23]Composições!$A1="COMPOSIÇÃO",VLOOKUP([23]Composições!$B1,COMPOSIÇÕES,2,0),IF([23]Composições!$A1="IOPES",VLOOKUP([23]Composições!$B1,EMBASA_INSUMO,2,0),IF([23]Composições!$A1="SETOP",VLOOKUP([23]Composições!$B1,SETOP_INSUMO,2,0),IF([23]Composições!$A1="SUDECAP",VLOOKUP([23]Composições!$B1,SUDECAP_INSUMO,2,0),IF([23]Composições!$A1="TCPO",VLOOKUP([23]Composições!$B1,TCPO_INSUMO,2,0),IF([23]Composições!$A1="COTAÇÃO",VLOOKUP([23]Composições!$B1,COTACAO,2,0),IF([23]Composições!$A1=NOME_BI_1,VLOOKUP([23]Composições!$B1,BANCO_1_INSUMO,2,0),IF([23]Composições!$A1=NOME_BI_2,VLOOKUP([23]Composições!$B1,BANCO_2_INSUMO,2,0),IF([23]Composições!$A1=NOME_BI_3,VLOOKUP([23]Composições!$B1,BANCO_3_INSUMO,2,0),IF([23]Composições!$A1=NOME_BI_4,VLOOKUP([23]Composições!$B1,BANCO_4_INSUMO,2,0),IF([23]Composições!$A1=NOME_BI_5,VLOOKUP([23]Composições!$B1,BANCO_5_INSUMO,2,0),IF([23]Composições!$A1=NOME_BI_6,VLOOKUP([23]Composições!$B1,BANCO_6_INSUMO,2,0),IF([23]Composições!$A1=NOME_BI_7,VLOOKUP([23]Composições!$B1,BANCO_7_INSUMO,2,0),IF([23]Composições!$A1=NOME_BI_8,VLOOKUP([23]Composições!$B1,BANCO_8_INSUMO,2,0),IF([23]Composições!$A1=NOME_BI_9,VLOOKUP([23]Composições!$B1,BANCO_8_INSUMO,2,0),IF([23]Composições!$A1=NOME_BI_10,VLOOKUP([23]Composições!$B1,BANCO_10_INSUMO,2,0),0)))))))))))))))))),0)),0)</definedName>
    <definedName name="PROCURA_DESCRICAO_COMPOSIÇÃO">IFERROR(IF([23]Composições!$C1="SERVIÇO",IF(AND([23]Composições!$A1="",[23]Composições!$B1=""),0,IF([23]Composições!$A1="SINAPI",VLOOKUP([23]Composições!$B1,SINAPI_SERVICO,2,0),IF([23]Composições!$A1="COMPOSIÇÃO",VLOOKUP([23]Composições!$B1,COMPOSIÇÕES,2,0),IF([23]Composições!$A1="IOPES",VLOOKUP([23]Composições!$B1,IOPES_SERVICO,2,0),IF([23]Composições!$A1="SETOP",VLOOKUP([23]Composições!$B1,SETOP_SERVICO,2,0),IF([23]Composições!$A1="SUDECAP",VLOOKUP([23]Composições!$B1,SUDECAP_SERVICO,2,0),IF([23]Composições!$A1="TCPO",VLOOKUP([23]Composições!$B1,TCPO_SERVICO,2,0),IF([23]Composições!$A1="COTAÇÃO",VLOOKUP([23]Composições!$B1,COTACAO,2,0),IF([23]Composições!$A1=NOME_BS_1,VLOOKUP([23]Composições!$B1,BANCO_1_SERVICO,2,0),IF([23]Composições!$A1=NOME_BS_2,VLOOKUP([23]Composições!$B1,BANCO_2_SERVICO,2,0),IF([23]Composições!$A1=NOME_BS_3,VLOOKUP([23]Composições!$B1,BANCO_3_SERVICO,2,0),IF([23]Composições!$A1=NOME_BS_4,VLOOKUP([23]Composições!$B1,BANCO_4_SERVICO,2,0),IF([23]Composições!$A1=NOME_BS_5,VLOOKUP([23]Composições!$B1,BANCO_5_SERVICO,2,0),IF([23]Composições!$A1=NOME_BS_6,VLOOKUP([23]Composições!$B1,BANCO_6_SERVICO,2,0),IF([23]Composições!$A1=NOME_BS_7,VLOOKUP([23]Composições!$B1,BANCO_7_SERVICO,2,0),IF([23]Composições!$A1=NOME_BS_8,VLOOKUP([23]Composições!$B1,BANCO_8_SERVICO,2,0),IF([23]Composições!$A1=NOME_BS_9,VLOOKUP([23]Composições!$B1,BANCO_9_SERVICO,2,0),IF([23]Composições!$A1=NOME_BS_10,VLOOKUP([23]Composições!$B1,BANCO_10_SERVICO,2,0),0)))))))))))))))))),IF([23]Composições!XFD1="INSUMO",IF(AND([23]Composições!$A1="",[23]Composições!$B1=""),0,IF([23]Composições!$A1="SINAPI",VLOOKUP([23]Composições!$B1,SINAPI_INSUMO,2,0),IF([23]Composições!$A1="COMPOSIÇÃO",VLOOKUP([23]Composições!$B1,COMPOSIÇÕES,2,0),IF([23]Composições!$A1="IOPES",VLOOKUP([23]Composições!$B1,EMBASA_INSUMO,2,0),IF([23]Composições!$A1="SETOP",VLOOKUP([23]Composições!$B1,SETOP_INSUMO,2,0),IF([23]Composições!$A1="SUDECAP",VLOOKUP([23]Composições!$B1,SUDECAP_INSUMO,2,0),IF([23]Composições!$A1="TCPO",VLOOKUP([23]Composições!$B1,TCPO_INSUMO,2,0),IF([23]Composições!$A1="COTAÇÃO",VLOOKUP([23]Composições!$B1,COTACAO,2,0),IF([23]Composições!$A1=NOME_BI_1,VLOOKUP([23]Composições!$B1,BANCO_1_INSUMO,2,0),IF([23]Composições!$A1=NOME_BI_2,VLOOKUP([23]Composições!$B1,BANCO_2_INSUMO,2,0),IF([23]Composições!$A1=NOME_BI_3,VLOOKUP([23]Composições!$B1,BANCO_3_INSUMO,2,0),IF([23]Composições!$A1=NOME_BI_4,VLOOKUP([23]Composições!$B1,BANCO_4_INSUMO,2,0),IF([23]Composições!$A1=NOME_BI_5,VLOOKUP([23]Composições!$B1,BANCO_5_INSUMO,2,0),IF([23]Composições!$A1=NOME_BI_6,VLOOKUP([23]Composições!$B1,BANCO_6_INSUMO,2,0),IF([23]Composições!$A1=NOME_BI_7,VLOOKUP([23]Composições!$B1,BANCO_7_INSUMO,2,0),IF([23]Composições!$A1=NOME_BI_8,VLOOKUP([23]Composições!$B1,BANCO_8_INSUMO,2,0),IF([23]Composições!$A1=NOME_BI_9,VLOOKUP([23]Composições!$B1,BANCO_8_INSUMO,2,0),IF([23]Composições!$A1=NOME_BI_10,VLOOKUP([23]Composições!$B1,BANCO_10_INSUMO,2,0),0)))))))))))))))))),0)),0)</definedName>
    <definedName name="PROCURA_DESCRICAO_MATERIAL">#N/A</definedName>
    <definedName name="PROCURA_DESCRICAO_SERVICO">IFERROR(IF(AND(#REF!="",#REF!=""),0,IF(#REF!="SINAPI",VLOOKUP(#REF!,SINAPI_SERVICO,2,0),IF(#REF!="COMPOSIÇÃO",VLOOKUP(#REF!,COMPOSIÇÕES,2,0),IF(#REF!="IOPES",VLOOKUP(#REF!,IOPES_SERVICO,2,0),IF(#REF!="SETOP",VLOOKUP(#REF!,SETOP_SERVICO,2,0),IF(#REF!="SUDECAP",VLOOKUP(#REF!,SUDECAP_SERVICO,2,0),IF(#REF!="TCPO",VLOOKUP(#REF!,TCPO_SERVICO,2,0),IF(#REF!="COTAÇÃO",VLOOKUP(#REF!,COTACAO,2,0),IF(#REF!=NOME_BS_1,VLOOKUP(#REF!,BANCO_1_SERVICO,2,0),IF(#REF!=NOME_BS_2,VLOOKUP(#REF!,BANCO_2_SERVICO,2,0),IF(#REF!=NOME_BS_3,VLOOKUP(#REF!,BANCO_3_SERVICO,2,0),IF(#REF!=NOME_BS_4,VLOOKUP(#REF!,BANCO_4_SERVICO,2,0),IF(#REF!=NOME_BS_5,VLOOKUP(#REF!,BANCO_5_SERVICO,2,0),IF(#REF!=NOME_BS_6,VLOOKUP(#REF!,BANCO_6_SERVICO,2,0),IF(#REF!=NOME_BS_7,VLOOKUP(#REF!,BANCO_7_SERVICO,2,0),IF(#REF!=NOME_BS_8,VLOOKUP(#REF!,BANCO_8_SERVICO,2,0),IF(#REF!=NOME_BS_9,VLOOKUP(#REF!,BANCO_9_SERVICO,2,0),IF(#REF!=NOME_BS_10,VLOOKUP(#REF!,BANCO_10_SERVICO,2,0),0)))))))))))))))))),0)</definedName>
    <definedName name="PROCURA_PREÇO_COMP_INS" localSheetId="12">IFERROR(IF(AND([23]Composições!$A1="",[23]Composições!$B1=""),0,IF([23]Composições!$A1="SINAPI",VLOOKUP([23]Composições!$B1,[102]!SINAPI_INSUMO,5,0),IF([23]Composições!$A1="COMPOSIÇÃO",VLOOKUP([23]Composições!$B1,[102]!COMPOSIÇÕES,4,0),IF([23]Composições!$A1="IOPES",VLOOKUP([23]Composições!$B1,[102]!EMBASA_INSUMO,5,0),IF([23]Composições!$A1="SETOP",VLOOKUP([23]Composições!$B1,[102]!SETOP_INSUMO,5,0),IF([23]Composições!$A1="SUDECAP",VLOOKUP([23]Composições!$B1,[102]!SUDECAP_INSUMO,5,0),IF([23]Composições!$A1="TCPO",VLOOKUP([23]Composições!$B1,[102]!TCPO_INSUMO,5,0),IF([23]Composições!$A1="COTAÇÃO",VLOOKUP([23]Composições!$B1,[102]!COTACAO,5,0),IF([23]Composições!$A1=[102]!NOME_BI_1,VLOOKUP([23]Composições!$B1,[102]!BANCO_1_INSUMO,5,0),IF([23]Composições!$A1=[102]!NOME_BI_2,VLOOKUP([23]Composições!$B1,[102]!BANCO_2_INSUMO,5,0),IF([23]Composições!$A1=[102]!NOME_BI_3,VLOOKUP([23]Composições!$B1,[102]!BANCO_3_INSUMO,5,0),IF([23]Composições!$A1=[102]!NOME_BI_4,VLOOKUP([23]Composições!$B1,[102]!BANCO_4_INSUMO,5,0),IF([23]Composições!$A1=NOME_BI_5,VLOOKUP([23]Composições!$B1,BANCO_5_INSUMO,5,0),IF([23]Composições!$A1=NOME_BI_6,VLOOKUP([23]Composições!$B1,BANCO_6_INSUMO,5,0),IF([23]Composições!$A1=NOME_BI_7,VLOOKUP([23]Composições!$B1,BANCO_7_INSUMO,5,0),IF([23]Composições!$A1=NOME_BI_8,VLOOKUP([23]Composições!$B1,BANCO_8_INSUMO,5,0),IF([23]Composições!$A1=NOME_BI_9,VLOOKUP([23]Composições!$B1,BANCO_8_INSUMO,5,0),IF([23]Composições!$A1=NOME_BI_10,VLOOKUP([23]Composições!$B1,BANCO_10_INSUMO,5,0),0)))))))))))))))))),0)</definedName>
    <definedName name="PROCURA_PREÇO_COMP_INS" localSheetId="14">IFERROR(IF(AND([23]Composições!$A1="",[23]Composições!$B1=""),0,IF([23]Composições!$A1="SINAPI",VLOOKUP([23]Composições!$B1,SINAPI_INSUMO,5,0),IF([23]Composições!$A1="COMPOSIÇÃO",VLOOKUP([23]Composições!$B1,COMPOSIÇÕES,4,0),IF([23]Composições!$A1="IOPES",VLOOKUP([23]Composições!$B1,EMBASA_INSUMO,5,0),IF([23]Composições!$A1="SETOP",VLOOKUP([23]Composições!$B1,SETOP_INSUMO,5,0),IF([23]Composições!$A1="SUDECAP",VLOOKUP([23]Composições!$B1,SUDECAP_INSUMO,5,0),IF([23]Composições!$A1="TCPO",VLOOKUP([23]Composições!$B1,TCPO_INSUMO,5,0),IF([23]Composições!$A1="COTAÇÃO",VLOOKUP([23]Composições!$B1,COTACAO,5,0),IF([23]Composições!$A1=NOME_BI_1,VLOOKUP([23]Composições!$B1,BANCO_1_INSUMO,5,0),IF([23]Composições!$A1=NOME_BI_2,VLOOKUP([23]Composições!$B1,BANCO_2_INSUMO,5,0),IF([23]Composições!$A1=NOME_BI_3,VLOOKUP([23]Composições!$B1,BANCO_3_INSUMO,5,0),IF([23]Composições!$A1=NOME_BI_4,VLOOKUP([23]Composições!$B1,BANCO_4_INSUMO,5,0),IF([23]Composições!$A1=NOME_BI_5,VLOOKUP([23]Composições!$B1,BANCO_5_INSUMO,5,0),IF([23]Composições!$A1=NOME_BI_6,VLOOKUP([23]Composições!$B1,BANCO_6_INSUMO,5,0),IF([23]Composições!$A1=NOME_BI_7,VLOOKUP([23]Composições!$B1,BANCO_7_INSUMO,5,0),IF([23]Composições!$A1=NOME_BI_8,VLOOKUP([23]Composições!$B1,BANCO_8_INSUMO,5,0),IF([23]Composições!$A1=NOME_BI_9,VLOOKUP([23]Composições!$B1,BANCO_8_INSUMO,5,0),IF([23]Composições!$A1=NOME_BI_10,VLOOKUP([23]Composições!$B1,BANCO_10_INSUMO,5,0),0)))))))))))))))))),0)</definedName>
    <definedName name="PROCURA_PREÇO_COMP_INS">IFERROR(IF(AND([23]Composições!$A1="",[23]Composições!$B1=""),0,IF([23]Composições!$A1="SINAPI",VLOOKUP([23]Composições!$B1,SINAPI_INSUMO,5,0),IF([23]Composições!$A1="COMPOSIÇÃO",VLOOKUP([23]Composições!$B1,COMPOSIÇÕES,4,0),IF([23]Composições!$A1="IOPES",VLOOKUP([23]Composições!$B1,EMBASA_INSUMO,5,0),IF([23]Composições!$A1="SETOP",VLOOKUP([23]Composições!$B1,SETOP_INSUMO,5,0),IF([23]Composições!$A1="SUDECAP",VLOOKUP([23]Composições!$B1,SUDECAP_INSUMO,5,0),IF([23]Composições!$A1="TCPO",VLOOKUP([23]Composições!$B1,TCPO_INSUMO,5,0),IF([23]Composições!$A1="COTAÇÃO",VLOOKUP([23]Composições!$B1,COTACAO,5,0),IF([23]Composições!$A1=NOME_BI_1,VLOOKUP([23]Composições!$B1,BANCO_1_INSUMO,5,0),IF([23]Composições!$A1=NOME_BI_2,VLOOKUP([23]Composições!$B1,BANCO_2_INSUMO,5,0),IF([23]Composições!$A1=NOME_BI_3,VLOOKUP([23]Composições!$B1,BANCO_3_INSUMO,5,0),IF([23]Composições!$A1=NOME_BI_4,VLOOKUP([23]Composições!$B1,BANCO_4_INSUMO,5,0),IF([23]Composições!$A1=NOME_BI_5,VLOOKUP([23]Composições!$B1,BANCO_5_INSUMO,5,0),IF([23]Composições!$A1=NOME_BI_6,VLOOKUP([23]Composições!$B1,BANCO_6_INSUMO,5,0),IF([23]Composições!$A1=NOME_BI_7,VLOOKUP([23]Composições!$B1,BANCO_7_INSUMO,5,0),IF([23]Composições!$A1=NOME_BI_8,VLOOKUP([23]Composições!$B1,BANCO_8_INSUMO,5,0),IF([23]Composições!$A1=NOME_BI_9,VLOOKUP([23]Composições!$B1,BANCO_8_INSUMO,5,0),IF([23]Composições!$A1=NOME_BI_10,VLOOKUP([23]Composições!$B1,BANCO_10_INSUMO,5,0),0)))))))))))))))))),0)</definedName>
    <definedName name="PROCURA_PREÇO_COMP_SER">IFERROR(IF([23]Resumo!$C$3="DESONERADA",IF(AND([23]Composições!$A1="",[23]Composições!$B1=""),0,IF([23]Composições!$A1="SINAPI",VLOOKUP([23]Composições!$B1,SINAPI_SERVICO,5,0),IF([23]Composições!$A1="COMPOSIÇÃO",VLOOKUP([23]Composições!$B1,COMPOSIÇÕES,4,0),IF([23]Composições!$A1="IOPES",VLOOKUP([23]Composições!$B1,IOPES_SERVICO,5,0),IF([23]Composições!$A1="SETOP",VLOOKUP([23]Composições!$B1,SETOP_SERVICO,5,0),IF([23]Composições!$A1="SUDECAP",VLOOKUP([23]Composições!$B1,SUDECAP_SERVICO,5,0),IF([23]Composições!$A1="TCPO",VLOOKUP([23]Composições!$B1,TCPO_SERVICO,5,0),IF([23]Composições!$A1="COTAÇÃO",VLOOKUP([23]Composições!$B1,COTACAO,5,0),IF([23]Composições!$A1=NOME_BS_1,VLOOKUP([23]Composições!$B1,BANCO_1_SERVICO,5,0),IF([23]Composições!$A1=NOME_BS_2,VLOOKUP([23]Composições!$B1,BANCO_2_SERVICO,5,0),IF([23]Composições!$A1=NOME_BS_3,VLOOKUP([23]Composições!$B1,BANCO_3_SERVICO,5,0),IF([23]Composições!$A1=NOME_BS_4,VLOOKUP([23]Composições!$B1,BANCO_4_SERVICO,5,0),IF([23]Composições!$A1=NOME_BS_5,VLOOKUP([23]Composições!$B1,BANCO_5_SERVICO,5,0),IF([23]Composições!$A1=NOME_BS_6,VLOOKUP([23]Composições!$B1,BANCO_6_SERVICO,5,0),IF([23]Composições!$A1=NOME_BS_7,VLOOKUP([23]Composições!$B1,BANCO_7_SERVICO,5,0),IF([23]Composições!$A1=NOME_BS_8,VLOOKUP([23]Composições!$B1,BANCO_8_SERVICO,5,0),IF([23]Composições!$A1=NOME_BS_9,VLOOKUP([23]Composições!$B1,BANCO_9_SERVICO,5,0),IF([23]Composições!$A1=NOME_BS_10,VLOOKUP([23]Composições!$B1,BANCO_10_SERVICO,5,0),0)))))))))))))))))),IF([23]Resumo!$C$3="NÃO DESONERADA",IF(AND([23]Composições!$A1="",[23]Composições!$B1=""),0,IF([23]Composições!$A1="SINAPI",VLOOKUP([23]Composições!$B1,SINAPI_SERVICO,6,0),IF([23]Composições!$A1="COMPOSIÇÃO",VLOOKUP([23]Composições!$B1,COMPOSIÇÕES,4,0),IF([23]Composições!$A1="IOPES",VLOOKUP([23]Composições!$B1,IOPES_SERVICO,6,0),IF([23]Composições!$A1="SETOP",VLOOKUP([23]Composições!$B1,SETOP_SERVICO,6,0),IF([23]Composições!$A1="SUDECAP",VLOOKUP([23]Composições!$B1,SUDECAP_SERVICO,6,0),IF([23]Composições!$A1="TCPO",VLOOKUP([23]Composições!$B1,TCPO_SERVICO,6,0),IF([23]Composições!$A1="COTAÇÃO",VLOOKUP([23]Composições!$B1,COTACAO,5,0),IF([23]Composições!$A1=NOME_BS_1,VLOOKUP([23]Composições!$B1,BANCO_1_SERVICO,6,0),IF([23]Composições!$A1=NOME_BS_2,VLOOKUP([23]Composições!$B1,BANCO_2_SERVICO,6,0),IF([23]Composições!$A1=NOME_BS_3,VLOOKUP([23]Composições!$B1,BANCO_3_SERVICO,6,0),IF([23]Composições!$A1=NOME_BS_4,VLOOKUP([23]Composições!$B1,BANCO_4_SERVICO,6,0),IF([23]Composições!$A1=NOME_BS_5,VLOOKUP([23]Composições!$B1,BANCO_5_SERVICO,6,0),IF([23]Composições!$A1=NOME_BS_6,VLOOKUP([23]Composições!$B1,BANCO_6_SERVICO,6,0),IF([23]Composições!$A1=NOME_BS_7,VLOOKUP([23]Composições!$B1,BANCO_7_SERVICO,6,0),IF([23]Composições!$A1=NOME_BS_8,VLOOKUP([23]Composições!$B1,BANCO_8_SERVICO,6,0),IF([23]Composições!$A1=NOME_BS_9,VLOOKUP([23]Composições!$B1,BANCO_9_SERVICO,6,0),IF([23]Composições!$A1=NOME_BS_10,VLOOKUP([23]Composições!$B1,BANCO_10_SERVICO,6,0),0)))))))))))))))))))),0)</definedName>
    <definedName name="PROCURA_PRECO_COMPOSICAO" localSheetId="12">IFERROR(IF([23]Composições!$C1="SERVIÇO",[102]!PROCURA_PREÇO_COMP_SER,IF([23]Composições!XFA1="INSUMO",'ABC INSUMO'!PROCURA_PREÇO_COMP_INS,0)),0)</definedName>
    <definedName name="PROCURA_PRECO_COMPOSICAO" localSheetId="14">IFERROR(IF([23]Composições!$C1="SERVIÇO",PROCURA_PREÇO_COMP_SER,IF([23]Composições!XFA1="INSUMO",'ABC SERVIÇO'!PROCURA_PREÇO_COMP_INS,0)),0)</definedName>
    <definedName name="PROCURA_PRECO_COMPOSICAO">IFERROR(IF([23]Composições!$C1="SERVIÇO",PROCURA_PREÇO_COMP_SER,IF([23]Composições!XFA1="INSUMO",PROCURA_PREÇO_COMP_INS,0)),0)</definedName>
    <definedName name="PROCURA_PRECO_MATERIAL">#N/A</definedName>
    <definedName name="PROCURA_PRECO_SERVICO">IFERROR(IF([23]Resumo!$C$3="DESONERADA",IF(AND(#REF!="",#REF!=""),0,IF(#REF!="SINAPI",VLOOKUP(#REF!,SINAPI_SERVICO,5,0),IF(#REF!="COMPOSIÇÃO",VLOOKUP(#REF!,COMPOSIÇÕES,4,0),IF(#REF!="IOPES",VLOOKUP(#REF!,IOPES_SERVICO,5,0),IF(#REF!="SETOP",VLOOKUP(#REF!,SETOP_SERVICO,5,0),IF(#REF!="SUDECAP",VLOOKUP(#REF!,SUDECAP_SERVICO,5,0),IF(#REF!="TCPO",VLOOKUP(#REF!,TCPO_SERVICO,5,0),IF(#REF!="COTAÇÃO",VLOOKUP(#REF!,COTACAO,5,0),IF(#REF!=NOME_BS_1,VLOOKUP(#REF!,BANCO_1_SERVICO,5,0),IF(#REF!=NOME_BS_2,VLOOKUP(#REF!,BANCO_2_SERVICO,5,0),IF(#REF!=NOME_BS_3,VLOOKUP(#REF!,BANCO_3_SERVICO,5,0),IF(#REF!=NOME_BS_4,VLOOKUP(#REF!,BANCO_4_SERVICO,5,0),IF(#REF!=NOME_BS_5,VLOOKUP(#REF!,BANCO_5_SERVICO,5,0),IF(#REF!=NOME_BS_6,VLOOKUP(#REF!,BANCO_6_SERVICO,5,0),IF(#REF!=NOME_BS_7,VLOOKUP(#REF!,BANCO_7_SERVICO,5,0),IF(#REF!=NOME_BS_8,VLOOKUP(#REF!,BANCO_8_SERVICO,5,0),IF(#REF!=NOME_BS_9,VLOOKUP(#REF!,BANCO_9_SERVICO,5,0),IF(#REF!=NOME_BS_10,VLOOKUP(#REF!,BANCO_10_SERVICO,5,0),)))))))))))))))))),IF([23]Resumo!$C$3="NÃO DESONERADA",IF(AND(#REF!="",#REF!=""),0,IF(#REF!="SINAPI",VLOOKUP(#REF!,SINAPI_SERVICO,6,0),IF(#REF!="COMPOSIÇÃO",VLOOKUP(#REF!,COMPOSIÇÕES,4,0),IF(#REF!="IOPES",VLOOKUP(#REF!,IOPES_SERVICO,6,0),IF(#REF!="SETOP",VLOOKUP(#REF!,SETOP_SERVICO,6,0),IF(#REF!="SUDECAP",VLOOKUP(#REF!,SUDECAP_SERVICO,6,0),IF(#REF!="TCPO",VLOOKUP(#REF!,TCPO_SERVICO,6,0),IF(#REF!="COTAÇÃO",VLOOKUP(#REF!,COTACAO,5,0),IF(#REF!=NOME_BS_1,VLOOKUP(#REF!,BANCO_1_SERVICO,6,0),IF(#REF!=NOME_BS_2,VLOOKUP(#REF!,BANCO_2_SERVICO,6,0),IF(#REF!=NOME_BS_3,VLOOKUP(#REF!,BANCO_3_SERVICO,6,0),IF(#REF!=NOME_BS_4,VLOOKUP(#REF!,BANCO_4_SERVICO,6,0),IF(#REF!=NOME_BS_5,VLOOKUP(#REF!,BANCO_5_SERVICO,6,0),IF(#REF!=NOME_BS_6,VLOOKUP(#REF!,BANCO_6_SERVICO,6,0),IF(#REF!=NOME_BS_7,VLOOKUP(#REF!,BANCO_7_SERVICO,6,0),IF(#REF!=NOME_BS_8,VLOOKUP(#REF!,BANCO_8_SERVICO,6,0),IF(#REF!=NOME_BS_9,VLOOKUP(#REF!,BANCO_9_SERVICO,6,0),IF(#REF!=NOME_BS_10,VLOOKUP(#REF!,BANCO_10_SERVICO,6,0),)))))))))))))))))),0)),0)</definedName>
    <definedName name="PROCURA_UNIDADE_COMPOSICAO" localSheetId="12">IFERROR(IF([23]Composições!$C1="SERVIÇO",IF(AND([23]Composições!$A1="",[23]Composições!$B1=""),0,IF([23]Composições!$A1="SINAPI",VLOOKUP([23]Composições!$B1,[102]!SINAPI_SERVICO,3,0),IF([23]Composições!$A1="COMPOSIÇÃO",VLOOKUP([23]Composições!$B1,[102]!COMPOSIÇÕES,3,0),IF([23]Composições!$A1="IOPES",VLOOKUP([23]Composições!$B1,[102]!IOPES_SERVICO,3,0),IF([23]Composições!$A1="SETOP",VLOOKUP([23]Composições!$B1,[102]!SETOP_SERVICO,3,0),IF([23]Composições!$A1="SUDECAP",VLOOKUP([23]Composições!$B1,[102]!SUDECAP_SERVICO,3,0),IF([23]Composições!$A1="TCPO",VLOOKUP([23]Composições!$B1,[102]!TCPO_SERVICO,3,0),IF([23]Composições!$A1="COTAÇÃO",VLOOKUP([23]Composições!$B1,[102]!COTACAO,3,0),IF([23]Composições!$A1=[102]!NOME_BS_1,VLOOKUP([23]Composições!$B1,[102]!BANCO_1_SERVICO,3,0),IF([23]Composições!$A1=[102]!NOME_BS_2,VLOOKUP([23]Composições!$B1,[102]!BANCO_2_SERVICO,3,0),IF([23]Composições!$A1=[102]!NOME_BS_3,VLOOKUP([23]Composições!$B1,[102]!BANCO_3_SERVICO,3,0),IF([23]Composições!$A1=[102]!NOME_BS_4,VLOOKUP([23]Composições!$B1,[102]!BANCO_4_SERVICO,3,0),IF([23]Composições!$A1=[102]!NOME_BS_5,VLOOKUP([23]Composições!$B1,[102]!BANCO_5_SERVICO,3,0),IF([23]Composições!$A1=[102]!NOME_BS_6,VLOOKUP([23]Composições!$B1,[102]!BANCO_6_SERVICO,3,0),IF([23]Composições!$A1=[102]!NOME_BS_7,VLOOKUP([23]Composições!$B1,[102]!BANCO_7_SERVICO,3,0),IF([23]Composições!$A1=[102]!NOME_BS_8,VLOOKUP([23]Composições!$B1,[102]!BANCO_8_SERVICO,3,0),IF([23]Composições!$A1=[102]!NOME_BS_9,VLOOKUP([23]Composições!$B1,[102]!BANCO_9_SERVICO,3,0),IF([23]Composições!$A1=[102]!NOME_BS_10,VLOOKUP([23]Composições!$B1,[102]!BANCO_10_SERVICO,3,0),0)))))))))))))))))),IF([23]Composições!XFC1="INSUMO",IF(AND([23]Composições!$A1="",[23]Composições!$B1=""),0,IF([23]Composições!$A1="SINAPI",VLOOKUP([23]Composições!$B1,[102]!SINAPI_INSUMO,3,0),IF([23]Composições!$A1="COMPOSIÇÃO",VLOOKUP([23]Composições!$B1,[102]!COMPOSIÇÕES,3,0),IF([23]Composições!$A1="IOPES",VLOOKUP([23]Composições!$B1,[102]!EMBASA_INSUMO,3,0),IF([23]Composições!$A1="SETOP",VLOOKUP([23]Composições!$B1,[102]!SETOP_INSUMO,3,0),IF([23]Composições!$A1="SUDECAP",VLOOKUP([23]Composições!$B1,[102]!SUDECAP_INSUMO,3,0),IF([23]Composições!$A1="TCPO",VLOOKUP([23]Composições!$B1,[102]!TCPO_INSUMO,3,0),IF([23]Composições!$A1="COTAÇÃO",VLOOKUP([23]Composições!$B1,[102]!COTACAO,3,0),IF([23]Composições!$A1=[102]!NOME_BI_1,VLOOKUP([23]Composições!$B1,[102]!BANCO_1_INSUMO,3,0),IF([23]Composições!$A1=[102]!NOME_BI_2,VLOOKUP([23]Composições!$B1,[102]!BANCO_2_INSUMO,3,0),IF([23]Composições!$A1=[102]!NOME_BI_3,VLOOKUP([23]Composições!$B1,[102]!BANCO_3_INSUMO,3,0),IF([23]Composições!$A1=[102]!NOME_BI_4,VLOOKUP([23]Composições!$B1,[102]!BANCO_4_INSUMO,3,0),IF([23]Composições!$A1=NOME_BI_5,VLOOKUP([23]Composições!$B1,BANCO_5_INSUMO,3,0),IF([23]Composições!$A1=NOME_BI_6,VLOOKUP([23]Composições!$B1,BANCO_6_INSUMO,3,0),IF([23]Composições!$A1=NOME_BI_7,VLOOKUP([23]Composições!$B1,BANCO_7_INSUMO,3,0),IF([23]Composições!$A1=NOME_BI_8,VLOOKUP([23]Composições!$B1,BANCO_8_INSUMO,3,0),IF([23]Composições!$A1=NOME_BI_9,VLOOKUP([23]Composições!$B1,BANCO_8_INSUMO,3,0),IF([23]Composições!$A1=NOME_BI_10,VLOOKUP([23]Composições!$B1,BANCO_10_INSUMO,3,0),0)))))))))))))))))),0)),0)</definedName>
    <definedName name="PROCURA_UNIDADE_COMPOSICAO" localSheetId="14">IFERROR(IF([23]Composições!$C1="SERVIÇO",IF(AND([23]Composições!$A1="",[23]Composições!$B1=""),0,IF([23]Composições!$A1="SINAPI",VLOOKUP([23]Composições!$B1,SINAPI_SERVICO,3,0),IF([23]Composições!$A1="COMPOSIÇÃO",VLOOKUP([23]Composições!$B1,COMPOSIÇÕES,3,0),IF([23]Composições!$A1="IOPES",VLOOKUP([23]Composições!$B1,IOPES_SERVICO,3,0),IF([23]Composições!$A1="SETOP",VLOOKUP([23]Composições!$B1,SETOP_SERVICO,3,0),IF([23]Composições!$A1="SUDECAP",VLOOKUP([23]Composições!$B1,SUDECAP_SERVICO,3,0),IF([23]Composições!$A1="TCPO",VLOOKUP([23]Composições!$B1,TCPO_SERVICO,3,0),IF([23]Composições!$A1="COTAÇÃO",VLOOKUP([23]Composições!$B1,COTACAO,3,0),IF([23]Composições!$A1=NOME_BS_1,VLOOKUP([23]Composições!$B1,BANCO_1_SERVICO,3,0),IF([23]Composições!$A1=NOME_BS_2,VLOOKUP([23]Composições!$B1,BANCO_2_SERVICO,3,0),IF([23]Composições!$A1=NOME_BS_3,VLOOKUP([23]Composições!$B1,BANCO_3_SERVICO,3,0),IF([23]Composições!$A1=NOME_BS_4,VLOOKUP([23]Composições!$B1,BANCO_4_SERVICO,3,0),IF([23]Composições!$A1=NOME_BS_5,VLOOKUP([23]Composições!$B1,BANCO_5_SERVICO,3,0),IF([23]Composições!$A1=NOME_BS_6,VLOOKUP([23]Composições!$B1,BANCO_6_SERVICO,3,0),IF([23]Composições!$A1=NOME_BS_7,VLOOKUP([23]Composições!$B1,BANCO_7_SERVICO,3,0),IF([23]Composições!$A1=NOME_BS_8,VLOOKUP([23]Composições!$B1,BANCO_8_SERVICO,3,0),IF([23]Composições!$A1=NOME_BS_9,VLOOKUP([23]Composições!$B1,BANCO_9_SERVICO,3,0),IF([23]Composições!$A1=NOME_BS_10,VLOOKUP([23]Composições!$B1,BANCO_10_SERVICO,3,0),0)))))))))))))))))),IF([23]Composições!XFC1="INSUMO",IF(AND([23]Composições!$A1="",[23]Composições!$B1=""),0,IF([23]Composições!$A1="SINAPI",VLOOKUP([23]Composições!$B1,SINAPI_INSUMO,3,0),IF([23]Composições!$A1="COMPOSIÇÃO",VLOOKUP([23]Composições!$B1,COMPOSIÇÕES,3,0),IF([23]Composições!$A1="IOPES",VLOOKUP([23]Composições!$B1,EMBASA_INSUMO,3,0),IF([23]Composições!$A1="SETOP",VLOOKUP([23]Composições!$B1,SETOP_INSUMO,3,0),IF([23]Composições!$A1="SUDECAP",VLOOKUP([23]Composições!$B1,SUDECAP_INSUMO,3,0),IF([23]Composições!$A1="TCPO",VLOOKUP([23]Composições!$B1,TCPO_INSUMO,3,0),IF([23]Composições!$A1="COTAÇÃO",VLOOKUP([23]Composições!$B1,COTACAO,3,0),IF([23]Composições!$A1=NOME_BI_1,VLOOKUP([23]Composições!$B1,BANCO_1_INSUMO,3,0),IF([23]Composições!$A1=NOME_BI_2,VLOOKUP([23]Composições!$B1,BANCO_2_INSUMO,3,0),IF([23]Composições!$A1=NOME_BI_3,VLOOKUP([23]Composições!$B1,BANCO_3_INSUMO,3,0),IF([23]Composições!$A1=NOME_BI_4,VLOOKUP([23]Composições!$B1,BANCO_4_INSUMO,3,0),IF([23]Composições!$A1=NOME_BI_5,VLOOKUP([23]Composições!$B1,BANCO_5_INSUMO,3,0),IF([23]Composições!$A1=NOME_BI_6,VLOOKUP([23]Composições!$B1,BANCO_6_INSUMO,3,0),IF([23]Composições!$A1=NOME_BI_7,VLOOKUP([23]Composições!$B1,BANCO_7_INSUMO,3,0),IF([23]Composições!$A1=NOME_BI_8,VLOOKUP([23]Composições!$B1,BANCO_8_INSUMO,3,0),IF([23]Composições!$A1=NOME_BI_9,VLOOKUP([23]Composições!$B1,BANCO_8_INSUMO,3,0),IF([23]Composições!$A1=NOME_BI_10,VLOOKUP([23]Composições!$B1,BANCO_10_INSUMO,3,0),0)))))))))))))))))),0)),0)</definedName>
    <definedName name="PROCURA_UNIDADE_COMPOSICAO">IFERROR(IF([23]Composições!$C1="SERVIÇO",IF(AND([23]Composições!$A1="",[23]Composições!$B1=""),0,IF([23]Composições!$A1="SINAPI",VLOOKUP([23]Composições!$B1,SINAPI_SERVICO,3,0),IF([23]Composições!$A1="COMPOSIÇÃO",VLOOKUP([23]Composições!$B1,COMPOSIÇÕES,3,0),IF([23]Composições!$A1="IOPES",VLOOKUP([23]Composições!$B1,IOPES_SERVICO,3,0),IF([23]Composições!$A1="SETOP",VLOOKUP([23]Composições!$B1,SETOP_SERVICO,3,0),IF([23]Composições!$A1="SUDECAP",VLOOKUP([23]Composições!$B1,SUDECAP_SERVICO,3,0),IF([23]Composições!$A1="TCPO",VLOOKUP([23]Composições!$B1,TCPO_SERVICO,3,0),IF([23]Composições!$A1="COTAÇÃO",VLOOKUP([23]Composições!$B1,COTACAO,3,0),IF([23]Composições!$A1=NOME_BS_1,VLOOKUP([23]Composições!$B1,BANCO_1_SERVICO,3,0),IF([23]Composições!$A1=NOME_BS_2,VLOOKUP([23]Composições!$B1,BANCO_2_SERVICO,3,0),IF([23]Composições!$A1=NOME_BS_3,VLOOKUP([23]Composições!$B1,BANCO_3_SERVICO,3,0),IF([23]Composições!$A1=NOME_BS_4,VLOOKUP([23]Composições!$B1,BANCO_4_SERVICO,3,0),IF([23]Composições!$A1=NOME_BS_5,VLOOKUP([23]Composições!$B1,BANCO_5_SERVICO,3,0),IF([23]Composições!$A1=NOME_BS_6,VLOOKUP([23]Composições!$B1,BANCO_6_SERVICO,3,0),IF([23]Composições!$A1=NOME_BS_7,VLOOKUP([23]Composições!$B1,BANCO_7_SERVICO,3,0),IF([23]Composições!$A1=NOME_BS_8,VLOOKUP([23]Composições!$B1,BANCO_8_SERVICO,3,0),IF([23]Composições!$A1=NOME_BS_9,VLOOKUP([23]Composições!$B1,BANCO_9_SERVICO,3,0),IF([23]Composições!$A1=NOME_BS_10,VLOOKUP([23]Composições!$B1,BANCO_10_SERVICO,3,0),0)))))))))))))))))),IF([23]Composições!XFC1="INSUMO",IF(AND([23]Composições!$A1="",[23]Composições!$B1=""),0,IF([23]Composições!$A1="SINAPI",VLOOKUP([23]Composições!$B1,SINAPI_INSUMO,3,0),IF([23]Composições!$A1="COMPOSIÇÃO",VLOOKUP([23]Composições!$B1,COMPOSIÇÕES,3,0),IF([23]Composições!$A1="IOPES",VLOOKUP([23]Composições!$B1,EMBASA_INSUMO,3,0),IF([23]Composições!$A1="SETOP",VLOOKUP([23]Composições!$B1,SETOP_INSUMO,3,0),IF([23]Composições!$A1="SUDECAP",VLOOKUP([23]Composições!$B1,SUDECAP_INSUMO,3,0),IF([23]Composições!$A1="TCPO",VLOOKUP([23]Composições!$B1,TCPO_INSUMO,3,0),IF([23]Composições!$A1="COTAÇÃO",VLOOKUP([23]Composições!$B1,COTACAO,3,0),IF([23]Composições!$A1=NOME_BI_1,VLOOKUP([23]Composições!$B1,BANCO_1_INSUMO,3,0),IF([23]Composições!$A1=NOME_BI_2,VLOOKUP([23]Composições!$B1,BANCO_2_INSUMO,3,0),IF([23]Composições!$A1=NOME_BI_3,VLOOKUP([23]Composições!$B1,BANCO_3_INSUMO,3,0),IF([23]Composições!$A1=NOME_BI_4,VLOOKUP([23]Composições!$B1,BANCO_4_INSUMO,3,0),IF([23]Composições!$A1=NOME_BI_5,VLOOKUP([23]Composições!$B1,BANCO_5_INSUMO,3,0),IF([23]Composições!$A1=NOME_BI_6,VLOOKUP([23]Composições!$B1,BANCO_6_INSUMO,3,0),IF([23]Composições!$A1=NOME_BI_7,VLOOKUP([23]Composições!$B1,BANCO_7_INSUMO,3,0),IF([23]Composições!$A1=NOME_BI_8,VLOOKUP([23]Composições!$B1,BANCO_8_INSUMO,3,0),IF([23]Composições!$A1=NOME_BI_9,VLOOKUP([23]Composições!$B1,BANCO_8_INSUMO,3,0),IF([23]Composições!$A1=NOME_BI_10,VLOOKUP([23]Composições!$B1,BANCO_10_INSUMO,3,0),0)))))))))))))))))),0)),0)</definedName>
    <definedName name="PROCURA_UNIDADE_MATERIAL">#N/A</definedName>
    <definedName name="PROCURA_UNIDADE_SERVICO">IFERROR(IF(AND(#REF!="",#REF!=""),0,IF(#REF!="SINAPI",VLOOKUP(#REF!,SINAPI_SERVICO,3,0),IF(#REF!="COMPOSIÇÃO",VLOOKUP(#REF!,COMPOSIÇÕES,3,0),IF(#REF!="IOPES",VLOOKUP(#REF!,IOPES_SERVICO,3,0),IF(#REF!="SETOP",VLOOKUP(#REF!,SETOP_SERVICO,3,0),IF(#REF!="SUDECAP",VLOOKUP(#REF!,SUDECAP_SERVICO,3,0),IF(#REF!="TCPO",VLOOKUP(#REF!,TCPO_SERVICO,3,0),IF(#REF!="COTAÇÃO",VLOOKUP(#REF!,COTACAO,3,0),IF(#REF!=NOME_BS_1,VLOOKUP(#REF!,BANCO_1_SERVICO,3,0),IF(#REF!=NOME_BS_2,VLOOKUP(#REF!,BANCO_2_SERVICO,3,0),IF(#REF!=NOME_BS_3,VLOOKUP(#REF!,BANCO_3_SERVICO,3,0),IF(#REF!=NOME_BS_4,VLOOKUP(#REF!,BANCO_4_SERVICO,3,0),IF(#REF!=NOME_BS_5,VLOOKUP(#REF!,BANCO_5_SERVICO,3,0),IF(#REF!=NOME_BS_6,VLOOKUP(#REF!,BANCO_6_SERVICO,3,0),IF(#REF!=NOME_BS_7,VLOOKUP(#REF!,BANCO_7_SERVICO,3,0),IF(#REF!=NOME_BS_8,VLOOKUP(#REF!,BANCO_8_SERVICO,3,0),IF(#REF!=NOME_BS_9,VLOOKUP(#REF!,BANCO_9_SERVICO,3,0),IF(#REF!=NOME_BS_10,VLOOKUP(#REF!,BANCO_10_SERVICO,3,0),0)))))))))))))))))),0)</definedName>
    <definedName name="PROCURAR_DESCRIÇÃO_ADM">IFERROR((IFERROR((IFERROR((IFERROR((INDEX('[103]COMPOSIÇÕES DIVERSAS '!$B:$B,MATCH('[103]COMPOSIÇÃO - ADMINISTRAÇÃO'!$C1,'[103]COMPOSIÇÕES DIVERSAS '!$A:$A,0))),INDEX('[103]MAPA DE COTAÇÃO'!A:A,MATCH('[103]COMPOSIÇÃO - ADMINISTRAÇÃO'!$C1,'[103]MAPA DE COTAÇÃO'!$D:$D,0)))),INDEX('[103]SINAPI- NÃO DESONERADO-COM 20%'!$H:$H,MATCH('[103]COMPOSIÇÃO - ADMINISTRAÇÃO'!$C1,'[103]SINAPI- NÃO DESONERADO-COM 20%'!$G:$G,0)))),INDEX('[103]SINAP - INSUMO NÃO DESONERADO'!$B:$B,MATCH('[103]COMPOSIÇÃO - ADMINISTRAÇÃO'!$C1,'[103]SINAP - INSUMO NÃO DESONERADO'!$A:$A,0)))),INDEX('[103]OUTROS BANCO DE PREÇOS'!$D:$D,MATCH('[103]COMPOSIÇÃO - ADMINISTRAÇÃO'!$C1,'[103]OUTROS BANCO DE PREÇOS'!$B:$B,0)))</definedName>
    <definedName name="PROCURAR_DESCRIÇÃO_CPU">IFERROR((IFERROR((IFERROR((INDEX('[103]MAPA DE COTAÇÃO'!$E:$E,MATCH('[103]COMPOSIÇÕES DIVERSAS '!$D1,'[103]MAPA DE COTAÇÃO'!$D:$D,0))),INDEX('[103]SINAPI- NÃO DESONERADO-COM 20%'!$H:$H,MATCH('[103]COMPOSIÇÕES DIVERSAS '!$D1,'[103]SINAPI- NÃO DESONERADO-COM 20%'!$G:$G,0)))),INDEX('[103]SINAP - INSUMO NÃO DESONERADO'!$B:$B,MATCH('[103]COMPOSIÇÕES DIVERSAS '!$D1,'[103]SINAP - INSUMO NÃO DESONERADO'!$A:$A,0)))),INDEX('[103]OUTROS BANCO DE PREÇOS'!C:C,MATCH('[103]COMPOSIÇÕES DIVERSAS '!C1,'[103]OUTROS BANCO DE PREÇOS'!A:A,0)))</definedName>
    <definedName name="PROCURAR_DESCRITIVO_ORÇAMENTO">IFERROR((IFERROR((IFERROR((IFERROR((INDEX('[103]COMPOSIÇÕES DIVERSAS '!$B:$B,MATCH([103]ORÇAMENTO!$AD1,'[103]COMPOSIÇÕES DIVERSAS '!$A:$A,0))),INDEX('[103]MAPA DE COTAÇÃO'!XEC:XEC,MATCH([103]ORÇAMENTO!$AD1,'[103]MAPA DE COTAÇÃO'!$D:$D,0)))),INDEX('[103]SINAPI- NÃO DESONERADO-COM 20%'!$H:$H,MATCH([103]ORÇAMENTO!$AD1,'[103]SINAPI- NÃO DESONERADO-COM 20%'!$G:$G,0)))),INDEX('[103]SINAP - INSUMO NÃO DESONERADO'!$B:$B,MATCH([103]ORÇAMENTO!$AD1,'[103]SINAP - INSUMO NÃO DESONERADO'!$A:$A,0)))),INDEX('[103]OUTROS BANCO DE PREÇOS'!$D:$D,MATCH([103]ORÇAMENTO!$AD1,'[103]OUTROS BANCO DE PREÇOS'!$B:$B,0)))</definedName>
    <definedName name="PROCURAR_FONTE_ADM">IF('[103]COMPOSIÇÃO - ADMINISTRAÇÃO'!$P1&gt;0,'[103]COMPOSIÇÃO - ADMINISTRAÇÃO'!$P$16,IF('[103]COMPOSIÇÃO - ADMINISTRAÇÃO'!$Q1&gt;0,'[103]COMPOSIÇÃO - ADMINISTRAÇÃO'!$Q$16,IF('[103]COMPOSIÇÃO - ADMINISTRAÇÃO'!$R1&gt;0,'[103]COMPOSIÇÃO - ADMINISTRAÇÃO'!$R$16,IF('[103]COMPOSIÇÃO - ADMINISTRAÇÃO'!$S1&gt;0,'[103]COMPOSIÇÃO - ADMINISTRAÇÃO'!$T1,""))))</definedName>
    <definedName name="PROCURAR_FONTE_CPU">IF('[103]COMPOSIÇÕES DIVERSAS '!J1&gt;0,'[103]COMPOSIÇÕES DIVERSAS '!$L$9,IF('[103]COMPOSIÇÕES DIVERSAS '!K1&gt;0,'[103]COMPOSIÇÕES DIVERSAS '!$M$9,IF('[103]COMPOSIÇÕES DIVERSAS '!L1&gt;0,'[103]COMPOSIÇÕES DIVERSAS '!$N$9,IF('[103]COMPOSIÇÕES DIVERSAS '!M1&gt;0,'[103]COMPOSIÇÕES DIVERSAS '!$P1,""))))</definedName>
    <definedName name="PROCURAR_FONTE_ORÇAMENTO">IF([103]ORÇAMENTO!XFD1="","",IF([103]ORÇAMENTO!U1&lt;&gt;0,[103]ORÇAMENTO!$AY$9,IF([103]ORÇAMENTO!V1&lt;&gt;0,[103]ORÇAMENTO!$AZ$9,IF([103]ORÇAMENTO!W1&lt;&gt;0,[103]ORÇAMENTO!$BA$9,IF([103]ORÇAMENTO!X1&lt;&gt;0,[103]ORÇAMENTO!$BB$9,IF([103]ORÇAMENTO!Y1&lt;&gt;0,[103]ORÇAMENTO!Z1,""))))))</definedName>
    <definedName name="PROCURAR_UND_ADM">IFERROR((IFERROR((IFERROR((IFERROR((INDEX('[103]COMPOSIÇÕES DIVERSAS '!$E:$E,MATCH('[103]COMPOSIÇÃO - ADMINISTRAÇÃO'!$C1,'[103]COMPOSIÇÕES DIVERSAS '!$A:$A,0))),INDEX('[103]MAPA DE COTAÇÃO'!$G:$G,MATCH('[103]COMPOSIÇÃO - ADMINISTRAÇÃO'!$C1,'[103]MAPA DE COTAÇÃO'!$D:$D,0)))),INDEX('[103]SINAPI- NÃO DESONERADO-COM 20%'!$I:$I,MATCH('[103]COMPOSIÇÃO - ADMINISTRAÇÃO'!$C1,'[103]SINAPI- NÃO DESONERADO-COM 20%'!$G:$G,0)))),INDEX('[103]SINAP - INSUMO NÃO DESONERADO'!$C:$C,MATCH('[103]COMPOSIÇÃO - ADMINISTRAÇÃO'!$C1,'[103]SINAP - INSUMO NÃO DESONERADO'!$A:$A,0)))),INDEX('[103]OUTROS BANCO DE PREÇOS'!$E:$E,MATCH('[103]COMPOSIÇÃO - ADMINISTRAÇÃO'!$C1,'[103]OUTROS BANCO DE PREÇOS'!$B:$B,0)))</definedName>
    <definedName name="PROCURAR_UND_CPU">IFERROR((IFERROR((IFERROR((INDEX('[103]MAPA DE COTAÇÃO'!$G:$G,MATCH('[103]COMPOSIÇÕES DIVERSAS '!$D1,'[103]MAPA DE COTAÇÃO'!$D:$D,0))),INDEX('[103]SINAPI- NÃO DESONERADO-COM 20%'!$I:$I,MATCH('[103]COMPOSIÇÕES DIVERSAS '!$D1,'[103]SINAPI- NÃO DESONERADO-COM 20%'!$G:$G,0)))),INDEX('[103]SINAP - INSUMO NÃO DESONERADO'!$C:$C,MATCH('[103]COMPOSIÇÕES DIVERSAS '!$D1,'[103]SINAP - INSUMO NÃO DESONERADO'!$A:$A,0)))),INDEX('[103]OUTROS BANCO DE PREÇOS'!$E:$E,MATCH('[103]COMPOSIÇÕES DIVERSAS '!$D1,'[103]OUTROS BANCO DE PREÇOS'!$B:$B,0)))</definedName>
    <definedName name="PROCURAR_UND_ORÇAMENTO">IFERROR((IFERROR((IFERROR((IFERROR((INDEX('[103]COMPOSIÇÕES DIVERSAS '!$E:$E,MATCH([103]ORÇAMENTO!$AD1,'[103]COMPOSIÇÕES DIVERSAS '!$A:$A,0))),INDEX('[103]MAPA DE COTAÇÃO'!$G:$G,MATCH([103]ORÇAMENTO!$AD1,'[103]MAPA DE COTAÇÃO'!$D:$D,0)))),INDEX('[103]SINAPI- NÃO DESONERADO-COM 20%'!$I:$I,MATCH([103]ORÇAMENTO!$AD1,'[103]SINAPI- NÃO DESONERADO-COM 20%'!$G:$G,0)))),INDEX('[103]SINAP - INSUMO NÃO DESONERADO'!$C:$C,MATCH([103]ORÇAMENTO!$AD1,'[103]SINAP - INSUMO NÃO DESONERADO'!$A:$A,0)))),INDEX('[103]OUTROS BANCO DE PREÇOS'!$E:$E,MATCH([103]ORÇAMENTO!$AD1,'[103]OUTROS BANCO DE PREÇOS'!$B:$B,0)))</definedName>
    <definedName name="Produtos">#REF!</definedName>
    <definedName name="PROJ" localSheetId="6">#REF!</definedName>
    <definedName name="PROJ" localSheetId="9">#REF!</definedName>
    <definedName name="PROJ">#REF!</definedName>
    <definedName name="ProjectName">[104]Assumptions!$F$16</definedName>
    <definedName name="PROJETO" localSheetId="6">#REF!</definedName>
    <definedName name="PROJETO" localSheetId="9">#REF!</definedName>
    <definedName name="PROJETO">#REF!</definedName>
    <definedName name="ProjName">[105]Cover!$C$2</definedName>
    <definedName name="Proposta">#REF!</definedName>
    <definedName name="PRT" localSheetId="6">#REF!</definedName>
    <definedName name="PRT" localSheetId="9">#REF!</definedName>
    <definedName name="PRT">#REF!</definedName>
    <definedName name="PSaude">#REF!</definedName>
    <definedName name="PSet03">[13]Orcto!$AO$1:$AO$65536</definedName>
    <definedName name="pv" localSheetId="9">#REF!</definedName>
    <definedName name="pv">#REF!</definedName>
    <definedName name="PVP_A">'[23]MC-Dre-PEAD'!$B$11:$H$20</definedName>
    <definedName name="PVP_B">'[23]MC-Dre-PEAD'!#REF!</definedName>
    <definedName name="PVP_C">'[23]MC-Dre-PEAD'!#REF!</definedName>
    <definedName name="PVP_D">'[23]MC-Dre-PEAD'!#REF!</definedName>
    <definedName name="PVP_E">'[23]MC-Dre-PEAD'!#REF!</definedName>
    <definedName name="PVP_F">'[23]MC-Dre-PEAD'!#REF!</definedName>
    <definedName name="PVP_G">'[23]MC-Dre-PEAD'!#REF!</definedName>
    <definedName name="PVP_H">'[23]MC-Dre-PEAD'!#REF!</definedName>
    <definedName name="PVP_I">'[23]MC-Dre-PEAD'!#REF!</definedName>
    <definedName name="PVP_J">'[23]MC-Dre-PEAD'!#REF!</definedName>
    <definedName name="PVS">#REF!</definedName>
    <definedName name="PVS_B">#REF!</definedName>
    <definedName name="PVS_C">#REF!</definedName>
    <definedName name="PVS_D">#REF!</definedName>
    <definedName name="PVS_E">#REF!</definedName>
    <definedName name="PVS_F">#REF!</definedName>
    <definedName name="PVS_G">#REF!</definedName>
    <definedName name="PVS_H">#REF!</definedName>
    <definedName name="PVS_I">#REF!</definedName>
    <definedName name="PVS_J">#REF!</definedName>
    <definedName name="q">'[56]P&amp;L'!$D$4</definedName>
    <definedName name="qa"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qp" localSheetId="9">#REF!</definedName>
    <definedName name="qp">#REF!</definedName>
    <definedName name="qq" localSheetId="8"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qq" localSheetId="9">#REF!</definedName>
    <definedName name="qq">#REF!,#REF!</definedName>
    <definedName name="qqq"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qqqq"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qqqqq"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qqqqqq" hidden="1">{"VENTAS1",#N/A,FALSE,"VENTAS";"VENTAS2",#N/A,FALSE,"VENTAS";"VENTAS3",#N/A,FALSE,"VENTAS";"VENTAS4",#N/A,FALSE,"VENTAS";"VENTAS5",#N/A,FALSE,"VENTAS";"VENTAS6",#N/A,FALSE,"VENTAS";"VENTAS7",#N/A,FALSE,"VENTAS";"VENTAS8",#N/A,FALSE,"VENTAS"}</definedName>
    <definedName name="qqqqqqq" hidden="1">{"VENTAS1",#N/A,FALSE,"VENTAS";"VENTAS2",#N/A,FALSE,"VENTAS";"VENTAS3",#N/A,FALSE,"VENTAS";"VENTAS4",#N/A,FALSE,"VENTAS";"VENTAS5",#N/A,FALSE,"VENTAS";"VENTAS6",#N/A,FALSE,"VENTAS";"VENTAS7",#N/A,FALSE,"VENTAS";"VENTAS8",#N/A,FALSE,"VENTAS"}</definedName>
    <definedName name="qqqqqqqq" hidden="1">{TRUE,TRUE,-1.25,-15.5,484.5,276.75,FALSE,TRUE,TRUE,TRUE,0,1,1,300,1,1.96296296296296,1.15384615384615,4,TRUE,TRUE,3,TRUE,1,FALSE,75,"Swvu.Print_Todo.","ACwvu.Print_Todo.",#N/A,FALSE,FALSE,0,0,0,0,2,"","",FALSE,FALSE,TRUE,FALSE,1,#N/A,2,10,"=R1C1:R636C40",FALSE,#N/A,#N/A,FALSE,FALSE,FALSE,9,300,300,FALSE,TRUE,TRUE,TRUE,TRUE}</definedName>
    <definedName name="qqqqqqqqq" hidden="1">{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name="QQQQQQQQQQQQQQQQQQQ" localSheetId="9">#REF!</definedName>
    <definedName name="QQQQQQQQQQQQQQQQQQQ">#REF!</definedName>
    <definedName name="QUANT" localSheetId="9">#REF!</definedName>
    <definedName name="QUANT">#REF!</definedName>
    <definedName name="quf">#REF!</definedName>
    <definedName name="qufd">#REF!</definedName>
    <definedName name="qufr">#REF!</definedName>
    <definedName name="RAAbr">[49]BDG!$BO$1:$BO$65536</definedName>
    <definedName name="RAAgo">[49]BDG!$BS$1:$BS$65536</definedName>
    <definedName name="Rabobank20">'[31]RABOBANK US$ 20MM'!$D$21:$T$59</definedName>
    <definedName name="Rabobank40">'[31]RABOBANK US$ 40MM'!$D$21:$T$89</definedName>
    <definedName name="RAdicAbr03">#REF!</definedName>
    <definedName name="RAdicAgo03">#REF!</definedName>
    <definedName name="RAdicDez03">#REF!</definedName>
    <definedName name="RAdicFev03">#REF!</definedName>
    <definedName name="RAdicJan03">#REF!</definedName>
    <definedName name="RAdicJul03">#REF!</definedName>
    <definedName name="RAdicJun03">#REF!</definedName>
    <definedName name="RAdicMai03">#REF!</definedName>
    <definedName name="RAdicMar03">#REF!</definedName>
    <definedName name="RAdicNov03">#REF!</definedName>
    <definedName name="RAdicOut03">#REF!</definedName>
    <definedName name="RAdicSet03">#REF!</definedName>
    <definedName name="rafael">#REF!</definedName>
    <definedName name="RAGeproj">#REF!</definedName>
    <definedName name="RAH">#REF!</definedName>
    <definedName name="RAH_1">#REF!</definedName>
    <definedName name="RAIO">#REF!</definedName>
    <definedName name="rajul">[49]BDG!$BR$1:$BR$65536</definedName>
    <definedName name="rajun">[49]BDG!$BQ$1:$BQ$65536</definedName>
    <definedName name="ralo" localSheetId="9">'[7]DADOS COLETATO'!$C$29</definedName>
    <definedName name="ralo">#REF!</definedName>
    <definedName name="ramai">[49]BDG!$BP$1:$BP$65536</definedName>
    <definedName name="RAMar">[49]BDG!$BN$1:$BN$65536</definedName>
    <definedName name="ramp">#REF!</definedName>
    <definedName name="RANicAbr">#REF!</definedName>
    <definedName name="RANicAgo">#REF!</definedName>
    <definedName name="RANicDez">#REF!</definedName>
    <definedName name="RANicFev">#REF!</definedName>
    <definedName name="RANicJul">#REF!</definedName>
    <definedName name="RANicJun">#REF!</definedName>
    <definedName name="RANicMai">#REF!</definedName>
    <definedName name="RANicMar">#REF!</definedName>
    <definedName name="RANicNov">#REF!</definedName>
    <definedName name="RANicOut">#REF!</definedName>
    <definedName name="RANicSet">#REF!</definedName>
    <definedName name="rasgo">#REF!</definedName>
    <definedName name="RawData" localSheetId="9">#REF!</definedName>
    <definedName name="RawData">#REF!</definedName>
    <definedName name="RawHeader" localSheetId="9">#REF!</definedName>
    <definedName name="RawHeader">#REF!</definedName>
    <definedName name="RBxAbr03">#REF!</definedName>
    <definedName name="RBxAgo03">#REF!</definedName>
    <definedName name="RBxDez03">#REF!</definedName>
    <definedName name="RBxFev03">#REF!</definedName>
    <definedName name="RBxJan03">#REF!</definedName>
    <definedName name="RBxJul03">#REF!</definedName>
    <definedName name="RBxJun03">#REF!</definedName>
    <definedName name="RBxMai03">#REF!</definedName>
    <definedName name="RBxMar03">#REF!</definedName>
    <definedName name="RBxNov03">#REF!</definedName>
    <definedName name="RBxOut03">#REF!</definedName>
    <definedName name="RBxSet03">#REF!</definedName>
    <definedName name="RDeprAbr03">#REF!</definedName>
    <definedName name="RDeprAgo03">#REF!</definedName>
    <definedName name="RDeprDez03">#REF!</definedName>
    <definedName name="RDeprFev03">#REF!</definedName>
    <definedName name="RDeprJan03">#REF!</definedName>
    <definedName name="RDeprJul03">#REF!</definedName>
    <definedName name="RDeprJun03">#REF!</definedName>
    <definedName name="RDeprMai03">#REF!</definedName>
    <definedName name="RDeprMar03">#REF!</definedName>
    <definedName name="RDeprNov03">#REF!</definedName>
    <definedName name="RDeprOut03">#REF!</definedName>
    <definedName name="RDeprSet03">#REF!</definedName>
    <definedName name="re">[19]Input!$C$26</definedName>
    <definedName name="reabr">[9]atual!$M$1:$M$65536</definedName>
    <definedName name="reago">[9]atual!$Q$1:$Q$65536</definedName>
    <definedName name="Reaj">#REF!</definedName>
    <definedName name="REAL">#REF!</definedName>
    <definedName name="REASEO">#REF!</definedName>
    <definedName name="reaterro">#REF!</definedName>
    <definedName name="rec">#REF!,#REF!</definedName>
    <definedName name="Recalls">[30]Constants!$B$3</definedName>
    <definedName name="ReceitasReais">#REF!</definedName>
    <definedName name="ReceitasUtequis">#REF!</definedName>
    <definedName name="recuper">#REF!,#REF!</definedName>
    <definedName name="REDE_COLETORA" localSheetId="6">#REF!</definedName>
    <definedName name="REDE_COLETORA" localSheetId="9">#REF!</definedName>
    <definedName name="REDE_COLETORA">#REF!</definedName>
    <definedName name="REDE_INTERCEPTORA" localSheetId="9">#REF!</definedName>
    <definedName name="REDE_INTERCEPTORA">#REF!</definedName>
    <definedName name="REDEDEDISTRIBUICAOHIDROMETRAÇAO">'[16]Quadro II '!#REF!</definedName>
    <definedName name="redez">[9]atual!$U$1:$U$65536</definedName>
    <definedName name="redez03">[14]Atual!$M$1:$M$65536</definedName>
    <definedName name="REF_SERVICOS" localSheetId="9">#REF!</definedName>
    <definedName name="REF_SERVICOS">#REF!</definedName>
    <definedName name="REFERENCIA.Descricao" hidden="1">IF(ISNUMBER(#REF!),OFFSET(INDIRECT(ORÇAMENTO.BancoRef),#REF!-1,3,1),#REF!)</definedName>
    <definedName name="REFERENCIA.Unidade" hidden="1">IF(ISNUMBER(#REF!),OFFSET(INDIRECT(ORÇAMENTO.BancoRef),#REF!-1,4,1),"-")</definedName>
    <definedName name="refev">[14]Atual!$P$1:$P$65536</definedName>
    <definedName name="REFORCOADUTORAPRINCIPAL">'[16]Quadro II '!#REF!</definedName>
    <definedName name="reg_placa">#REF!</definedName>
    <definedName name="reg_rolo">#REF!</definedName>
    <definedName name="Reimbursement">"Reembolso"</definedName>
    <definedName name="rejan">[14]Atual!$O$1:$O$65536</definedName>
    <definedName name="rejul">[9]atual!$P$1:$P$65536</definedName>
    <definedName name="rejun">[9]atual!$O$1:$O$65536</definedName>
    <definedName name="relação">#REF!</definedName>
    <definedName name="REM_MF_PED">'[23]MC-Dem.-Rem.'!#REF!</definedName>
    <definedName name="REM_MF_PRE">'[23]MC-Dem.-Rem.'!#REF!</definedName>
    <definedName name="REM_RA_20">'[23]MC-Dem.-Rem.'!#REF!</definedName>
    <definedName name="REM_RA_40">'[23]MC-Dem.-Rem.'!#REF!</definedName>
    <definedName name="REM_RA_60">'[23]MC-Dem.-Rem.'!#REF!</definedName>
    <definedName name="REM_TUB_1000">'[23]MC-Dem.-Rem.'!#REF!</definedName>
    <definedName name="REM_TUB_1200">'[23]MC-Dem.-Rem.'!#REF!</definedName>
    <definedName name="REM_TUB_1500">'[23]MC-Dem.-Rem.'!#REF!</definedName>
    <definedName name="REM_TUB_400">'[23]MC-Dem.-Rem.'!#REF!</definedName>
    <definedName name="REM_TUB_500">'[23]MC-Dem.-Rem.'!#REF!</definedName>
    <definedName name="REM_TUB_600">'[23]MC-Dem.-Rem.'!#REF!</definedName>
    <definedName name="REM_TUB_800">'[23]MC-Dem.-Rem.'!#REF!</definedName>
    <definedName name="remai">[9]atual!$N$1:$N$65536</definedName>
    <definedName name="remar">[9]atual!$L$1:$L$65536</definedName>
    <definedName name="renov">[9]atual!$T$1:$T$65536</definedName>
    <definedName name="reout">[9]atual!$S$1:$S$65536</definedName>
    <definedName name="REPETIÇÕES" localSheetId="9">#REF!</definedName>
    <definedName name="REPETIÇÕES">#REF!</definedName>
    <definedName name="REPRESENTANTE" localSheetId="9">[62]IDENTIFICACAO!$D$13</definedName>
    <definedName name="REPRESENTANTE">#REF!</definedName>
    <definedName name="RESCENTRO">#REF!</definedName>
    <definedName name="RESCORR">#REF!</definedName>
    <definedName name="RESCUYO">#REF!</definedName>
    <definedName name="RESERVATÓRIOBUZIOS">'[16]Quadro II '!#REF!</definedName>
    <definedName name="reset">[9]atual!$R$1:$R$65536</definedName>
    <definedName name="ResExtr">#REF!</definedName>
    <definedName name="ResFinanc2">'[53]CONSSID12-96'!#REF!</definedName>
    <definedName name="resiecsa">#REF!</definedName>
    <definedName name="RESMANLIBA">#REF!</definedName>
    <definedName name="RESP." localSheetId="6">#REF!</definedName>
    <definedName name="RESP." localSheetId="9">#REF!</definedName>
    <definedName name="RESP.">#REF!</definedName>
    <definedName name="RESSERVIAL">#REF!</definedName>
    <definedName name="resul">#REF!</definedName>
    <definedName name="RESULTADO">#REF!</definedName>
    <definedName name="RESUMO" localSheetId="6">#REF!</definedName>
    <definedName name="RESUMO">#REF!</definedName>
    <definedName name="RESUMOO" localSheetId="6">#REF!</definedName>
    <definedName name="RESUMOO">#REF!</definedName>
    <definedName name="rfv">#REF!</definedName>
    <definedName name="rfv_1">#REF!</definedName>
    <definedName name="RH">#REF!</definedName>
    <definedName name="rio" hidden="1">{#N/A,#N/A,FALSE,"Cronograma";#N/A,#N/A,FALSE,"Cronogr. 2"}</definedName>
    <definedName name="RIPOsFin">#REF!</definedName>
    <definedName name="RLiqAbr03">#REF!</definedName>
    <definedName name="RLiqAgo03">#REF!</definedName>
    <definedName name="RLiqDez03">#REF!</definedName>
    <definedName name="RLiqFev03">#REF!</definedName>
    <definedName name="RLiqJan03">#REF!</definedName>
    <definedName name="RLiqJul03">#REF!</definedName>
    <definedName name="RLiqJun03">#REF!</definedName>
    <definedName name="RLiqMai03">#REF!</definedName>
    <definedName name="RLiqMar03">#REF!</definedName>
    <definedName name="RLiqNov03">#REF!</definedName>
    <definedName name="RLiqOut03">[77]Imobiliz!$BJ$1:$BJ$65536</definedName>
    <definedName name="RLiqSet03">#REF!</definedName>
    <definedName name="RNicAbr">#REF!</definedName>
    <definedName name="RNicAgo">#REF!</definedName>
    <definedName name="RNicDez">#REF!</definedName>
    <definedName name="RNicFev">#REF!</definedName>
    <definedName name="RNicJan">#REF!</definedName>
    <definedName name="RNicJul">#REF!</definedName>
    <definedName name="RNicJun">#REF!</definedName>
    <definedName name="RNicMai">#REF!</definedName>
    <definedName name="RNicMar">#REF!</definedName>
    <definedName name="RNicNov">#REF!</definedName>
    <definedName name="RNicOut">#REF!</definedName>
    <definedName name="RNicSet">#REF!</definedName>
    <definedName name="Rodapé">#REF!</definedName>
    <definedName name="ronicP">[98]WACC_PCM!$C$4</definedName>
    <definedName name="Rotatividade">#REF!</definedName>
    <definedName name="ROTATIVIDADE2">#REF!</definedName>
    <definedName name="round">1</definedName>
    <definedName name="rpa">#REF!</definedName>
    <definedName name="rpa_1">#REF!</definedName>
    <definedName name="rpb">#REF!</definedName>
    <definedName name="rpb_1">#REF!</definedName>
    <definedName name="rpp">#REF!</definedName>
    <definedName name="rpp_1">#REF!</definedName>
    <definedName name="RRHHEcon">#REF!</definedName>
    <definedName name="RRHHFin">#REF!</definedName>
    <definedName name="rrrr">#REF!</definedName>
    <definedName name="RSdDez02">#REF!</definedName>
    <definedName name="rt">[19]Input!$C$24</definedName>
    <definedName name="RTL" localSheetId="9">#REF!</definedName>
    <definedName name="RTL">#REF!</definedName>
    <definedName name="RTrAbr03">#REF!</definedName>
    <definedName name="RTrAgo03">#REF!</definedName>
    <definedName name="RTrDez03">#REF!</definedName>
    <definedName name="RTrFev03">#REF!</definedName>
    <definedName name="RTrJan03">#REF!</definedName>
    <definedName name="RTrJul03">#REF!</definedName>
    <definedName name="RTrJun03">#REF!</definedName>
    <definedName name="RTrMai03">#REF!</definedName>
    <definedName name="RTrMar03">#REF!</definedName>
    <definedName name="RTrNov03">#REF!</definedName>
    <definedName name="RTrOut03">#REF!</definedName>
    <definedName name="RTrSet03">#REF!</definedName>
    <definedName name="RUAabr02">#REF!</definedName>
    <definedName name="RUAago02">#REF!</definedName>
    <definedName name="RUabr02">#REF!</definedName>
    <definedName name="RUAdez02">#REF!</definedName>
    <definedName name="RUAfev02">#REF!</definedName>
    <definedName name="RUago02">#REF!</definedName>
    <definedName name="RUAjul02">#REF!</definedName>
    <definedName name="RUAjun02">#REF!</definedName>
    <definedName name="RUAmai02">#REF!</definedName>
    <definedName name="RUAmar02">#REF!</definedName>
    <definedName name="RUAnov02">#REF!</definedName>
    <definedName name="RUAout02">#REF!</definedName>
    <definedName name="RUAset02">#REF!</definedName>
    <definedName name="RUdez02">#REF!</definedName>
    <definedName name="RUfev02">#REF!</definedName>
    <definedName name="RUJul02">#REF!</definedName>
    <definedName name="RUJun02">#REF!</definedName>
    <definedName name="RUmai02">#REF!</definedName>
    <definedName name="RUmar02">#REF!</definedName>
    <definedName name="RUnov02">#REF!</definedName>
    <definedName name="RUout02">#REF!</definedName>
    <definedName name="RUset02">#REF!</definedName>
    <definedName name="RX">#REF!</definedName>
    <definedName name="S">#REF!</definedName>
    <definedName name="Safra1">'[31]SAFRA - US$10'!$D$21:$T$52</definedName>
    <definedName name="Safra2">'[31]SAFRA - US$5'!$D$21:$T$53</definedName>
    <definedName name="Safra3">'[31]SAFRA - US$5 (2)'!$D$21:$T$53</definedName>
    <definedName name="scen">[106]Ctrl!$C$13</definedName>
    <definedName name="Schaal">'[107]1. Instellingen'!$B$17</definedName>
    <definedName name="SCOD02_010_0020">#REF!</definedName>
    <definedName name="SCOD02_010_0020_1">#REF!</definedName>
    <definedName name="SCOD02_010_0050">#REF!</definedName>
    <definedName name="SCOD02_010_0050_1">#REF!</definedName>
    <definedName name="SCOD02_010_0065">#REF!</definedName>
    <definedName name="SCOD02_010_0065_1">#REF!</definedName>
    <definedName name="SCOD02_010_0130">#REF!</definedName>
    <definedName name="SCOD02_010_0130_1">#REF!</definedName>
    <definedName name="SCOD03_010_0020">#REF!</definedName>
    <definedName name="SCOD03_010_0020_1">#REF!</definedName>
    <definedName name="SCOD03_010_0025">#REF!</definedName>
    <definedName name="SCOD03_010_0025_1">#REF!</definedName>
    <definedName name="SCOD03_010_0040">#REF!</definedName>
    <definedName name="SCOD03_010_0040_1">#REF!</definedName>
    <definedName name="SCOD03_010_0050">#REF!</definedName>
    <definedName name="SCOD03_010_0050_1">#REF!</definedName>
    <definedName name="SCOD03_010_0100">#REF!</definedName>
    <definedName name="SCOD03_010_0100_1">#REF!</definedName>
    <definedName name="SCOD03_010_0180">#REF!</definedName>
    <definedName name="SCOD03_010_0180_1">#REF!</definedName>
    <definedName name="SCOD03_010_0200">#REF!</definedName>
    <definedName name="SCOD03_010_0200_1">#REF!</definedName>
    <definedName name="SCOD04_010_0010">#REF!</definedName>
    <definedName name="SCOD04_010_0010_1">#REF!</definedName>
    <definedName name="SCOD04_010_0040">#REF!</definedName>
    <definedName name="SCOD04_010_0040_1">#REF!</definedName>
    <definedName name="SCOD04_010_0070">#REF!</definedName>
    <definedName name="SCOD04_010_0070_1">#REF!</definedName>
    <definedName name="SCOD04_010_0150">#REF!</definedName>
    <definedName name="SCOD04_010_0150_1">#REF!</definedName>
    <definedName name="SCOD04_010_0190">#REF!</definedName>
    <definedName name="SCOD04_010_0190_1">#REF!</definedName>
    <definedName name="SCOD04_010_0200">#REF!</definedName>
    <definedName name="SCOD04_010_0200_1">#REF!</definedName>
    <definedName name="SCOD04_010_0320">#REF!</definedName>
    <definedName name="SCOD04_010_0320_1">#REF!</definedName>
    <definedName name="SCOD04_010_0330">#REF!</definedName>
    <definedName name="SCOD04_010_0330_1">#REF!</definedName>
    <definedName name="SCOD04_010_0371">#REF!</definedName>
    <definedName name="SCOD04_010_0371_1">#REF!</definedName>
    <definedName name="SCOD04_010_0375">#REF!</definedName>
    <definedName name="SCOD04_010_0375_1">#REF!</definedName>
    <definedName name="SCOD04_010_0395">#REF!</definedName>
    <definedName name="SCOD04_010_0395_1">#REF!</definedName>
    <definedName name="SCOD04_010_0420">#REF!</definedName>
    <definedName name="SCOD04_010_0420_1">#REF!</definedName>
    <definedName name="SCOD04_010_0430">#REF!</definedName>
    <definedName name="SCOD04_010_0430_1">#REF!</definedName>
    <definedName name="SCOD05_010_0020">#REF!</definedName>
    <definedName name="SCOD05_010_0020_1">#REF!</definedName>
    <definedName name="SCOD08_010_0010">#REF!</definedName>
    <definedName name="SCOD08_010_0010_1">#REF!</definedName>
    <definedName name="SCOD08_010_0040">#REF!</definedName>
    <definedName name="SCOD08_010_0040_1">#REF!</definedName>
    <definedName name="SCOD08_010_0060">#REF!</definedName>
    <definedName name="SCOD08_010_0060_1">#REF!</definedName>
    <definedName name="SCOD08_010_0130">#REF!</definedName>
    <definedName name="SCOD08_010_0130_1">#REF!</definedName>
    <definedName name="SCOD08_010_0135">#REF!</definedName>
    <definedName name="SCOD08_010_0135_1">#REF!</definedName>
    <definedName name="SCOD08_010_0270">#REF!</definedName>
    <definedName name="SCOD08_010_0270_1">#REF!</definedName>
    <definedName name="SCOD09_010_0060">#REF!</definedName>
    <definedName name="SCOD09_010_0060_1">#REF!</definedName>
    <definedName name="SCOD09_010_0240">#REF!</definedName>
    <definedName name="SCOD09_010_0240_1">#REF!</definedName>
    <definedName name="SCOD09_010_0430">#REF!</definedName>
    <definedName name="SCOD09_010_0430_1">#REF!</definedName>
    <definedName name="SCOD09_010_0470">#REF!</definedName>
    <definedName name="SCOD09_010_0470_1">#REF!</definedName>
    <definedName name="SCOD09_010_0700">#REF!</definedName>
    <definedName name="SCOD09_010_0700_1">#REF!</definedName>
    <definedName name="SCOD10_010_0140">#REF!</definedName>
    <definedName name="SCOD10_010_0140_1">#REF!</definedName>
    <definedName name="SCOD10_010_0180">#REF!</definedName>
    <definedName name="SCOD10_010_0180_1">#REF!</definedName>
    <definedName name="SCOD10_010_0270">#REF!</definedName>
    <definedName name="SCOD10_010_0270_1">#REF!</definedName>
    <definedName name="SCOD10_010_0280">#REF!</definedName>
    <definedName name="SCOD10_010_0280_1">#REF!</definedName>
    <definedName name="SCOD10_010_0298">#REF!</definedName>
    <definedName name="SCOD10_010_0298_1">#REF!</definedName>
    <definedName name="SCOD10_010_0307">#REF!</definedName>
    <definedName name="SCOD10_010_0307_1">#REF!</definedName>
    <definedName name="SCOD10_010_0308">#REF!</definedName>
    <definedName name="SCOD10_010_0308_1">#REF!</definedName>
    <definedName name="SCOD10_010_0310">#REF!</definedName>
    <definedName name="SCOD10_010_0310_1">#REF!</definedName>
    <definedName name="SCOD10_010_0330">#REF!</definedName>
    <definedName name="SCOD10_010_0330_1">#REF!</definedName>
    <definedName name="SCOD10_010_0333">#REF!</definedName>
    <definedName name="SCOD10_010_0333_1">#REF!</definedName>
    <definedName name="SCOD10_010_0380">#REF!</definedName>
    <definedName name="SCOD10_010_0380_1">#REF!</definedName>
    <definedName name="SCOD10_010_0400">#REF!</definedName>
    <definedName name="SCOD10_010_0400_1">#REF!</definedName>
    <definedName name="SCOD10_010_0431">#REF!</definedName>
    <definedName name="SCOD10_010_0431_1">#REF!</definedName>
    <definedName name="SCOD10_010_1110">#REF!</definedName>
    <definedName name="SCOD10_010_1110_1">#REF!</definedName>
    <definedName name="SCOD12_010_0010">#REF!</definedName>
    <definedName name="SCOD12_010_0010_1">#REF!</definedName>
    <definedName name="SCOD12_010_0060">#REF!</definedName>
    <definedName name="SCOD12_010_0060_1">#REF!</definedName>
    <definedName name="SCOD12_010_0210">#REF!</definedName>
    <definedName name="SCOD12_010_0210_1">#REF!</definedName>
    <definedName name="SCOD12_010_0360">#REF!</definedName>
    <definedName name="SCOD12_010_0360_1">#REF!</definedName>
    <definedName name="SCOD12_010_0550">#REF!</definedName>
    <definedName name="SCOD12_010_0550_1">#REF!</definedName>
    <definedName name="SCOD13_010_0030">#REF!</definedName>
    <definedName name="SCOD13_010_0030_1">#REF!</definedName>
    <definedName name="SCOD13_010_0090">#REF!</definedName>
    <definedName name="SCOD13_010_0090_1">#REF!</definedName>
    <definedName name="SCOD13_010_0100">#REF!</definedName>
    <definedName name="SCOD13_010_0100_1">#REF!</definedName>
    <definedName name="SCOD13_010_0110">#REF!</definedName>
    <definedName name="SCOD13_010_0110_1">#REF!</definedName>
    <definedName name="SCOD13_010_1200">#REF!</definedName>
    <definedName name="SCOD13_010_1200_1">#REF!</definedName>
    <definedName name="SCOD15_010_0010">#REF!</definedName>
    <definedName name="SCOD15_010_0010_1">#REF!</definedName>
    <definedName name="SCOD15_010_0055">#REF!</definedName>
    <definedName name="SCOD15_010_0055_1">#REF!</definedName>
    <definedName name="SCOD15_010_0140">#REF!</definedName>
    <definedName name="SCOD15_010_0140_1">#REF!</definedName>
    <definedName name="SCOD15_010_0181">#REF!</definedName>
    <definedName name="SCOD15_010_0181_1">#REF!</definedName>
    <definedName name="SCOD15_010_0270">#REF!</definedName>
    <definedName name="SCOD15_010_0270_1">#REF!</definedName>
    <definedName name="SCOD15_010_0280">#REF!</definedName>
    <definedName name="SCOD15_010_0280_1">#REF!</definedName>
    <definedName name="SCOD15_010_0290">#REF!</definedName>
    <definedName name="SCOD15_010_0290_1">#REF!</definedName>
    <definedName name="SCOD16_010_0010">#REF!</definedName>
    <definedName name="SCOD16_010_0010_1">#REF!</definedName>
    <definedName name="SCOD16_010_0060">#REF!</definedName>
    <definedName name="SCOD16_010_0060_1">#REF!</definedName>
    <definedName name="SCOD16_010_0110">#REF!</definedName>
    <definedName name="SCOD16_010_0110_1">#REF!</definedName>
    <definedName name="SCOD16_010_0120">#REF!</definedName>
    <definedName name="SCOD16_010_0120_1">#REF!</definedName>
    <definedName name="SCOD16_010_0170">#REF!</definedName>
    <definedName name="SCOD16_010_0170_1">#REF!</definedName>
    <definedName name="SCOD17_010_0080">#REF!</definedName>
    <definedName name="SCOD17_010_0080_1">#REF!</definedName>
    <definedName name="SCOD17_010_0100">#REF!</definedName>
    <definedName name="SCOD17_010_0100_1">#REF!</definedName>
    <definedName name="SCOD17_010_0150">#REF!</definedName>
    <definedName name="SCOD17_010_0150_1">#REF!</definedName>
    <definedName name="SCOD17_010_0290">#REF!</definedName>
    <definedName name="SCOD17_010_0290_1">#REF!</definedName>
    <definedName name="SCOD17_010_0390">#REF!</definedName>
    <definedName name="SCOD17_010_0390_1">#REF!</definedName>
    <definedName name="SCOD17_010_0436">#REF!</definedName>
    <definedName name="SCOD17_010_0436_1">#REF!</definedName>
    <definedName name="SCOD17_010_0437">#REF!</definedName>
    <definedName name="SCOD17_010_0437_1">#REF!</definedName>
    <definedName name="SCOD17_010_0602">#REF!</definedName>
    <definedName name="SCOD17_010_0602_1">#REF!</definedName>
    <definedName name="SCODCOMPOSIÇÃO01">#REF!</definedName>
    <definedName name="SCODCOMPOSIÇÃO01A">#REF!</definedName>
    <definedName name="SCODCOMPOSIÇÃO02">#REF!</definedName>
    <definedName name="SCODCOTADO01">#REF!</definedName>
    <definedName name="SCODCOTADO01_1">#REF!</definedName>
    <definedName name="SCODCOTADO02">#REF!</definedName>
    <definedName name="SCODCOTADO02_1">#REF!</definedName>
    <definedName name="SCODCOTADO03">#REF!</definedName>
    <definedName name="SCODCOTADO03_1">#REF!</definedName>
    <definedName name="SCODCOTADO04">#REF!</definedName>
    <definedName name="SCODCOTADO04_1">#REF!</definedName>
    <definedName name="SCODCOTADO05">#REF!</definedName>
    <definedName name="SCODCOTADO05_1">#REF!</definedName>
    <definedName name="SCODCOTADO06">#REF!</definedName>
    <definedName name="SCODCOTADO06_1">#REF!</definedName>
    <definedName name="SCODVERBA01">#REF!</definedName>
    <definedName name="SCODVERBA01_1">#REF!</definedName>
    <definedName name="SCOMPOS01">#REF!</definedName>
    <definedName name="SCOMPOS01_1">#REF!</definedName>
    <definedName name="sd">#N/A</definedName>
    <definedName name="SDFSA" localSheetId="9">#REF!</definedName>
    <definedName name="SDFSA">#REF!</definedName>
    <definedName name="sdgs" localSheetId="9">#REF!</definedName>
    <definedName name="sdgs">#REF!</definedName>
    <definedName name="SDS" localSheetId="9">#REF!</definedName>
    <definedName name="SDS">#REF!</definedName>
    <definedName name="Sede_Detran_Consulta">#REF!</definedName>
    <definedName name="SegVida">#REF!</definedName>
    <definedName name="sencount" hidden="1">1</definedName>
    <definedName name="Senior_A">'[61]Buy Out Overview'!$B$29</definedName>
    <definedName name="SERVIÇOS_COMPLEMENTARES" localSheetId="9">#REF!</definedName>
    <definedName name="SERVIÇOS_COMPLEMENTARES">#REF!</definedName>
    <definedName name="SERVIÇOS_PRELIMINARES" localSheetId="9">#REF!</definedName>
    <definedName name="SERVIÇOS_PRELIMINARES">#REF!</definedName>
    <definedName name="Servicos_Tecnicos" localSheetId="9">#REF!</definedName>
    <definedName name="Servicos_Tecnicos">#REF!</definedName>
    <definedName name="Servicos_Tecnicos_">#REF!</definedName>
    <definedName name="serviçosterceirizados">#REF!</definedName>
    <definedName name="set">#REF!</definedName>
    <definedName name="Set02_Cred">[8]Dados!$Z$1:$Z$65536</definedName>
    <definedName name="Set02_Deb">[8]Dados!$Y$1:$Y$65536</definedName>
    <definedName name="setop.12">#REF!</definedName>
    <definedName name="SETOP_INSUMO">[23]Banco_Insumo!$B$4191:$F$6097</definedName>
    <definedName name="SETOP_SERVICO">[23]Banco_Servico!$B$11263:$G$16395</definedName>
    <definedName name="SHARED_FORMULA_1_98_1_98_1">NA()</definedName>
    <definedName name="SHARED_FORMULA_10_38_10_38_0">NA()</definedName>
    <definedName name="SHARED_FORMULA_10_524_10_524_0">NA()</definedName>
    <definedName name="SHARED_FORMULA_10_594_10_594_0">NA()</definedName>
    <definedName name="SHARED_FORMULA_10_608_10_608_0">NA()</definedName>
    <definedName name="SHARED_FORMULA_10_633_10_633_0">NA()</definedName>
    <definedName name="SHARED_FORMULA_10_672_10_672_0">NA()</definedName>
    <definedName name="SHARED_FORMULA_10_714_10_714_0">NA()</definedName>
    <definedName name="SHARED_FORMULA_10_8_10_8_0">NA()</definedName>
    <definedName name="SHARED_FORMULA_11_38_11_38_0">NA()</definedName>
    <definedName name="SHARED_FORMULA_11_46_11_46_0">NA()</definedName>
    <definedName name="SHARED_FORMULA_11_517_11_517_0">NA()</definedName>
    <definedName name="SHARED_FORMULA_11_532_11_532_0">NA()</definedName>
    <definedName name="SHARED_FORMULA_11_544_11_544_0">NA()</definedName>
    <definedName name="SHARED_FORMULA_11_553_11_553_0">NA()</definedName>
    <definedName name="SHARED_FORMULA_11_561_11_561_0">NA()</definedName>
    <definedName name="SHARED_FORMULA_11_594_11_594_0">NA()</definedName>
    <definedName name="SHARED_FORMULA_11_608_11_608_0">NA()</definedName>
    <definedName name="SHARED_FORMULA_11_61_11_61_0">NA()</definedName>
    <definedName name="SHARED_FORMULA_11_633_11_633_0">NA()</definedName>
    <definedName name="SHARED_FORMULA_11_658_11_658_0">NA()</definedName>
    <definedName name="SHARED_FORMULA_11_672_11_672_0">NA()</definedName>
    <definedName name="SHARED_FORMULA_11_695_11_695_0">NA()</definedName>
    <definedName name="SHARED_FORMULA_11_8_11_8_0">NA()</definedName>
    <definedName name="SHARED_FORMULA_11_8_11_8_4">#REF!*#REF!</definedName>
    <definedName name="SHARED_FORMULA_11_89_11_89_0">NA()</definedName>
    <definedName name="SHARED_FORMULA_11_9_11_9_3">NA()</definedName>
    <definedName name="SHARED_FORMULA_11_9_11_9_4">NA()</definedName>
    <definedName name="SHARED_FORMULA_12_9_12_9_4">NA()</definedName>
    <definedName name="SHARED_FORMULA_13_17_13_17_116">#REF!*#REF!</definedName>
    <definedName name="SHARED_FORMULA_13_17_13_17_121">#REF!*#REF!</definedName>
    <definedName name="SHARED_FORMULA_13_17_13_17_154">#REF!*#REF!</definedName>
    <definedName name="SHARED_FORMULA_13_17_13_17_159">#REF!*#REF!</definedName>
    <definedName name="SHARED_FORMULA_13_19_13_19_109">#REF!*#REF!</definedName>
    <definedName name="SHARED_FORMULA_13_19_13_19_122">#REF!*#REF!</definedName>
    <definedName name="SHARED_FORMULA_13_19_13_19_160">#REF!*#REF!</definedName>
    <definedName name="SHARED_FORMULA_13_19_13_19_46">#REF!*#REF!</definedName>
    <definedName name="SHARED_FORMULA_13_19_13_19_69">#REF!*#REF!</definedName>
    <definedName name="SHARED_FORMULA_13_19_13_19_79">#REF!*#REF!</definedName>
    <definedName name="SHARED_FORMULA_16_10_16_10_3">NA()</definedName>
    <definedName name="SHARED_FORMULA_16_10_16_10_4">NA()</definedName>
    <definedName name="SHARED_FORMULA_16_39_16_39_3">NA()</definedName>
    <definedName name="SHARED_FORMULA_16_65_16_65_3">NA()</definedName>
    <definedName name="SHARED_FORMULA_16_8_16_8_4">#REF!-SUM(#REF!)</definedName>
    <definedName name="SHARED_FORMULA_17_10_17_10_4">NA()</definedName>
    <definedName name="SHARED_FORMULA_17_11_17_11_4">#REF!</definedName>
    <definedName name="SHARED_FORMULA_17_39_17_39_3">NA()</definedName>
    <definedName name="SHARED_FORMULA_17_65_17_65_3">NA()</definedName>
    <definedName name="SHARED_FORMULA_17_79_17_79_3">NA()</definedName>
    <definedName name="SHARED_FORMULA_17_9_17_9_3">NA()</definedName>
    <definedName name="SHARED_FORMULA_18_27_18_27_6">ROUND(#REF!/#REF!,4)*100</definedName>
    <definedName name="SHARED_FORMULA_18_39_18_39_3">NA()</definedName>
    <definedName name="SHARED_FORMULA_18_42_18_42_2">NA()</definedName>
    <definedName name="SHARED_FORMULA_19_39_19_39_3">NA()</definedName>
    <definedName name="SHARED_FORMULA_2_2_2_2_7">(#REF!/100)+1</definedName>
    <definedName name="SHARED_FORMULA_2_850_2_850_1">"#ref!"</definedName>
    <definedName name="SHARED_FORMULA_2_854_2_854_1">NA()</definedName>
    <definedName name="SHARED_FORMULA_2_858_2_858_1">NA()</definedName>
    <definedName name="SHARED_FORMULA_2_861_2_861_1">NA()</definedName>
    <definedName name="SHARED_FORMULA_21_20_21_20_69">#REF!*#REF!</definedName>
    <definedName name="SHARED_FORMULA_21_9_21_9_3">NA()</definedName>
    <definedName name="SHARED_FORMULA_21_9_21_9_4">NA()</definedName>
    <definedName name="SHARED_FORMULA_22_10_22_10_3">NA()</definedName>
    <definedName name="SHARED_FORMULA_22_10_22_10_4">NA()</definedName>
    <definedName name="SHARED_FORMULA_22_39_22_39_3">NA()</definedName>
    <definedName name="SHARED_FORMULA_22_9_22_9_4">NA()</definedName>
    <definedName name="SHARED_FORMULA_23_10_23_10_3">NA()</definedName>
    <definedName name="SHARED_FORMULA_23_10_23_10_4">NA()</definedName>
    <definedName name="SHARED_FORMULA_23_39_23_39_3">NA()</definedName>
    <definedName name="SHARED_FORMULA_23_61_23_61_3">NA()</definedName>
    <definedName name="SHARED_FORMULA_24_10_24_10_3">NA()</definedName>
    <definedName name="SHARED_FORMULA_24_10_24_10_4">NA()</definedName>
    <definedName name="SHARED_FORMULA_24_13_24_13_3">NA()</definedName>
    <definedName name="SHARED_FORMULA_24_31_24_31_3">NA()</definedName>
    <definedName name="SHARED_FORMULA_25_10_25_10_3">NA()</definedName>
    <definedName name="SHARED_FORMULA_25_27_25_27_3">NA()</definedName>
    <definedName name="SHARED_FORMULA_25_31_25_31_3">NA()</definedName>
    <definedName name="SHARED_FORMULA_26_10_26_10_3">NA()</definedName>
    <definedName name="SHARED_FORMULA_26_10_26_10_4">NA()</definedName>
    <definedName name="SHARED_FORMULA_26_39_26_39_3">NA()</definedName>
    <definedName name="SHARED_FORMULA_26_8_26_8_4">#REF!</definedName>
    <definedName name="SHARED_FORMULA_27_10_27_10_3">NA()</definedName>
    <definedName name="SHARED_FORMULA_27_10_27_10_4">NA()</definedName>
    <definedName name="SHARED_FORMULA_27_39_27_39_3">NA()</definedName>
    <definedName name="SHARED_FORMULA_27_65_27_65_3">NA()</definedName>
    <definedName name="SHARED_FORMULA_27_79_27_79_3">NA()</definedName>
    <definedName name="SHARED_FORMULA_3_1_3_1_5">#REF!*#REF!</definedName>
    <definedName name="SHARED_FORMULA_3_19_3_19_110">#REF!*#REF!</definedName>
    <definedName name="SHARED_FORMULA_3_2_3_2_5">NA()</definedName>
    <definedName name="SHARED_FORMULA_3_20_3_20_159">#REF!*#REF!</definedName>
    <definedName name="SHARED_FORMULA_3_20_3_20_5">#REF!*#REF!</definedName>
    <definedName name="SHARED_FORMULA_3_20_3_20_70">#REF!*#REF!</definedName>
    <definedName name="SHARED_FORMULA_3_20_3_20_80">#REF!*#REF!</definedName>
    <definedName name="SHARED_FORMULA_3_7_3_7_6">#REF!/#REF!</definedName>
    <definedName name="SHARED_FORMULA_3_9_3_9_5">#REF!*#REF!</definedName>
    <definedName name="SHARED_FORMULA_31_39_31_39_3">NA()</definedName>
    <definedName name="SHARED_FORMULA_31_9_31_9_3">NA()</definedName>
    <definedName name="SHARED_FORMULA_31_9_31_9_4">NA()</definedName>
    <definedName name="SHARED_FORMULA_32_10_32_10_3">NA()</definedName>
    <definedName name="SHARED_FORMULA_32_10_32_10_4">NA()</definedName>
    <definedName name="SHARED_FORMULA_32_39_32_39_3">NA()</definedName>
    <definedName name="SHARED_FORMULA_32_70_32_70_3">NA()</definedName>
    <definedName name="SHARED_FORMULA_32_79_32_79_3">NA()</definedName>
    <definedName name="SHARED_FORMULA_32_9_32_9_4">NA()</definedName>
    <definedName name="SHARED_FORMULA_33_10_33_10_4">NA()</definedName>
    <definedName name="SHARED_FORMULA_33_8_33_8_4">#REF!</definedName>
    <definedName name="SHARED_FORMULA_33_9_33_9_3">NA()</definedName>
    <definedName name="SHARED_FORMULA_33_9_33_9_4">NA()</definedName>
    <definedName name="SHARED_FORMULA_34_9_34_9_3">NA()</definedName>
    <definedName name="SHARED_FORMULA_34_9_34_9_4">NA()</definedName>
    <definedName name="SHARED_FORMULA_35_10_35_10_3">NA()</definedName>
    <definedName name="SHARED_FORMULA_35_10_35_10_4">NA()</definedName>
    <definedName name="SHARED_FORMULA_35_39_35_39_3">NA()</definedName>
    <definedName name="SHARED_FORMULA_35_70_35_70_3">NA()</definedName>
    <definedName name="SHARED_FORMULA_35_79_35_79_3">NA()</definedName>
    <definedName name="SHARED_FORMULA_36_10_36_10_4">NA()</definedName>
    <definedName name="SHARED_FORMULA_5_14_5_14_192">NA()</definedName>
    <definedName name="SHARED_FORMULA_5_16_5_16_187">NA()</definedName>
    <definedName name="SHARED_FORMULA_5_17_5_17_116">#REF!*#REF!</definedName>
    <definedName name="SHARED_FORMULA_5_17_5_17_121">#REF!*#REF!</definedName>
    <definedName name="SHARED_FORMULA_5_17_5_17_154">#REF!*#REF!</definedName>
    <definedName name="SHARED_FORMULA_5_17_5_17_159">#REF!*#REF!</definedName>
    <definedName name="SHARED_FORMULA_5_17_5_17_183">NA()</definedName>
    <definedName name="SHARED_FORMULA_5_17_5_17_231">NA()</definedName>
    <definedName name="SHARED_FORMULA_5_17_5_17_45">#REF!*#REF!</definedName>
    <definedName name="SHARED_FORMULA_5_17_5_17_61">#REF!*#REF!</definedName>
    <definedName name="SHARED_FORMULA_5_18_5_18_120">NA()</definedName>
    <definedName name="SHARED_FORMULA_5_18_5_18_158">#REF!*#REF!</definedName>
    <definedName name="SHARED_FORMULA_5_18_5_18_85">#REF!*#REF!</definedName>
    <definedName name="SHARED_FORMULA_5_18_5_18_97">#REF!*#REF!</definedName>
    <definedName name="SHARED_FORMULA_5_19_5_19_109">#REF!*#REF!</definedName>
    <definedName name="SHARED_FORMULA_5_19_5_19_122">#REF!*#REF!</definedName>
    <definedName name="SHARED_FORMULA_5_19_5_19_160">#REF!*#REF!</definedName>
    <definedName name="SHARED_FORMULA_5_19_5_19_162">#REF!*#REF!</definedName>
    <definedName name="SHARED_FORMULA_5_19_5_19_46">#REF!*#REF!</definedName>
    <definedName name="SHARED_FORMULA_5_19_5_19_79">#REF!*#REF!</definedName>
    <definedName name="SHARED_FORMULA_5_19_5_19_80">#REF!*#REF!</definedName>
    <definedName name="SHARED_FORMULA_5_20_5_20_159">#REF!*#REF!</definedName>
    <definedName name="SHARED_FORMULA_5_20_5_20_25">NA()</definedName>
    <definedName name="SHARED_FORMULA_5_20_5_20_26">NA()</definedName>
    <definedName name="SHARED_FORMULA_5_20_5_20_37">#REF!*#REF!</definedName>
    <definedName name="SHARED_FORMULA_5_20_5_20_52">NA()</definedName>
    <definedName name="SHARED_FORMULA_5_20_5_20_69">#REF!*#REF!</definedName>
    <definedName name="SHARED_FORMULA_5_20_5_20_84">NA()</definedName>
    <definedName name="SHARED_FORMULA_5_73_5_73_0">ROUND(#REF!*3,2)</definedName>
    <definedName name="SHARED_FORMULA_6_11_6_11_0">#REF!</definedName>
    <definedName name="SHARED_FORMULA_6_120_6_120_1">"#ref!"*"#ref!"</definedName>
    <definedName name="SHARED_FORMULA_6_123_6_123_1">NA()</definedName>
    <definedName name="SHARED_FORMULA_6_143_6_143_0">NA()</definedName>
    <definedName name="SHARED_FORMULA_6_145_6_145_0">#REF!</definedName>
    <definedName name="SHARED_FORMULA_6_1472_6_1472_1">NA()</definedName>
    <definedName name="SHARED_FORMULA_6_1481_6_1481_1">NA()</definedName>
    <definedName name="SHARED_FORMULA_6_15_6_15_0">NA()</definedName>
    <definedName name="SHARED_FORMULA_6_1512_6_1512_1">ROUNDUP(#REF!*#REF!*#REF!,1)</definedName>
    <definedName name="SHARED_FORMULA_6_1516_6_1516_1">NA()</definedName>
    <definedName name="SHARED_FORMULA_6_157_6_157_0">#REF!</definedName>
    <definedName name="SHARED_FORMULA_6_166_6_166_0">#REF!</definedName>
    <definedName name="SHARED_FORMULA_6_177_6_177_0">#REF!</definedName>
    <definedName name="SHARED_FORMULA_6_190_6_190_0">#REF!</definedName>
    <definedName name="SHARED_FORMULA_6_207_6_207_0">NA()</definedName>
    <definedName name="SHARED_FORMULA_6_215_6_215_0">#REF!</definedName>
    <definedName name="SHARED_FORMULA_6_22_6_22_0">#REF!</definedName>
    <definedName name="SHARED_FORMULA_6_233_6_233_0">#REF!</definedName>
    <definedName name="SHARED_FORMULA_6_245_6_245_0">#REF!</definedName>
    <definedName name="SHARED_FORMULA_6_2507_6_2507_1">NA()</definedName>
    <definedName name="SHARED_FORMULA_6_2521_6_2521_1">NA()</definedName>
    <definedName name="SHARED_FORMULA_6_255_6_255_1">NA()</definedName>
    <definedName name="SHARED_FORMULA_6_2603_6_2603_1">NA()</definedName>
    <definedName name="SHARED_FORMULA_6_267_6_267_0">#REF!</definedName>
    <definedName name="SHARED_FORMULA_6_2686_6_2686_1">NA()</definedName>
    <definedName name="SHARED_FORMULA_6_2692_6_2692_1">NA()</definedName>
    <definedName name="SHARED_FORMULA_6_271_6_271_0">NA()</definedName>
    <definedName name="SHARED_FORMULA_6_276_6_276_0">#REF!</definedName>
    <definedName name="SHARED_FORMULA_6_2779_6_2779_1">NA()</definedName>
    <definedName name="SHARED_FORMULA_6_281_6_281_1">NA()</definedName>
    <definedName name="SHARED_FORMULA_6_2816_6_2816_1">NA()</definedName>
    <definedName name="SHARED_FORMULA_6_2819_6_2819_1">NA()</definedName>
    <definedName name="SHARED_FORMULA_6_2876_6_2876_1">#REF!*#REF!*#REF!</definedName>
    <definedName name="SHARED_FORMULA_6_2880_6_2880_1">NA()</definedName>
    <definedName name="SHARED_FORMULA_6_291_6_291_0">#REF!</definedName>
    <definedName name="SHARED_FORMULA_6_2962_6_2962_1">#REF!*#REF!</definedName>
    <definedName name="SHARED_FORMULA_6_2966_6_2966_1">NA()</definedName>
    <definedName name="SHARED_FORMULA_6_2970_6_2970_1">#REF!*#REF!</definedName>
    <definedName name="SHARED_FORMULA_6_2974_6_2974_1">NA()</definedName>
    <definedName name="SHARED_FORMULA_6_3020_6_3020_1">ROUNDUP(#REF!*#REF!,1)</definedName>
    <definedName name="SHARED_FORMULA_6_3024_6_3024_1">NA()</definedName>
    <definedName name="SHARED_FORMULA_6_3050_6_3050_1">NA()</definedName>
    <definedName name="SHARED_FORMULA_6_3054_6_3054_1">NA()</definedName>
    <definedName name="SHARED_FORMULA_6_3059_6_3059_1">NA()</definedName>
    <definedName name="SHARED_FORMULA_6_3063_6_3063_1">NA()</definedName>
    <definedName name="SHARED_FORMULA_6_3069_6_3069_1">NA()</definedName>
    <definedName name="SHARED_FORMULA_6_3073_6_3073_1">NA()</definedName>
    <definedName name="SHARED_FORMULA_6_312_6_312_0">#REF!</definedName>
    <definedName name="SHARED_FORMULA_6_3196_6_3196_1">NA()</definedName>
    <definedName name="SHARED_FORMULA_6_32_6_32_0">#REF!</definedName>
    <definedName name="SHARED_FORMULA_6_3231_6_3231_1">ROUNDUP(#REF!*#REF!*#REF!,1)</definedName>
    <definedName name="SHARED_FORMULA_6_3235_6_3235_1">NA()</definedName>
    <definedName name="SHARED_FORMULA_6_3240_6_3240_1">ROUNDUP(#REF!*#REF!*#REF!,1)</definedName>
    <definedName name="SHARED_FORMULA_6_3244_6_3244_1">NA()</definedName>
    <definedName name="SHARED_FORMULA_6_3250_6_3250_1">ROUNDUP(#REF!*#REF!*#REF!,1)</definedName>
    <definedName name="SHARED_FORMULA_6_3254_6_3254_1">NA()</definedName>
    <definedName name="SHARED_FORMULA_6_335_6_335_0">NA()</definedName>
    <definedName name="SHARED_FORMULA_6_345_6_345_0">#REF!</definedName>
    <definedName name="SHARED_FORMULA_6_35_6_35_2">NA()</definedName>
    <definedName name="SHARED_FORMULA_6_369_6_369_1">NA()</definedName>
    <definedName name="SHARED_FORMULA_6_37_6_37_2">NA()</definedName>
    <definedName name="SHARED_FORMULA_6_38_6_38_0">NA()</definedName>
    <definedName name="SHARED_FORMULA_6_384_6_384_0">#REF!</definedName>
    <definedName name="SHARED_FORMULA_6_388_6_388_1">NA()</definedName>
    <definedName name="SHARED_FORMULA_6_398_6_398_0">#REF!</definedName>
    <definedName name="SHARED_FORMULA_6_399_6_399_0">NA()</definedName>
    <definedName name="SHARED_FORMULA_6_399_6_399_1">NA()</definedName>
    <definedName name="SHARED_FORMULA_6_40_6_40_0">#REF!</definedName>
    <definedName name="SHARED_FORMULA_6_404_6_404_1">NA()</definedName>
    <definedName name="SHARED_FORMULA_6_406_6_406_0">"#ref!"</definedName>
    <definedName name="SHARED_FORMULA_6_415_6_415_0">#REF!</definedName>
    <definedName name="SHARED_FORMULA_6_422_6_422_1">ROUNDUP("#ref!"*"#ref!"*"#ref!",1)</definedName>
    <definedName name="SHARED_FORMULA_6_425_6_425_1">NA()</definedName>
    <definedName name="SHARED_FORMULA_6_426_6_426_0">#REF!</definedName>
    <definedName name="SHARED_FORMULA_6_426_6_426_1">NA()</definedName>
    <definedName name="SHARED_FORMULA_6_433_6_433_1">NA()</definedName>
    <definedName name="SHARED_FORMULA_6_442_6_442_0">#REF!</definedName>
    <definedName name="SHARED_FORMULA_6_452_6_452_0">#REF!</definedName>
    <definedName name="SHARED_FORMULA_6_46_6_46_0">NA()</definedName>
    <definedName name="SHARED_FORMULA_6_463_6_463_0">NA()</definedName>
    <definedName name="SHARED_FORMULA_6_470_6_470_0">#REF!</definedName>
    <definedName name="SHARED_FORMULA_6_478_6_478_0">#REF!</definedName>
    <definedName name="SHARED_FORMULA_6_48_6_48_0">#REF!</definedName>
    <definedName name="SHARED_FORMULA_6_489_6_489_0">"#ref!"</definedName>
    <definedName name="SHARED_FORMULA_6_505_6_505_0">"#ref!"</definedName>
    <definedName name="SHARED_FORMULA_6_511_6_511_0">#REF!</definedName>
    <definedName name="SHARED_FORMULA_6_517_6_517_0">NA()</definedName>
    <definedName name="SHARED_FORMULA_6_527_6_527_0">NA()</definedName>
    <definedName name="SHARED_FORMULA_6_530_6_530_0">#REF!</definedName>
    <definedName name="SHARED_FORMULA_6_532_6_532_0">NA()</definedName>
    <definedName name="SHARED_FORMULA_6_544_6_544_0">NA()</definedName>
    <definedName name="SHARED_FORMULA_6_553_6_553_0">NA()</definedName>
    <definedName name="SHARED_FORMULA_6_561_6_561_0">NA()</definedName>
    <definedName name="SHARED_FORMULA_6_569_6_569_1">NA()</definedName>
    <definedName name="SHARED_FORMULA_6_572_6_572_0">#REF!</definedName>
    <definedName name="SHARED_FORMULA_6_575_6_575_1">NA()</definedName>
    <definedName name="SHARED_FORMULA_6_580_6_580_1">NA()</definedName>
    <definedName name="SHARED_FORMULA_6_594_6_594_0">NA()</definedName>
    <definedName name="SHARED_FORMULA_6_600_6_600_0">#REF!</definedName>
    <definedName name="SHARED_FORMULA_6_608_6_608_0">NA()</definedName>
    <definedName name="SHARED_FORMULA_6_61_6_61_0">NA()</definedName>
    <definedName name="SHARED_FORMULA_6_613_6_613_0">#REF!</definedName>
    <definedName name="SHARED_FORMULA_6_63_6_63_0">#REF!</definedName>
    <definedName name="SHARED_FORMULA_6_633_6_633_0">NA()</definedName>
    <definedName name="SHARED_FORMULA_6_638_6_638_0">#REF!</definedName>
    <definedName name="SHARED_FORMULA_6_64_6_64_0">#REF!</definedName>
    <definedName name="SHARED_FORMULA_6_655_6_655_0">NA()</definedName>
    <definedName name="SHARED_FORMULA_6_658_6_658_0">NA()</definedName>
    <definedName name="SHARED_FORMULA_6_662_6_662_0">#REF!</definedName>
    <definedName name="SHARED_FORMULA_6_672_6_672_0">NA()</definedName>
    <definedName name="SHARED_FORMULA_6_677_6_677_0">#REF!</definedName>
    <definedName name="SHARED_FORMULA_6_693_6_693_0">#REF!</definedName>
    <definedName name="SHARED_FORMULA_6_695_6_695_0">NA()</definedName>
    <definedName name="SHARED_FORMULA_6_719_6_719_0">NA()</definedName>
    <definedName name="SHARED_FORMULA_6_79_6_79_0">NA()</definedName>
    <definedName name="SHARED_FORMULA_6_881_6_881_1">ROUNDUP(#REF!*#REF!*#REF!,1)</definedName>
    <definedName name="SHARED_FORMULA_6_885_6_885_1">NA()</definedName>
    <definedName name="SHARED_FORMULA_6_889_6_889_1">NA()</definedName>
    <definedName name="SHARED_FORMULA_6_89_6_89_0">NA()</definedName>
    <definedName name="SHARED_FORMULA_6_91_6_91_0">#REF!</definedName>
    <definedName name="SHARED_FORMULA_6_96_6_96_0">#REF!</definedName>
    <definedName name="SHARED_FORMULA_7_10_7_10_0">IF(#REF!=0,"",+TRUNC(#REF!*#REF!,2))</definedName>
    <definedName name="SHARED_FORMULA_7_108_7_108_0">ROUND(#REF!*#REF!,2)</definedName>
    <definedName name="SHARED_FORMULA_7_110_7_110_0">NA()</definedName>
    <definedName name="SHARED_FORMULA_7_115_7_115_0">IF(#REF!=0,"",+TRUNC(#REF!*#REF!,2))</definedName>
    <definedName name="SHARED_FORMULA_7_120_7_120_1">"#ref!"*"#ref!"</definedName>
    <definedName name="SHARED_FORMULA_7_123_7_123_1">NA()</definedName>
    <definedName name="SHARED_FORMULA_7_124_7_124_0">NA()</definedName>
    <definedName name="SHARED_FORMULA_7_136_7_136_0">NA()</definedName>
    <definedName name="SHARED_FORMULA_7_137_7_137_0">NA()</definedName>
    <definedName name="SHARED_FORMULA_7_165_7_165_0">IF(#REF!=0,"",+TRUNC(#REF!*#REF!,2))</definedName>
    <definedName name="SHARED_FORMULA_7_172_7_172_0">IF("#ref!"=0,"",+TRUNC("#ref!"*"#ref!",2))</definedName>
    <definedName name="SHARED_FORMULA_7_179_7_179_0">IF(#REF!=0,"",+TRUNC(#REF!*#REF!,2))</definedName>
    <definedName name="SHARED_FORMULA_7_183_7_183_0">NA()</definedName>
    <definedName name="SHARED_FORMULA_7_187_7_187_0">IF(#REF!=0,"",+TRUNC(#REF!*#REF!,2))</definedName>
    <definedName name="SHARED_FORMULA_7_201_7_201_0">NA()</definedName>
    <definedName name="SHARED_FORMULA_7_206_7_206_0">IF(#REF!=0,"",+TRUNC(#REF!*#REF!,2))</definedName>
    <definedName name="SHARED_FORMULA_7_21_7_21_0">ROUND(#REF!*#REF!,2)</definedName>
    <definedName name="SHARED_FORMULA_7_213_7_213_0">IF(#REF!=0,"",+TRUNC(#REF!*#REF!,2))</definedName>
    <definedName name="SHARED_FORMULA_7_220_7_220_0">NA()</definedName>
    <definedName name="SHARED_FORMULA_7_221_7_221_0">IF(#REF!=0,"",+TRUNC(#REF!*#REF!,2))</definedName>
    <definedName name="SHARED_FORMULA_7_233_7_233_0">IF(#REF!=0,"",+TRUNC(#REF!*#REF!,2))</definedName>
    <definedName name="SHARED_FORMULA_7_239_7_239_0">IF(#REF!=0,"",+TRUNC(#REF!*#REF!,2))</definedName>
    <definedName name="SHARED_FORMULA_7_243_7_243_0">NA()</definedName>
    <definedName name="SHARED_FORMULA_7_245_7_245_0">IF(#REF!=0,"",+TRUNC(#REF!*#REF!,2))</definedName>
    <definedName name="SHARED_FORMULA_7_250_7_250_0">NA()</definedName>
    <definedName name="SHARED_FORMULA_7_255_7_255_1">NA()</definedName>
    <definedName name="SHARED_FORMULA_7_265_7_265_0">NA()</definedName>
    <definedName name="SHARED_FORMULA_7_267_7_267_0">IF(#REF!=0,"",+TRUNC(#REF!*#REF!,2))</definedName>
    <definedName name="SHARED_FORMULA_7_276_7_276_0">IF(#REF!=0,"",+TRUNC(#REF!*#REF!,2))</definedName>
    <definedName name="SHARED_FORMULA_7_2779_7_2779_1">NA()</definedName>
    <definedName name="Sigilo">#REF!</definedName>
    <definedName name="SINAPI_INSUMO">[23]Banco_Insumo!$B$3:$F$4189</definedName>
    <definedName name="SINAPI_SERVICO">[23]Banco_Servico!$B$2:$G$11262</definedName>
    <definedName name="SISTEMATRATAMENTOLODOETAJUTURNAIBA">'[16]Quadro II '!#REF!</definedName>
    <definedName name="SITUACAO">'[108]2013'!$C$1006:$C$1013</definedName>
    <definedName name="SOCIEDAD___SIDECO_BRASIL_S.A.">#REF!</definedName>
    <definedName name="solver_cvg" hidden="1">0.001</definedName>
    <definedName name="solver_drv" hidden="1">1</definedName>
    <definedName name="solver_est" hidden="1">1</definedName>
    <definedName name="solver_itr" hidden="1">100</definedName>
    <definedName name="solver_lin" hidden="1">2</definedName>
    <definedName name="solver_neg" hidden="1">2</definedName>
    <definedName name="solver_num" hidden="1">0</definedName>
    <definedName name="solver_nwt" hidden="1">1</definedName>
    <definedName name="solver_pre" hidden="1">0.000001</definedName>
    <definedName name="solver_scl" hidden="1">2</definedName>
    <definedName name="solver_sho" hidden="1">2</definedName>
    <definedName name="solver_tim" hidden="1">100</definedName>
    <definedName name="solver_tol" hidden="1">0.05</definedName>
    <definedName name="solver_typ" hidden="1">3</definedName>
    <definedName name="solver_val" hidden="1">19.66</definedName>
    <definedName name="SOMA2">'[23]MC-Sinalização'!#REF!</definedName>
    <definedName name="SOMA3">'[23]MC-Sinalização'!#REF!</definedName>
    <definedName name="SomaAgrup" hidden="1">SUMIF(OFFSET(#REF!,1,0,#REF!),"S",OFFSET(#REF!,1,0,#REF!))</definedName>
    <definedName name="ss" localSheetId="8"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ss" localSheetId="9">#REF!</definedName>
    <definedName name="ss" hidden="1">{#N/A,#N/A,FALSE,"Cronograma";#N/A,#N/A,FALSE,"Cronogr. 2"}</definedName>
    <definedName name="sss" localSheetId="8">'[16]Quadro II '!#REF!</definedName>
    <definedName name="SSS" localSheetId="9">#REF!</definedName>
    <definedName name="SSS">#REF!</definedName>
    <definedName name="ssss">#REF!</definedName>
    <definedName name="Status">#REF!</definedName>
    <definedName name="SUDECAP_INSUMO">[23]Banco_Insumo!$B$6099:$F$7629</definedName>
    <definedName name="SUDECAP_SERVICO">[23]Banco_Servico!$B$16397:$G$18508</definedName>
    <definedName name="Summary">#REF!</definedName>
    <definedName name="SUMMERY" localSheetId="9">#REF!</definedName>
    <definedName name="SUMMERY">#REF!</definedName>
    <definedName name="t" localSheetId="8">#REF!</definedName>
    <definedName name="t">#REF!</definedName>
    <definedName name="T1MTP">[27]Parameters!$B$4</definedName>
    <definedName name="T2MTP">[27]Parameters!$B$5</definedName>
    <definedName name="Tabela" localSheetId="9">#REF!</definedName>
    <definedName name="Tabela">#REF!</definedName>
    <definedName name="TabelaConsol" localSheetId="9">#REF!</definedName>
    <definedName name="TabelaConsol">#REF!</definedName>
    <definedName name="TabelaDERMG" localSheetId="9">#REF!</definedName>
    <definedName name="TabelaDERMG">#REF!</definedName>
    <definedName name="TabelaDistribuiçãoDeMassas">#REF!</definedName>
    <definedName name="TabelaSicro">#REF!</definedName>
    <definedName name="Target">[109]Title!$E$11</definedName>
    <definedName name="TarifaUnit">[110]Receitas!#REF!</definedName>
    <definedName name="TAXA">'[111]FLUXO  DIÁRIO'!$C$3</definedName>
    <definedName name="TB_ALT_PVA">'[23]TABELA NBR'!$S$61:$X$70</definedName>
    <definedName name="TB_ALT_PVB">'[23]TABELA NBR'!$Z$61:$AF$70</definedName>
    <definedName name="TB_ALT_PVC">'[23]TABELA NBR'!$S$76:$Y$85</definedName>
    <definedName name="tbalvenaria">#REF!</definedName>
    <definedName name="tbalvenaria2">#REF!</definedName>
    <definedName name="tbalvenaria3">#REF!</definedName>
    <definedName name="TbDez2000">#REF!</definedName>
    <definedName name="TbFev1994_Nov2000">#REF!</definedName>
    <definedName name="TCPO_INSUMO">[23]Banco_Insumo!$B$10843:$F$17209</definedName>
    <definedName name="TCPO_SERVICO">[23]Banco_Servico!$B$21139:$G$28970</definedName>
    <definedName name="TE">#REF!</definedName>
    <definedName name="TEC" localSheetId="9">#REF!</definedName>
    <definedName name="TEC">#REF!</definedName>
    <definedName name="TEC." localSheetId="9">#REF!</definedName>
    <definedName name="TEC.">#REF!</definedName>
    <definedName name="teca1">#REF!,#REF!</definedName>
    <definedName name="tela_032303">#REF!</definedName>
    <definedName name="tera">#REF!,#REF!</definedName>
    <definedName name="TERRAPLENAGEM" localSheetId="9">#REF!</definedName>
    <definedName name="TERRAPLENAGEM">#REF!</definedName>
    <definedName name="TERRENO" localSheetId="9">#REF!</definedName>
    <definedName name="TERRENO">#REF!</definedName>
    <definedName name="TES" hidden="1">#REF!</definedName>
    <definedName name="TEST1" localSheetId="9">#REF!</definedName>
    <definedName name="TEST1">#REF!</definedName>
    <definedName name="TEST2">#REF!</definedName>
    <definedName name="TEST3">#REF!</definedName>
    <definedName name="TestAdd">"Test RefersTo1"</definedName>
    <definedName name="teste" localSheetId="8" hidden="1">'[53]fluxo de caixa'!#REF!</definedName>
    <definedName name="TESTE" localSheetId="9">#REF!</definedName>
    <definedName name="TESTE">#REF!</definedName>
    <definedName name="teste_planilha">#REF!</definedName>
    <definedName name="TESTE2">#REF!</definedName>
    <definedName name="testea">#REF!</definedName>
    <definedName name="TESTHKEY" localSheetId="9">#REF!</definedName>
    <definedName name="TESTHKEY">#REF!</definedName>
    <definedName name="TESTKEYS">#REF!</definedName>
    <definedName name="TESTVKEY">#REF!</definedName>
    <definedName name="TextRefCopyRangeCount" hidden="1">2</definedName>
    <definedName name="Tipo">#REF!</definedName>
    <definedName name="TipoDeCompactação" localSheetId="9">#REF!</definedName>
    <definedName name="TipoDeCompactação">#REF!</definedName>
    <definedName name="TipoDeEscavação" localSheetId="9">#REF!</definedName>
    <definedName name="TipoDeEscavação">#REF!</definedName>
    <definedName name="TipoDeTransporte" localSheetId="9">#REF!</definedName>
    <definedName name="TipoDeTransporte">#REF!</definedName>
    <definedName name="TIPOMONTAGEMANDAIME">#REF!</definedName>
    <definedName name="TIPOORCAMENTO" hidden="1">IF(VALUE([26]MENU!$O$3)=2,"Licitado","Proposto")</definedName>
    <definedName name="tipoTijolo">#REF!</definedName>
    <definedName name="Titel">[67]Parameters!$B$1</definedName>
    <definedName name="title">'[54]         Title              '!$C$4</definedName>
    <definedName name="_xlnm.Print_Titles">'[112]relac.parceria :.parceria(Fazenda)'!$A$7:$IV$8</definedName>
    <definedName name="Tolerantie">'[107]1. Instellingen'!$B$18</definedName>
    <definedName name="TOTAL" localSheetId="9">#REF!</definedName>
    <definedName name="TOTAL">#REF!</definedName>
    <definedName name="TOTALIZADOR_DE_HORAS_POR_TIPO">#REF!</definedName>
    <definedName name="TRANS">[113]Capa!$A$1:$D$137</definedName>
    <definedName name="transferencia">[90]Capa!$A$1:$D$137</definedName>
    <definedName name="TreinQual">#REF!</definedName>
    <definedName name="ttt" localSheetId="9">#REF!</definedName>
    <definedName name="ttt">#REF!</definedName>
    <definedName name="TV_OMZET">'[29]BU TV &amp; Ancillary'!$S$26</definedName>
    <definedName name="u" localSheetId="8">[56]FCF!$N$6</definedName>
    <definedName name="u" localSheetId="9">#REF!</definedName>
    <definedName name="u">#REF!</definedName>
    <definedName name="UJI"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unit" localSheetId="8">#REF!</definedName>
    <definedName name="UNIT" localSheetId="9">#REF!</definedName>
    <definedName name="UNIT">#REF!</definedName>
    <definedName name="unknown">[109]Title!$N$2</definedName>
    <definedName name="urb" localSheetId="9">#REF!</definedName>
    <definedName name="urb">#REF!</definedName>
    <definedName name="usina" localSheetId="9">'[7]DADOS COLETATO'!$C$42</definedName>
    <definedName name="usina">#REF!</definedName>
    <definedName name="usodeequipamentos" localSheetId="9">#REF!</definedName>
    <definedName name="usodeequipamentos">#REF!</definedName>
    <definedName name="UUUUUUUUUUUUUUUUUUUU">#REF!,#REF!</definedName>
    <definedName name="v">[56]Inputs!$B$14</definedName>
    <definedName name="Vagão">#REF!</definedName>
    <definedName name="VALOR">#REF!</definedName>
    <definedName name="value">3</definedName>
    <definedName name="Variação">[97]Opções!$D$6:$D$17</definedName>
    <definedName name="Variavel_de_decisão">[97]Opções!$B$6:$B$10</definedName>
    <definedName name="Veiculos">#REF!</definedName>
    <definedName name="VENDAS">#REF!</definedName>
    <definedName name="Vendor_loan">'[61]Buy Out Overview'!$B$37</definedName>
    <definedName name="ventas">#REF!</definedName>
    <definedName name="Verbas">#REF!</definedName>
    <definedName name="versionno">1</definedName>
    <definedName name="volumedebrita" localSheetId="9">'[7]DADOS COLETATO'!$I$10</definedName>
    <definedName name="volumedebrita">#REF!</definedName>
    <definedName name="volumedecorte" localSheetId="9">'[7]DADOS COLETATO'!$I$9</definedName>
    <definedName name="volumedecorte">#REF!</definedName>
    <definedName name="volumedepv" localSheetId="9">'[7]DADOS COLETATO'!$I$11</definedName>
    <definedName name="volumedepv">#REF!</definedName>
    <definedName name="VPL">#REF!</definedName>
    <definedName name="VTOTAL1" hidden="1">ROUND(#REF!*#REF!,15-13*#REF!)</definedName>
    <definedName name="w">[56]Inputs!$B$3</definedName>
    <definedName name="waccP">[98]WACC_PCM!$C$2</definedName>
    <definedName name="WC_facility">'[61]Buy Out Overview'!$B$28</definedName>
    <definedName name="WE" localSheetId="9">#REF!</definedName>
    <definedName name="we">[114]Input!$L$11</definedName>
    <definedName name="wrn.Cronograma." hidden="1">{#N/A,#N/A,FALSE,"Cronograma";#N/A,#N/A,FALSE,"Cronogr. 2"}</definedName>
    <definedName name="wrn.GERAL." hidden="1">{#N/A,#N/A,FALSE,"ET-CAPA";#N/A,#N/A,FALSE,"ET-PAG1";#N/A,#N/A,FALSE,"ET-PAG2";#N/A,#N/A,FALSE,"ET-PAG3";#N/A,#N/A,FALSE,"ET-PAG4";#N/A,#N/A,FALSE,"ET-PAG5"}</definedName>
    <definedName name="wrn.impresión."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wrn.impresión.1"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wrn.PENDENCIAS." hidden="1">{#N/A,#N/A,FALSE,"GERAL";#N/A,#N/A,FALSE,"012-96";#N/A,#N/A,FALSE,"018-96";#N/A,#N/A,FALSE,"027-96";#N/A,#N/A,FALSE,"059-96";#N/A,#N/A,FALSE,"076-96";#N/A,#N/A,FALSE,"019-97";#N/A,#N/A,FALSE,"021-97";#N/A,#N/A,FALSE,"022-97";#N/A,#N/A,FALSE,"028-97"}</definedName>
    <definedName name="wrn.VENTAS." hidden="1">{"VENTAS1",#N/A,FALSE,"VENTAS";"VENTAS2",#N/A,FALSE,"VENTAS";"VENTAS3",#N/A,FALSE,"VENTAS";"VENTAS4",#N/A,FALSE,"VENTAS";"VENTAS5",#N/A,FALSE,"VENTAS";"VENTAS6",#N/A,FALSE,"VENTAS";"VENTAS7",#N/A,FALSE,"VENTAS";"VENTAS8",#N/A,FALSE,"VENTAS"}</definedName>
    <definedName name="wrn.ventas.1" hidden="1">{"VENTAS1",#N/A,FALSE,"VENTAS";"VENTAS2",#N/A,FALSE,"VENTAS";"VENTAS3",#N/A,FALSE,"VENTAS";"VENTAS4",#N/A,FALSE,"VENTAS";"VENTAS5",#N/A,FALSE,"VENTAS";"VENTAS6",#N/A,FALSE,"VENTAS";"VENTAS7",#N/A,FALSE,"VENTAS";"VENTAS8",#N/A,FALSE,"VENTAS"}</definedName>
    <definedName name="wse"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wva.Print_Todo." hidden="1">{TRUE,TRUE,-1.25,-15.5,484.5,276.75,FALSE,TRUE,TRUE,TRUE,0,1,1,300,1,1.96296296296296,1.15384615384615,4,TRUE,TRUE,3,TRUE,1,FALSE,75,"Swvu.Print_Todo.","ACwvu.Print_Todo.",#N/A,FALSE,FALSE,0,0,0,0,2,"","",FALSE,FALSE,TRUE,FALSE,1,#N/A,2,10,"=R1C1:R636C40",FALSE,#N/A,#N/A,FALSE,FALSE,FALSE,9,300,300,FALSE,TRUE,TRUE,TRUE,TRUE}</definedName>
    <definedName name="wvu.Print_Todo." hidden="1">{TRUE,TRUE,-1.25,-15.5,484.5,276.75,FALSE,TRUE,TRUE,TRUE,0,1,1,300,1,1.96296296296296,1.15384615384615,4,TRUE,TRUE,3,TRUE,1,FALSE,75,"Swvu.Print_Todo.","ACwvu.Print_Todo.",#N/A,FALSE,FALSE,0,0,0,0,2,"","",FALSE,FALSE,TRUE,FALSE,1,#N/A,2,10,"=R1C1:R636C40",FALSE,#N/A,#N/A,FALSE,FALSE,FALSE,9,300,300,FALSE,TRUE,TRUE,TRUE,TRUE}</definedName>
    <definedName name="wvu.Socios._.95." hidden="1">{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name="ww">#REF!</definedName>
    <definedName name="wwww" hidden="1">{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name="x">[56]Inputs!$B$13</definedName>
    <definedName name="xx" localSheetId="8">#REF!</definedName>
    <definedName name="xx" localSheetId="9">#REF!</definedName>
    <definedName name="xx">#REF!</definedName>
    <definedName name="xxx" localSheetId="9">#REF!</definedName>
    <definedName name="xxx">#REF!</definedName>
    <definedName name="XXX010160100">#REF!</definedName>
    <definedName name="XXX2">#REF!,#REF!</definedName>
    <definedName name="xxxx">#REF!</definedName>
    <definedName name="xxxxx">#REF!,#REF!</definedName>
    <definedName name="xxxxxxx">#REF!,#REF!</definedName>
    <definedName name="xxxxxxxxx">#REF!,#REF!</definedName>
    <definedName name="y" localSheetId="9" hidden="1">#REF!</definedName>
    <definedName name="y">[56]BS!$A$75</definedName>
    <definedName name="YYYYYYYYYYYYYYYYY">#REF!,#REF!</definedName>
    <definedName name="z">#REF!</definedName>
    <definedName name="ZONASUL" localSheetId="9">'[79]CUSTO ZONA SUL'!$A$3:$N$21</definedName>
    <definedName name="ZONASUL">#REF!</definedName>
    <definedName name="ZZZZZB2">#REF!,#REF!</definedName>
    <definedName name="zzzzzzz">#REF!,#REF!</definedName>
    <definedName name="ZZZZZZZZZZ2">#REF!,#REF!</definedName>
    <definedName name="ZZZZZZZZZZZ">#REF!,#REF!</definedName>
    <definedName name="ZZZZZZZZZZZZZZZZZZZZZZZZ">#REF!,#REF!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admhf</author>
  </authors>
  <commentList>
    <comment ref="M87" authorId="0">
      <text>
        <r>
          <rPr>
            <b/>
            <sz val="9"/>
            <rFont val="Segoe UI"/>
            <charset val="134"/>
          </rPr>
          <t>admhf:</t>
        </r>
        <r>
          <rPr>
            <sz val="9"/>
            <rFont val="Segoe UI"/>
            <charset val="134"/>
          </rPr>
          <t xml:space="preserve">
MAIS UM POUCO POR CONTA DAS MONTAGENS</t>
        </r>
      </text>
    </comment>
  </commentList>
</comments>
</file>

<file path=xl/comments2.xml><?xml version="1.0" encoding="utf-8"?>
<comments xmlns="http://schemas.openxmlformats.org/spreadsheetml/2006/main">
  <authors>
    <author>User</author>
  </authors>
  <commentList>
    <comment ref="I71" authorId="0">
      <text>
        <r>
          <rPr>
            <b/>
            <sz val="9"/>
            <rFont val="Segoe UI"/>
            <charset val="134"/>
          </rPr>
          <t>User:</t>
        </r>
        <r>
          <rPr>
            <sz val="9"/>
            <rFont val="Segoe UI"/>
            <charset val="134"/>
          </rPr>
          <t xml:space="preserve">
SEM CUNHA DE BORRACHA</t>
        </r>
      </text>
    </comment>
  </commentList>
</comments>
</file>

<file path=xl/sharedStrings.xml><?xml version="1.0" encoding="utf-8"?>
<sst xmlns="http://schemas.openxmlformats.org/spreadsheetml/2006/main" count="28301" uniqueCount="4629">
  <si>
    <t>BD: BANCO DE DADOS</t>
  </si>
  <si>
    <t>Salários base por estado</t>
  </si>
  <si>
    <t>Salário mínimo</t>
  </si>
  <si>
    <t>Cód.</t>
  </si>
  <si>
    <t>Cargo</t>
  </si>
  <si>
    <t>DF</t>
  </si>
  <si>
    <t>MG</t>
  </si>
  <si>
    <t>SC</t>
  </si>
  <si>
    <t>PR</t>
  </si>
  <si>
    <t>MS</t>
  </si>
  <si>
    <t>Adicional</t>
  </si>
  <si>
    <t>DATA ATUALIZAÇÃO</t>
  </si>
  <si>
    <t>???</t>
  </si>
  <si>
    <t>Almoxarife</t>
  </si>
  <si>
    <t>Auxiliar administrativo</t>
  </si>
  <si>
    <t>Encarregado frente</t>
  </si>
  <si>
    <t>Encarregado geral</t>
  </si>
  <si>
    <t>Oficial</t>
  </si>
  <si>
    <t>Oficial c/ insalubridade</t>
  </si>
  <si>
    <t>Operador</t>
  </si>
  <si>
    <t>Servente</t>
  </si>
  <si>
    <t>Servente c/ insalubridade</t>
  </si>
  <si>
    <t>Técnico segurança do trabalho</t>
  </si>
  <si>
    <t>Encarregado frente LIGAÇÃO</t>
  </si>
  <si>
    <t>Encarregado frente c/ insalubridade</t>
  </si>
  <si>
    <t>Técnico de edificações</t>
  </si>
  <si>
    <t>Custos mão de obra</t>
  </si>
  <si>
    <t>Descrição</t>
  </si>
  <si>
    <t xml:space="preserve">Passagem 
Residente </t>
  </si>
  <si>
    <t>Exame 
(média mensal)</t>
  </si>
  <si>
    <t>Cesta ou vale - alojado</t>
  </si>
  <si>
    <t>Cesta ou vale - residente</t>
  </si>
  <si>
    <t>Almoço/Janta</t>
  </si>
  <si>
    <t>Café da manhã</t>
  </si>
  <si>
    <t xml:space="preserve">Baixada 
Alojado </t>
  </si>
  <si>
    <t>Prazo baixada</t>
  </si>
  <si>
    <t>EPI</t>
  </si>
  <si>
    <t>Data atualização</t>
  </si>
  <si>
    <t>N° CA</t>
  </si>
  <si>
    <t>Periodicidade</t>
  </si>
  <si>
    <t>Quant.</t>
  </si>
  <si>
    <t>Validade</t>
  </si>
  <si>
    <t>Valor unit.</t>
  </si>
  <si>
    <t>Botina de Segurança (Tipo Couro) - CA 40043</t>
  </si>
  <si>
    <t>Botina de Segurança (Tipo PVC Cano Longo) - CA 42673</t>
  </si>
  <si>
    <t>Luva Pigmentada, cor cinza - CA 36347</t>
  </si>
  <si>
    <t>Luva de Vaqueta - CA 25368</t>
  </si>
  <si>
    <t>Luva Nitrilica - CA 46816</t>
  </si>
  <si>
    <t>Protetor Auricular Tipo Plug - CA 35981</t>
  </si>
  <si>
    <t>Abafador Tipo Concha 3M - CA 14235</t>
  </si>
  <si>
    <t>Máscara com filtro descartável (PFF2) - CA 39051</t>
  </si>
  <si>
    <t>Óculos de Segurança Incolor - CA 14990</t>
  </si>
  <si>
    <t>Óculos de Segurança Escuro - CA 15298</t>
  </si>
  <si>
    <t>Capacete com Julgular - CA 29638</t>
  </si>
  <si>
    <t>UNIFORME</t>
  </si>
  <si>
    <t>Cód</t>
  </si>
  <si>
    <t>C1</t>
  </si>
  <si>
    <t>CAMISETA DE UNIFORME</t>
  </si>
  <si>
    <t>C2</t>
  </si>
  <si>
    <t>CALÇA DE UNIFORME</t>
  </si>
  <si>
    <t>KIT HIGIENE</t>
  </si>
  <si>
    <t>I001</t>
  </si>
  <si>
    <t>Sabonete em barra ou líquido (4unid/colaborador/mês)</t>
  </si>
  <si>
    <t>I002</t>
  </si>
  <si>
    <t>Tubo de creme dental 180gr (1unid/colaborador/mês)</t>
  </si>
  <si>
    <t>I003</t>
  </si>
  <si>
    <t>Caixa de sabão em pó de 2kg (1unid/colaborador/mês)</t>
  </si>
  <si>
    <t>MATERIAIS E PRODUTOS DE LIMPEZA</t>
  </si>
  <si>
    <t>Rolo de papel higienico</t>
  </si>
  <si>
    <t>Papel toalha (pac com 1000folhas)</t>
  </si>
  <si>
    <t>Saco de lixo 80L</t>
  </si>
  <si>
    <t>Sabonete líquido 5L</t>
  </si>
  <si>
    <t>Água sanitária 4L</t>
  </si>
  <si>
    <t>Desinfetante 4L</t>
  </si>
  <si>
    <t>Detergente</t>
  </si>
  <si>
    <t>Bucha de louça</t>
  </si>
  <si>
    <t>Vassoura</t>
  </si>
  <si>
    <t>Rodo</t>
  </si>
  <si>
    <t>Pano de Limpeza</t>
  </si>
  <si>
    <t>Saco de lixo (30 litros)</t>
  </si>
  <si>
    <t>Água sanitária</t>
  </si>
  <si>
    <t>Desinfetante</t>
  </si>
  <si>
    <t>Recarga botijão de gás</t>
  </si>
  <si>
    <t>FERRAMENTAS</t>
  </si>
  <si>
    <t>Unid.</t>
  </si>
  <si>
    <t>Trena 5m</t>
  </si>
  <si>
    <t>Trena 8m</t>
  </si>
  <si>
    <t>Trena 50m</t>
  </si>
  <si>
    <t>Nível de aluminio</t>
  </si>
  <si>
    <t>Prumo de face</t>
  </si>
  <si>
    <t>Colher de pedreiro</t>
  </si>
  <si>
    <t>Esquadro para carpinteiro</t>
  </si>
  <si>
    <t>Lápis carpinteiro</t>
  </si>
  <si>
    <t>Mangueira</t>
  </si>
  <si>
    <t>Martelo</t>
  </si>
  <si>
    <t>Linha de pedreiro 0.80mm x 100m</t>
  </si>
  <si>
    <t>Chibanca</t>
  </si>
  <si>
    <t>Picareta</t>
  </si>
  <si>
    <t>Enxada</t>
  </si>
  <si>
    <t>Pá de bico</t>
  </si>
  <si>
    <t>Carrinho de mão</t>
  </si>
  <si>
    <t>Torques</t>
  </si>
  <si>
    <t>Peneira para areia</t>
  </si>
  <si>
    <t>Alicate</t>
  </si>
  <si>
    <t>Desempenadeira</t>
  </si>
  <si>
    <t>Broxa</t>
  </si>
  <si>
    <t>Masseira plastica</t>
  </si>
  <si>
    <t>Cinta para elevação de carga</t>
  </si>
  <si>
    <t>Chave de fenda</t>
  </si>
  <si>
    <t>Chave philips</t>
  </si>
  <si>
    <t>Marreta oitavada com cabo 5kg</t>
  </si>
  <si>
    <t>Corda</t>
  </si>
  <si>
    <t>M</t>
  </si>
  <si>
    <t>COMPOSIÇÕES DE CUSTO UNITÁRIO INTERNAS</t>
  </si>
  <si>
    <t>Mão-de-Obra</t>
  </si>
  <si>
    <t>Código</t>
  </si>
  <si>
    <t>Salário Base</t>
  </si>
  <si>
    <t>Encargos</t>
  </si>
  <si>
    <t xml:space="preserve">Salário +
Encargos
Residente </t>
  </si>
  <si>
    <t xml:space="preserve">Salário +
Encargos
Alojado </t>
  </si>
  <si>
    <t>ALIMENTAÇÃO</t>
  </si>
  <si>
    <t>Dias</t>
  </si>
  <si>
    <t>Total</t>
  </si>
  <si>
    <t>Alimentação alojado</t>
  </si>
  <si>
    <t>Alimentação residente</t>
  </si>
  <si>
    <t>EPI/UNIFORME</t>
  </si>
  <si>
    <t>Quant/mês</t>
  </si>
  <si>
    <t>Valor/mês</t>
  </si>
  <si>
    <t>KIT HIGIENE ALOJADO</t>
  </si>
  <si>
    <t>Material e produto de limpeza - CANTEIRO</t>
  </si>
  <si>
    <t>Valor total/mês</t>
  </si>
  <si>
    <t>Material e produto de limpeza - ALOJAMENTO PEDREIRO/SERVENTE</t>
  </si>
  <si>
    <t>Material e produto de limpeza - ALOJAMENTO ENCARREGADO/ENGENHEIRO</t>
  </si>
  <si>
    <t>Mobiliario/montagem REFEITÓRIO</t>
  </si>
  <si>
    <t>Item</t>
  </si>
  <si>
    <t>Unidade</t>
  </si>
  <si>
    <t>Quantidade</t>
  </si>
  <si>
    <t>Preço Unitário</t>
  </si>
  <si>
    <t>Preço total</t>
  </si>
  <si>
    <t>1.1</t>
  </si>
  <si>
    <t>Marmiteiro elétrico</t>
  </si>
  <si>
    <t>und</t>
  </si>
  <si>
    <t>1.2</t>
  </si>
  <si>
    <t>Microondas</t>
  </si>
  <si>
    <t>1.3</t>
  </si>
  <si>
    <t>Mesa em madeira</t>
  </si>
  <si>
    <t>1.4</t>
  </si>
  <si>
    <t>Bancos em madeira</t>
  </si>
  <si>
    <t>1.5</t>
  </si>
  <si>
    <t>Pia</t>
  </si>
  <si>
    <t>1.6</t>
  </si>
  <si>
    <t>Tanque</t>
  </si>
  <si>
    <t>1.7</t>
  </si>
  <si>
    <t>Bebedouro</t>
  </si>
  <si>
    <t>1.8</t>
  </si>
  <si>
    <t>Garrada térmica 5L</t>
  </si>
  <si>
    <t>1.9</t>
  </si>
  <si>
    <t>Porta detergente</t>
  </si>
  <si>
    <t>1.10</t>
  </si>
  <si>
    <t>Porta papel toalha</t>
  </si>
  <si>
    <t>1.11</t>
  </si>
  <si>
    <t>Lixeira 60L</t>
  </si>
  <si>
    <t>Mobiliario/montagem VESTIÁRIO</t>
  </si>
  <si>
    <t>2.1</t>
  </si>
  <si>
    <t>Armário metálico com chave (12 portas)</t>
  </si>
  <si>
    <t>2.2</t>
  </si>
  <si>
    <t>Banco em madeira</t>
  </si>
  <si>
    <t>2.3</t>
  </si>
  <si>
    <t>Chuveiro elétrico</t>
  </si>
  <si>
    <t>2.4</t>
  </si>
  <si>
    <t>Porta sabonete líquido</t>
  </si>
  <si>
    <t>2.5</t>
  </si>
  <si>
    <t>Portal papel toalha</t>
  </si>
  <si>
    <t>2.6</t>
  </si>
  <si>
    <t xml:space="preserve">Porta papel higiênico </t>
  </si>
  <si>
    <t>2.7</t>
  </si>
  <si>
    <t>Mobiliario/montagem ESCRITÓRIO</t>
  </si>
  <si>
    <t>3.1</t>
  </si>
  <si>
    <t>Mesa de escritório</t>
  </si>
  <si>
    <t>3.2</t>
  </si>
  <si>
    <t>Cadeira ergonomica</t>
  </si>
  <si>
    <t>3.3</t>
  </si>
  <si>
    <t xml:space="preserve">Cadeira </t>
  </si>
  <si>
    <t>3.4</t>
  </si>
  <si>
    <t>Arquivo</t>
  </si>
  <si>
    <t>3.5</t>
  </si>
  <si>
    <t>Celular para registro do ponto</t>
  </si>
  <si>
    <t>Mobiliario/montagem CANTEIRO MÓVEL</t>
  </si>
  <si>
    <t>4.1</t>
  </si>
  <si>
    <t>Tenda</t>
  </si>
  <si>
    <t>4.2</t>
  </si>
  <si>
    <t>Cadeira de plástico</t>
  </si>
  <si>
    <t>4.3</t>
  </si>
  <si>
    <t>Mesa de plástico</t>
  </si>
  <si>
    <t>4.4</t>
  </si>
  <si>
    <t>Mobiliario/montagem alojamentos - PEDREIRO/SERVENTE</t>
  </si>
  <si>
    <t>Cama solteiro</t>
  </si>
  <si>
    <t>Colchão solteiro</t>
  </si>
  <si>
    <t>Armário ou cômoda quarto (2/quarto)</t>
  </si>
  <si>
    <t>Ventilador (1/quarto)</t>
  </si>
  <si>
    <t>Mesa de plastico com cadeiras</t>
  </si>
  <si>
    <t>Fogão elétrico</t>
  </si>
  <si>
    <t>Botijão de gás</t>
  </si>
  <si>
    <t>Geladeira</t>
  </si>
  <si>
    <t>Jogo de panela</t>
  </si>
  <si>
    <t>Kit prato, copo, talher</t>
  </si>
  <si>
    <t>Máquina de lavar roupas</t>
  </si>
  <si>
    <t>Televisão</t>
  </si>
  <si>
    <t>Sofá</t>
  </si>
  <si>
    <t>Mobiliario/montagem alojamentos - ENCARREGADO/ENGENHEIRO</t>
  </si>
  <si>
    <t>Banco de dados:  Equipamentos</t>
  </si>
  <si>
    <t>Un</t>
  </si>
  <si>
    <t>Combustivel</t>
  </si>
  <si>
    <t>Consumo (L/Un)</t>
  </si>
  <si>
    <t>Diesel</t>
  </si>
  <si>
    <t>L</t>
  </si>
  <si>
    <t xml:space="preserve"> </t>
  </si>
  <si>
    <t>Gasolina</t>
  </si>
  <si>
    <t>Banheiro com 2 limpezas semanais</t>
  </si>
  <si>
    <t>mês</t>
  </si>
  <si>
    <t>Betoneira 400L</t>
  </si>
  <si>
    <t>Blindado Leve</t>
  </si>
  <si>
    <t>Blindado Pesado</t>
  </si>
  <si>
    <t>Bomba elétrica</t>
  </si>
  <si>
    <t>Caminhão Basculante Toco com cabine</t>
  </si>
  <si>
    <t>Caminhão Basculante Trucado</t>
  </si>
  <si>
    <t>Caminhão Munk c/ Motorista</t>
  </si>
  <si>
    <t>Caminhão Pipa</t>
  </si>
  <si>
    <t>fabricio ligou</t>
  </si>
  <si>
    <t>Carregadeira</t>
  </si>
  <si>
    <t>hora</t>
  </si>
  <si>
    <t>Compactador</t>
  </si>
  <si>
    <t>Escavadeira</t>
  </si>
  <si>
    <t>Extrusora</t>
  </si>
  <si>
    <t>Fresadora</t>
  </si>
  <si>
    <t>dia</t>
  </si>
  <si>
    <t>Gerador</t>
  </si>
  <si>
    <t>Grupo Gerador</t>
  </si>
  <si>
    <t>Martelo Rompedor 30kg</t>
  </si>
  <si>
    <t>Patrol (motoniveladora)</t>
  </si>
  <si>
    <t xml:space="preserve">Placa vibratória </t>
  </si>
  <si>
    <t>Retro Escavadeira</t>
  </si>
  <si>
    <t>Rolo compactador controle remoto</t>
  </si>
  <si>
    <t>Rolo Compactador Liso</t>
  </si>
  <si>
    <t>Rolo Compactador Pé de Carneiro</t>
  </si>
  <si>
    <t>Rolo liso pequeno para asfalto (1.200kg) s/operador</t>
  </si>
  <si>
    <t>Serra circular</t>
  </si>
  <si>
    <t>Serra clipper (4 discos/mês)</t>
  </si>
  <si>
    <t>Trator com grade</t>
  </si>
  <si>
    <t>Container escritório 6x2,30m com ar condicionado</t>
  </si>
  <si>
    <t>Container deposito</t>
  </si>
  <si>
    <t>Mobilização e desmobilização container</t>
  </si>
  <si>
    <t>Rolo de borracha</t>
  </si>
  <si>
    <t xml:space="preserve">Transporte - Mobilização Blindado Pesado </t>
  </si>
  <si>
    <t>km</t>
  </si>
  <si>
    <t xml:space="preserve">Transporte caminhão basculante terceirizado m3xkm </t>
  </si>
  <si>
    <t>m3xkm</t>
  </si>
  <si>
    <t>61 8606-0547</t>
  </si>
  <si>
    <t>Transporte caminhão basculante terceirizado txkm</t>
  </si>
  <si>
    <t>txkm</t>
  </si>
  <si>
    <t>Instruções de uso da Planilha de Viabilidade</t>
  </si>
  <si>
    <r>
      <rPr>
        <b/>
        <sz val="12"/>
        <rFont val="Aptos"/>
        <charset val="134"/>
      </rPr>
      <t>Bem-vindo!</t>
    </r>
    <r>
      <rPr>
        <sz val="12"/>
        <rFont val="Aptos"/>
        <charset val="134"/>
      </rPr>
      <t xml:space="preserve"> Essa é a planilha de viabilidade, aperfeiçoada pelo </t>
    </r>
    <r>
      <rPr>
        <b/>
        <sz val="12"/>
        <rFont val="Aptos"/>
        <charset val="134"/>
      </rPr>
      <t>Eng. Alexandre Nisgoski da Paixão</t>
    </r>
    <r>
      <rPr>
        <sz val="12"/>
        <rFont val="Aptos"/>
        <charset val="134"/>
      </rPr>
      <t>. Ela tem como objetivo permitir ao orçamentista estimar os custos da obra a ser orçada, com vista a aumentar sua assertividade ao firmar contratos de obras de infraestrutura.</t>
    </r>
  </si>
  <si>
    <r>
      <rPr>
        <sz val="12"/>
        <rFont val="Aptos"/>
        <charset val="134"/>
      </rPr>
      <t xml:space="preserve">                    De início, cabe afirmar que apenas as células em cor </t>
    </r>
    <r>
      <rPr>
        <b/>
        <sz val="12"/>
        <rFont val="Aptos"/>
        <charset val="134"/>
      </rPr>
      <t xml:space="preserve">amarelo claro </t>
    </r>
    <r>
      <rPr>
        <sz val="12"/>
        <rFont val="Aptos"/>
        <charset val="134"/>
      </rPr>
      <t>são editáveis pelo usuário. Agora vamos entender a planilha como um todo.</t>
    </r>
  </si>
  <si>
    <r>
      <rPr>
        <sz val="12"/>
        <rFont val="Aptos"/>
        <charset val="134"/>
      </rPr>
      <t xml:space="preserve">                    A aba “</t>
    </r>
    <r>
      <rPr>
        <b/>
        <sz val="12"/>
        <rFont val="Aptos"/>
        <charset val="134"/>
      </rPr>
      <t>RESUMO DA VIABILIDADE</t>
    </r>
    <r>
      <rPr>
        <sz val="12"/>
        <rFont val="Aptos"/>
        <charset val="134"/>
      </rPr>
      <t>” condensa todos os cálculos e dados inseridos nas demais abas e apresenta, visualmente e com números, os resultados da viabilidade.</t>
    </r>
  </si>
  <si>
    <r>
      <rPr>
        <sz val="12"/>
        <rFont val="Aptos"/>
        <charset val="134"/>
      </rPr>
      <t xml:space="preserve">                    A aba “</t>
    </r>
    <r>
      <rPr>
        <b/>
        <sz val="12"/>
        <rFont val="Aptos"/>
        <charset val="134"/>
      </rPr>
      <t>CUSTO INDIRETO</t>
    </r>
    <r>
      <rPr>
        <sz val="12"/>
        <rFont val="Aptos"/>
        <charset val="134"/>
      </rPr>
      <t xml:space="preserve">” calcula o custo indireto relacionado à obra. Há um botão no </t>
    </r>
    <r>
      <rPr>
        <b/>
        <sz val="12"/>
        <rFont val="Aptos"/>
        <charset val="134"/>
      </rPr>
      <t>canto superior esquerdo</t>
    </r>
    <r>
      <rPr>
        <sz val="12"/>
        <rFont val="Aptos"/>
        <charset val="134"/>
      </rPr>
      <t xml:space="preserve">. Clicar nele abre uma janela para que o usuário insira o </t>
    </r>
    <r>
      <rPr>
        <b/>
        <sz val="12"/>
        <rFont val="Aptos"/>
        <charset val="134"/>
      </rPr>
      <t>mês de início previsto da obra</t>
    </r>
    <r>
      <rPr>
        <sz val="12"/>
        <rFont val="Aptos"/>
        <charset val="134"/>
      </rPr>
      <t xml:space="preserve">, o </t>
    </r>
    <r>
      <rPr>
        <b/>
        <sz val="12"/>
        <rFont val="Aptos"/>
        <charset val="134"/>
      </rPr>
      <t>ano de início da obra</t>
    </r>
    <r>
      <rPr>
        <sz val="12"/>
        <rFont val="Aptos"/>
        <charset val="134"/>
      </rPr>
      <t xml:space="preserve"> e</t>
    </r>
    <r>
      <rPr>
        <b/>
        <sz val="12"/>
        <rFont val="Aptos"/>
        <charset val="134"/>
      </rPr>
      <t xml:space="preserve"> </t>
    </r>
    <r>
      <rPr>
        <sz val="12"/>
        <rFont val="Aptos"/>
        <charset val="134"/>
      </rPr>
      <t xml:space="preserve">a </t>
    </r>
    <r>
      <rPr>
        <b/>
        <sz val="12"/>
        <rFont val="Aptos"/>
        <charset val="134"/>
      </rPr>
      <t>duração estimada da obra</t>
    </r>
    <r>
      <rPr>
        <sz val="12"/>
        <rFont val="Aptos"/>
        <charset val="134"/>
      </rPr>
      <t xml:space="preserve"> em meses. Após inserir esses dados, a planilha é atualizada para ter o número correto de colunas em seu miolo. Assim, o orçamentista poderá colocar os valores (sempre nas células em cor amarelo claro) e calcular o custo indireto da obra, que aparecerá na parte superior direita da tela.</t>
    </r>
  </si>
  <si>
    <r>
      <rPr>
        <sz val="12"/>
        <rFont val="Aptos"/>
        <charset val="134"/>
      </rPr>
      <t xml:space="preserve">                    A aba “</t>
    </r>
    <r>
      <rPr>
        <b/>
        <sz val="12"/>
        <rFont val="Aptos"/>
        <charset val="134"/>
      </rPr>
      <t>DIMENSIONAMENTO DE EQUIPES</t>
    </r>
    <r>
      <rPr>
        <sz val="12"/>
        <rFont val="Aptos"/>
        <charset val="134"/>
      </rPr>
      <t>” é onde a mágica realmente acontece. A ideia é que o engenheiro orçamentista insira todos os serviços significativos da obra a ser orçada lá, dividindo-os por equipes. De posse dos dados de produtividade, pode-se calcular o tempo de execução de cada serviço inserido e partir para a próxima etapa. Essa aba tem dois botões. O primeiro, “</t>
    </r>
    <r>
      <rPr>
        <b/>
        <sz val="12"/>
        <rFont val="Aptos"/>
        <charset val="134"/>
      </rPr>
      <t>Inserir novo campo</t>
    </r>
    <r>
      <rPr>
        <sz val="12"/>
        <rFont val="Aptos"/>
        <charset val="134"/>
      </rPr>
      <t>”, adiciona uma nova tabela para preenchimento com os serviços que comporão o trabalho de uma das equipes. Ademais, clicar nele também adiciona uma nova tabela na aba “</t>
    </r>
    <r>
      <rPr>
        <b/>
        <sz val="12"/>
        <rFont val="Aptos"/>
        <charset val="134"/>
      </rPr>
      <t>CUSTO DIRETO</t>
    </r>
    <r>
      <rPr>
        <sz val="12"/>
        <rFont val="Aptos"/>
        <charset val="134"/>
      </rPr>
      <t>” e já joga para lá o título do serviço e sua duração em meses. O segundo faz exatamente o contrário, apaga aqui e lá a última tabela inserida. As primeiras tabelas das duas abas não poderão ser excluídas nunca.</t>
    </r>
  </si>
  <si>
    <r>
      <rPr>
        <sz val="12"/>
        <rFont val="Aptos"/>
        <charset val="134"/>
      </rPr>
      <t xml:space="preserve">                    A aba “</t>
    </r>
    <r>
      <rPr>
        <b/>
        <sz val="12"/>
        <rFont val="Aptos"/>
        <charset val="134"/>
      </rPr>
      <t>CUSTO DIRETO</t>
    </r>
    <r>
      <rPr>
        <sz val="12"/>
        <rFont val="Aptos"/>
        <charset val="134"/>
      </rPr>
      <t>” é onde serão inseridos o equipamento e mão de obra utilizados para a execução dos serviços.</t>
    </r>
  </si>
  <si>
    <r>
      <rPr>
        <sz val="12"/>
        <rFont val="Aptos"/>
        <charset val="134"/>
      </rPr>
      <t xml:space="preserve">                    Finalmente, a aba “</t>
    </r>
    <r>
      <rPr>
        <b/>
        <sz val="12"/>
        <rFont val="Aptos"/>
        <charset val="134"/>
      </rPr>
      <t>ABC INSUMOS</t>
    </r>
    <r>
      <rPr>
        <sz val="12"/>
        <rFont val="Aptos"/>
        <charset val="134"/>
      </rPr>
      <t xml:space="preserve">” permite estimar o custo de materiais utilizado na obra, finalizando o ciclo. Ela foi feita pensando em trabalhar junto com o Seobra. A ideia é lançar pelo menos os serviços mais significativos no Seobra e gerar a planilha </t>
    </r>
    <r>
      <rPr>
        <b/>
        <sz val="12"/>
        <rFont val="Aptos"/>
        <charset val="134"/>
      </rPr>
      <t>relatório de curva ABC de insumos</t>
    </r>
    <r>
      <rPr>
        <sz val="12"/>
        <rFont val="Aptos"/>
        <charset val="134"/>
      </rPr>
      <t xml:space="preserve">. Então, basta clicar no botão “Importar novo relatório” e selecionar o arquivo gerado pelo Seobra. A planilha adicionará filtros para visualização dos itens e calculará o custo total de materiais, que será exibido na parte superior e já será jogado lá no </t>
    </r>
    <r>
      <rPr>
        <b/>
        <sz val="12"/>
        <rFont val="Aptos"/>
        <charset val="134"/>
      </rPr>
      <t>RESUMO</t>
    </r>
    <r>
      <rPr>
        <sz val="12"/>
        <rFont val="Aptos"/>
        <charset val="134"/>
      </rPr>
      <t>.</t>
    </r>
  </si>
  <si>
    <r>
      <rPr>
        <sz val="12"/>
        <rFont val="Aptos"/>
        <charset val="134"/>
      </rPr>
      <t xml:space="preserve">Pronto, esta é a planilha de viabilidade. </t>
    </r>
    <r>
      <rPr>
        <i/>
        <sz val="12"/>
        <rFont val="Aptos"/>
        <charset val="134"/>
      </rPr>
      <t>Não é magia, é tecnologia.</t>
    </r>
  </si>
  <si>
    <t>Observações:</t>
  </si>
  <si>
    <r>
      <rPr>
        <sz val="12"/>
        <rFont val="Symbol"/>
        <charset val="2"/>
      </rPr>
      <t>·</t>
    </r>
    <r>
      <rPr>
        <sz val="7"/>
        <rFont val="Times New Roman"/>
        <charset val="134"/>
      </rPr>
      <t xml:space="preserve">       </t>
    </r>
    <r>
      <rPr>
        <sz val="12"/>
        <rFont val="Aptos"/>
        <charset val="134"/>
      </rPr>
      <t>Em caso de necessidade de correção de valor de mão de obra, de equipamento, de custo indireto ou demais alterações, contatar Alexandre Nisgoski para que o problema seja solucionado.</t>
    </r>
  </si>
  <si>
    <r>
      <rPr>
        <sz val="12"/>
        <rFont val="Symbol"/>
        <charset val="2"/>
      </rPr>
      <t>·</t>
    </r>
    <r>
      <rPr>
        <sz val="7"/>
        <rFont val="Times New Roman"/>
        <charset val="134"/>
      </rPr>
      <t xml:space="preserve">       </t>
    </r>
    <r>
      <rPr>
        <sz val="12"/>
        <rFont val="Aptos"/>
        <charset val="134"/>
      </rPr>
      <t xml:space="preserve">Caso o lançamento no Seobra ou a geração do relatório não seja possível ou desejável, o valor estimado dos materiais poderá ser inserido manualmente na célula </t>
    </r>
    <r>
      <rPr>
        <b/>
        <sz val="12"/>
        <rFont val="Aptos"/>
        <charset val="134"/>
      </rPr>
      <t>A999</t>
    </r>
    <r>
      <rPr>
        <sz val="12"/>
        <rFont val="Aptos"/>
        <charset val="134"/>
      </rPr>
      <t xml:space="preserve"> da aba “ABC INSUMOS”. Basta digitar A999 caixa que fica acima da coluna A e apertar </t>
    </r>
    <r>
      <rPr>
        <i/>
        <sz val="12"/>
        <rFont val="Aptos"/>
        <charset val="134"/>
      </rPr>
      <t>enter</t>
    </r>
    <r>
      <rPr>
        <sz val="12"/>
        <rFont val="Aptos"/>
        <charset val="134"/>
      </rPr>
      <t>. O valor inserido nessa célula sempre se sobreporá ao valor que aparece na parte de cima dessa aba.</t>
    </r>
  </si>
  <si>
    <t>Alexandre Nisgoski da Paixão</t>
  </si>
  <si>
    <t>alexandre.nisgoski@cigne.com.br</t>
  </si>
  <si>
    <t>(61) 998104805</t>
  </si>
  <si>
    <t>QUADRO RESUMO</t>
  </si>
  <si>
    <t>Natureza do custo</t>
  </si>
  <si>
    <t>Custo</t>
  </si>
  <si>
    <t>%</t>
  </si>
  <si>
    <t>Equipamento</t>
  </si>
  <si>
    <t>Mão de Obra</t>
  </si>
  <si>
    <t>Indireto</t>
  </si>
  <si>
    <t>Material</t>
  </si>
  <si>
    <t>OBSERVAÇÕES</t>
  </si>
  <si>
    <t>SCP com a TAF</t>
  </si>
  <si>
    <t>Prazo cronograma proposto</t>
  </si>
  <si>
    <t>Prazo soma equipes</t>
  </si>
  <si>
    <t>Regime de Execução</t>
  </si>
  <si>
    <t>EMPREITADA POR PREÇO UNITÁRIO</t>
  </si>
  <si>
    <t>Data-base</t>
  </si>
  <si>
    <t>07/25</t>
  </si>
  <si>
    <t>Modo de disputa</t>
  </si>
  <si>
    <t>Combinado (Aberto/Fechado)</t>
  </si>
  <si>
    <t>Reajuste</t>
  </si>
  <si>
    <t>Dotação</t>
  </si>
  <si>
    <t>Valor original licitação R$</t>
  </si>
  <si>
    <t>Preço de custo R$</t>
  </si>
  <si>
    <t>Lucro R$</t>
  </si>
  <si>
    <t>Lucro percentual do preço de custo</t>
  </si>
  <si>
    <t>Taxa Administração</t>
  </si>
  <si>
    <t>Risco</t>
  </si>
  <si>
    <t>Alíquota do ISS</t>
  </si>
  <si>
    <t>Alíquota sobre lucro presumido</t>
  </si>
  <si>
    <t>Valor de venda c/ imposto R$</t>
  </si>
  <si>
    <t>DESCONTO</t>
  </si>
  <si>
    <t>observação:</t>
  </si>
  <si>
    <t>https://maps.app.goo.gl/ALs93rBE5F5a2vKWA</t>
  </si>
  <si>
    <t>falta serviço de solda de termofusão = aditivo a ser feito</t>
  </si>
  <si>
    <t>DIMENSIONAMENTO DE EQUIPES</t>
  </si>
  <si>
    <t>Adutora</t>
  </si>
  <si>
    <t>ITEM</t>
  </si>
  <si>
    <t>UNID</t>
  </si>
  <si>
    <t>QUANT.</t>
  </si>
  <si>
    <t>PRODUTIVIDADE/DIA</t>
  </si>
  <si>
    <t>DIAS</t>
  </si>
  <si>
    <t>ASSENTAMENTO DE TUBO DE FERRO FUNDIDO PARA REDE DE ÁGUA, DN 150 MM, JUNTA ELÁSTICA, INSTALADO EM LOCAL COM NÍVEL BAIXO DE INTERFERÊNCIAS (NÃO INCLUI FORNECIMENTO).
AF_05/2024</t>
  </si>
  <si>
    <t>ASSENTAMENTO DE TUBO DE FERRO FUNDIDO PARA REDE DE ÁGUA, DN 200 MM, JUNTA ELÁSTICA, INSTALADO EM LOCAL COM NÍVEL BAIXO DE INTERFERÊNCIAS (NÃO INCLUI FORNECIMENTO).
AF_05/2024</t>
  </si>
  <si>
    <t>ASSENTAMENTO DE TUBO DE FERRO FUNDIDO PARA REDE DE ÁGUA, DN 200 MM, JUNTA FLANGEADA (NÃO INCLUI O FORNECIMENTO). AF_09/2021</t>
  </si>
  <si>
    <t>ASSENTAMENTO DE TUBO DE FERRO FUNDIDO PARA REDE DE ÁGUA, DN 400 MM, JUNTA FLANGEADA (NÃO INCLUI O FORNECIMENTO). AF_09/2021</t>
  </si>
  <si>
    <t>ASSENTAMENTO DE TUBO DE FERRO FUNDIDO PARA REDE DE ÁGUA, DN 600 MM, JUNTA ELÁSTICA, INSTALADO EM LOCAL COM NÍVEL BAIXO DE INTERFERÊNCIAS (NÃO INCLUI FORNECIMENTO).
AF_05/2024</t>
  </si>
  <si>
    <t>ASSENTAMENTO DE TUBO DE FERRO FUNDIDO PARA REDE DE ÁGUA, DN 600 MM, JUNTA FLANGEADA (NÃO INCLUI O FORNECIMENTO). AF_09/2021</t>
  </si>
  <si>
    <t>ASSENTAMENTO DE TUBO PEAD LISO PARA REDE DE ÁGUA OU ESGOTO, DIÂMETRO DE 560 MM, JUNTA SOLDADA (NÃO INCLUI A EXECUÇÃO DE SOLDA) - EXCLUSO FORNECIMENTO DE TUBO</t>
  </si>
  <si>
    <t>ASSENTAMENTO DE TUBO PEAD LISO PARA REDE DE ÁGUA OU ESGOTO, DIÂMETRO DE 63 MM, JUNTA SOLDADA (NÃO INCLUI A EXECUÇÃO DE SOLDA) - EXCLUSO FORNECIMENTO DE TUBO</t>
  </si>
  <si>
    <t>DIAS TRABALHADOS</t>
  </si>
  <si>
    <t>Civil</t>
  </si>
  <si>
    <t>RECOMPOSIÇÃO CBUQ</t>
  </si>
  <si>
    <t>RECOMPOSIÇÃO DE REVESTIMENTO EM CONCRETO ASFÁLTICO (AQUISIÇÃO EM USINA), PARA O FECHAMENTO DE VALAS - INCLUSO DEMOLIÇÃO DO PAVIMENTO. AF_12/2020</t>
  </si>
  <si>
    <t>m3</t>
  </si>
  <si>
    <t xml:space="preserve">CUSTO INDIRETO </t>
  </si>
  <si>
    <t xml:space="preserve">1 - MÃO DE OBRA ADMINISTRAÇÃO </t>
  </si>
  <si>
    <t>FUNÇÃO</t>
  </si>
  <si>
    <t>QUANTIDADE</t>
  </si>
  <si>
    <t>SOMA</t>
  </si>
  <si>
    <t>SALÁRIO MÊS</t>
  </si>
  <si>
    <t>ENCARGOS</t>
  </si>
  <si>
    <t>TOTAL</t>
  </si>
  <si>
    <t>Auxiliar Administrativo</t>
  </si>
  <si>
    <t>CUSTO TOTAL MÃO DE OBRA ADMINISTRAÇÃO</t>
  </si>
  <si>
    <t>2 - MÃO DE OBRA PRODUÇÃO</t>
  </si>
  <si>
    <t>Técnico de edificações (c/ alimentação + EPI)</t>
  </si>
  <si>
    <t>alecio e fabricio tiraram</t>
  </si>
  <si>
    <t>Técnico de segurança (c/ alimentação + EPI)</t>
  </si>
  <si>
    <t>Vigia (tercerizado)</t>
  </si>
  <si>
    <t>Almoxarife/Adm (c/alimentação + EPI</t>
  </si>
  <si>
    <t>Encarregado geral alojado (c/ alimentação + EPI)</t>
  </si>
  <si>
    <t>Engenheiro civil PJ</t>
  </si>
  <si>
    <t>Baixada engenheiro PJ</t>
  </si>
  <si>
    <t>CUSTO TOTAL MÃO DE OBRA PRODUÇÃO</t>
  </si>
  <si>
    <t>3 - EQUIPAMENTOS</t>
  </si>
  <si>
    <t>TIPO / MODELO</t>
  </si>
  <si>
    <t>CUSTO MÊS</t>
  </si>
  <si>
    <t>Veículo obra</t>
  </si>
  <si>
    <t>CUSTO TOTAL DE EQUIPAMENTOS</t>
  </si>
  <si>
    <t>4 - MANUTENÇÃO DE EQUIPAMENTOS</t>
  </si>
  <si>
    <t>CUSTO UNIT</t>
  </si>
  <si>
    <t>Gasolina veículo obra e engenheiro</t>
  </si>
  <si>
    <t>CUSTO TOTAL MANUTENÇÃO DE EQUIPAMENTOS</t>
  </si>
  <si>
    <t>5 - SERVIÇOS GERAIS</t>
  </si>
  <si>
    <t>DISCRIMINAÇÃO</t>
  </si>
  <si>
    <t>Aluguel alojamento</t>
  </si>
  <si>
    <t>Consumo água</t>
  </si>
  <si>
    <t>Consumo luz</t>
  </si>
  <si>
    <t>Consumo internet</t>
  </si>
  <si>
    <t>Faxina/diarista</t>
  </si>
  <si>
    <t>Aluguel notebook</t>
  </si>
  <si>
    <t>Aluguel impressora</t>
  </si>
  <si>
    <t>Materiais escritório/papelaria</t>
  </si>
  <si>
    <t>Plotagem projetos</t>
  </si>
  <si>
    <t>Ferramentas</t>
  </si>
  <si>
    <t>Frete equipamentos</t>
  </si>
  <si>
    <t>Crea + ARTs</t>
  </si>
  <si>
    <t>Seguro obra</t>
  </si>
  <si>
    <t>Fluxo de caixa central (visitas diretoria e supervisão)</t>
  </si>
  <si>
    <t>Fluxo de caixa obra</t>
  </si>
  <si>
    <t>Notebook fiscalização</t>
  </si>
  <si>
    <t>DESENVOLVIMENTO DE PLANO DE GERENCIAMENTO DE RESÍDUOS SÓLIDOS - TIPO 2 (OBRA DE GRANDE PORTE), INCLUSIVE RELATÓRIO TÉCNICO</t>
  </si>
  <si>
    <t>CUSTO TOTAL SERVIÇOS GERAIS</t>
  </si>
  <si>
    <t>CUSTO INDIRETO TOTAL</t>
  </si>
  <si>
    <t>SELECIONE A UF DA OBRA:</t>
  </si>
  <si>
    <t>TOTAL EQUIPAMENTO</t>
  </si>
  <si>
    <t xml:space="preserve">TOTAL MÃO DE OBRA </t>
  </si>
  <si>
    <t>PRAZO EXECUÇÃO EQUIPE</t>
  </si>
  <si>
    <t>Prazo Execução Equipe:</t>
  </si>
  <si>
    <t>MÃO DE OBRA EQUIPE</t>
  </si>
  <si>
    <t>Mão de obra</t>
  </si>
  <si>
    <t>Quant. Residente</t>
  </si>
  <si>
    <t>Quant. Alojado</t>
  </si>
  <si>
    <t>Valor Mensal Residente</t>
  </si>
  <si>
    <t>Valor Mensal Alojado</t>
  </si>
  <si>
    <t>Total
Mão de Obra</t>
  </si>
  <si>
    <t>Valor Unitário</t>
  </si>
  <si>
    <t xml:space="preserve">Valor Total </t>
  </si>
  <si>
    <t>Total Mensal</t>
  </si>
  <si>
    <t>Empreiteiros</t>
  </si>
  <si>
    <t>Topografia elaboração notas de serviços</t>
  </si>
  <si>
    <t>Topografia cadastro de redes</t>
  </si>
  <si>
    <t>Junta soldada</t>
  </si>
  <si>
    <t>UND</t>
  </si>
  <si>
    <t>preço médio da planilha = custo (pedi cotação)</t>
  </si>
  <si>
    <t>Junta soldada por eletrofusão</t>
  </si>
  <si>
    <t>Custo gerador</t>
  </si>
  <si>
    <t>VB</t>
  </si>
  <si>
    <t>Total Empreiteiros</t>
  </si>
  <si>
    <t>Total Mão de Obra Equipe</t>
  </si>
  <si>
    <t>EQUIPAMENTOS EQUIPE</t>
  </si>
  <si>
    <t>Cálculo de combustível</t>
  </si>
  <si>
    <t>Equipamentos</t>
  </si>
  <si>
    <t>Valor Mensal</t>
  </si>
  <si>
    <t>Tipo</t>
  </si>
  <si>
    <t>Consumo (L)</t>
  </si>
  <si>
    <t>Tarefa</t>
  </si>
  <si>
    <t>Transporte caminhão basculante terceirizado m3xkm</t>
  </si>
  <si>
    <t>M3XKM</t>
  </si>
  <si>
    <t>Total Equipamentos  - Frente</t>
  </si>
  <si>
    <t>Custo total da equipe</t>
  </si>
  <si>
    <t>Empreiteiro armação</t>
  </si>
  <si>
    <t>kg</t>
  </si>
  <si>
    <t>sistema 2,22 aguas lindas em 08/25</t>
  </si>
  <si>
    <t>Empreiteiro forma</t>
  </si>
  <si>
    <t>m2</t>
  </si>
  <si>
    <t>sistema 40,24 aguas lindas em 08/25</t>
  </si>
  <si>
    <t>EMPREENDIMENTO: Implantação de 10.310,00  metros de rede coletora de esgoto, 1825 ligações domiciliares de esgoto, nos Bairro NOVA LIMA – Lote “K” referente ao programa de universalização no município de Campo Grande/MS, em área de responsabilidade da Concessionária Águas Guariroba S/A.</t>
  </si>
  <si>
    <t>DESCRIÇÃO</t>
  </si>
  <si>
    <t>UNID.</t>
  </si>
  <si>
    <t>VALOR UNIT.</t>
  </si>
  <si>
    <t>VALOR TOTAL</t>
  </si>
  <si>
    <t>EXECUÇÃO DE REDE COLETORA E LIGAÇÕES</t>
  </si>
  <si>
    <r>
      <rPr>
        <sz val="8"/>
        <rFont val="Arial"/>
        <charset val="134"/>
      </rPr>
      <t xml:space="preserve">Execução de rede coletora de esgoto DN 150 - PAVIMENTADO, prof </t>
    </r>
    <r>
      <rPr>
        <b/>
        <sz val="8"/>
        <rFont val="Arial"/>
        <charset val="134"/>
      </rPr>
      <t>até 1,25 m</t>
    </r>
  </si>
  <si>
    <t>m</t>
  </si>
  <si>
    <r>
      <rPr>
        <sz val="8"/>
        <rFont val="Arial"/>
        <charset val="134"/>
      </rPr>
      <t xml:space="preserve">Execução de rede coletora de esgoto DN 150 - PAVIMENTADO, prof </t>
    </r>
    <r>
      <rPr>
        <b/>
        <sz val="8"/>
        <rFont val="Arial"/>
        <charset val="134"/>
      </rPr>
      <t>1,25 até 1,50 m</t>
    </r>
    <r>
      <rPr>
        <sz val="8"/>
        <rFont val="Arial"/>
        <charset val="134"/>
      </rPr>
      <t xml:space="preserve"> </t>
    </r>
  </si>
  <si>
    <r>
      <rPr>
        <sz val="8"/>
        <rFont val="Arial"/>
        <charset val="134"/>
      </rPr>
      <t xml:space="preserve">Execução de rede coletora de esgoto DN 150 - PAVIMENTADO, prof </t>
    </r>
    <r>
      <rPr>
        <b/>
        <sz val="8"/>
        <rFont val="Arial"/>
        <charset val="134"/>
      </rPr>
      <t>de 1,50 até 2,00 m</t>
    </r>
    <r>
      <rPr>
        <sz val="8"/>
        <rFont val="Arial"/>
        <charset val="134"/>
      </rPr>
      <t xml:space="preserve"> </t>
    </r>
  </si>
  <si>
    <r>
      <rPr>
        <sz val="8"/>
        <rFont val="Arial"/>
        <charset val="134"/>
      </rPr>
      <t xml:space="preserve">Execução de rede coletora de esgoto DN 150 - PAVIMENTADO, prof de </t>
    </r>
    <r>
      <rPr>
        <b/>
        <sz val="8"/>
        <rFont val="Arial"/>
        <charset val="134"/>
      </rPr>
      <t xml:space="preserve">2,01 m a 3,00 m </t>
    </r>
  </si>
  <si>
    <t xml:space="preserve">Execução de ligações domiciliares de esgoto - PAVIMENTADO </t>
  </si>
  <si>
    <t xml:space="preserve">unid </t>
  </si>
  <si>
    <t>1.12</t>
  </si>
  <si>
    <t>Troca de solo, com o fornecimento de solo para reaterro de vala.</t>
  </si>
  <si>
    <t>m³</t>
  </si>
  <si>
    <t>Melhoria de solo com o tratamento químico</t>
  </si>
  <si>
    <t>1.13</t>
  </si>
  <si>
    <t xml:space="preserve">Fornecimento e execução de areia para realização de adensamento hidráulico com equivalente acima de 55%. </t>
  </si>
  <si>
    <t xml:space="preserve">m³ </t>
  </si>
  <si>
    <t>1.14</t>
  </si>
  <si>
    <t xml:space="preserve">Fornecimento e aplicação de pedra nº 03 para estabilização de fundo de vala. </t>
  </si>
  <si>
    <t xml:space="preserve">FATURAMENTO DIRETO - PAVIMENTAÇÃO - REDE COLETORA </t>
  </si>
  <si>
    <t>Brita graduada simples - BGS</t>
  </si>
  <si>
    <t>ton.</t>
  </si>
  <si>
    <t>ton/m de rede dn150</t>
  </si>
  <si>
    <t xml:space="preserve">Massa Asfaltica (CBUQ) </t>
  </si>
  <si>
    <t xml:space="preserve">FATURAMENTO DIRETO - PAVIMENTAÇÃO - LIGAÇÃO DOMICILIAR </t>
  </si>
  <si>
    <t>ton/ligação</t>
  </si>
  <si>
    <t>Massa Asfaltica (CBUQ)</t>
  </si>
  <si>
    <t>TOTAL GERAL</t>
  </si>
  <si>
    <t>CÓD COPASA</t>
  </si>
  <si>
    <t xml:space="preserve">ÍNDICE PRODUTIVIDADE POR OFICIAL </t>
  </si>
  <si>
    <t>UNIDADE</t>
  </si>
  <si>
    <t>INDICE ADOTADO</t>
  </si>
  <si>
    <t>INDICE COMPOSIÇÃO</t>
  </si>
  <si>
    <t>QTD TOTAL TAREFA</t>
  </si>
  <si>
    <t xml:space="preserve">DURAÇÃO COM APENAS 1 OFICIAL </t>
  </si>
  <si>
    <t>DURAÇÃO COM EQUIPE DIMENSIONADA</t>
  </si>
  <si>
    <t xml:space="preserve">QTD OFICIAL </t>
  </si>
  <si>
    <t>QTD SERVENTE</t>
  </si>
  <si>
    <t>ARMADURA DE ACO CA 50</t>
  </si>
  <si>
    <t>KG</t>
  </si>
  <si>
    <t>40.30.10</t>
  </si>
  <si>
    <t>MEIO SUPORTE PARA LEITO - TIJOLOS MACICOS REQUEIMADOS (20 X 10 X 5)CM - FORNECIMENTO E ASSENTAMENTO</t>
  </si>
  <si>
    <t>M2</t>
  </si>
  <si>
    <t>EXECUÇÃO DE PISO INDUSTRIAL DE CONCRETO ARMADO, FCK = 20 MPA, ESPESSURA DE 15,0 CM. AF_04/2022</t>
  </si>
  <si>
    <t>ED-15690</t>
  </si>
  <si>
    <t>FÔRMA E DESFORMA PARA CORTINA DE CONCRETO OU PAREDE ESTRUTURAL (VIGA PAREDE), ALTURA MÁXIMA DE 360CM, COM CHAPA DE COMPENSADO PLASTIFICADO, ESP. 18MM, REAPROVEITAMENTO (3X), INCLUSIVE TRAVAMENTO COM TIRANTES EM ARAME E ESCORA PARA PRUMO EM MADEIRA - lateral interna, lateral externa encostado na terra</t>
  </si>
  <si>
    <t>FORMA PLANA EM CHAPA DE MADEIRA RESINADA, E=20 MM, P/ ESTRUTURAS</t>
  </si>
  <si>
    <t>CANTEIRO DE OBRAS AREAS FECHADAS E COBERTAS</t>
  </si>
  <si>
    <t>65002511</t>
  </si>
  <si>
    <t>CANTEIRO DE OBRAS AREAS ABERTAS E COBERTAS</t>
  </si>
  <si>
    <t>CERCA COM MOURÕES DE CONCRETO, SEÇÃO "T" PONTA INCLINADA, 10X10CM, ESPAÇAMENTO DE 2,5M, CRAVADOS 0,5M, COM 11 FIOS DE ARAME MISTO - FORNECIMENTO E INSTALAÇÃO. AF_05/2020</t>
  </si>
  <si>
    <t>CONCRETO USINADO</t>
  </si>
  <si>
    <t>M3</t>
  </si>
  <si>
    <t>94974</t>
  </si>
  <si>
    <t>CONCRETO MAGRO</t>
  </si>
  <si>
    <t>8000508010SI98459</t>
  </si>
  <si>
    <t>TAPUME COM TELHA METÁLICA. AF_03/2024</t>
  </si>
  <si>
    <t>103670</t>
  </si>
  <si>
    <t>LANÇAMENTO COM USO DE BALDES, ADENSAMENTO E ACABAMENTO DE CONCRETO EM ESTRUTURAS. AF_02/2022</t>
  </si>
  <si>
    <t>8004008095SI97734</t>
  </si>
  <si>
    <t>PEÇA RETANGULAR PRÉ-MOLDADA, VOLUME DE CONCRETO DE 10 A 30 LITROS, TAXA DE AÇO
APROXIMADA DE 30KG/M³. AF_03/2024</t>
  </si>
  <si>
    <t>65000403</t>
  </si>
  <si>
    <t>MONTAGENS ESPECIAIS EM FERRO FUNDIDO</t>
  </si>
  <si>
    <t>LASTRO BRITA</t>
  </si>
  <si>
    <t>TUBULÃO A CÉU ABERTO, DIÂMETRO DO FUSTE DE 70CM, ESCAVAÇÃO MANUAL, SEM ALARGAMENTO DE BASE, CONCRETO USINADO E LANÇADO COM BOMBA OU DIRETAMENTE DO CAMINHÃO (EXCLUSIVE BOMBEAMENTO). AF_05/2020</t>
  </si>
  <si>
    <t>CANTEIRO DE OBRAS AREAS ABERTAS E DESCOBERTAS</t>
  </si>
  <si>
    <t>EXECUÇÃO DE SARJETA DE CONCRETO USINADO, MOLDADA IN LOCO EM TRECHO RETO, 30 CM BASE X 15 CM ALTURA. AF_01/2024</t>
  </si>
  <si>
    <t>ALVENARIA DE VEDAÇÃO DE BLOCOS CERÂMICOS MACIÇOS DE 5X10X20CM (ESPESSURA 10CM) E ARGAMASSA DE ASSENTAMENTO COM PREPARO EM BETONEIRA. AF_05/2020</t>
  </si>
  <si>
    <t>102737</t>
  </si>
  <si>
    <t>BOCA PARA BUEIRO SIMPLES TUBULAR D = 40 CM EM CONCRETO, ALAS COM ESCONSIDADE DE 0°, INCLUINDO FÔRMAS E MATERIAIS. AF_07/2021</t>
  </si>
  <si>
    <t>UN</t>
  </si>
  <si>
    <t>8004008028SI103075</t>
  </si>
  <si>
    <t>EXECUÇÃO DE PISO DE CONCRETO, COM ACABAMENTO SUPERFICIAL, ESPESSURA DE 15 CM, FCK = 30 MPA, COM USO DE FORMAS EM MADEIRA SERRADA. AF_09/2021</t>
  </si>
  <si>
    <t>PINTURA LÁTEX</t>
  </si>
  <si>
    <t>LOCACAO ESTRUTURAS - GABARITO/TABEIRA PARA OBRAS</t>
  </si>
  <si>
    <t>ALA DE REDE TUBULAR DN600 PADRAO SUDECAP</t>
  </si>
  <si>
    <t>65003743</t>
  </si>
  <si>
    <t>DESFORMA DE ESTRUTURAS, QUALQUER ALTURA OU PROFUNDIDADE</t>
  </si>
  <si>
    <t>65000113</t>
  </si>
  <si>
    <t>PROTECAO LAJE COBERTURA COM CAMADA DE BRITA</t>
  </si>
  <si>
    <t>101964</t>
  </si>
  <si>
    <t>LAJE PRÉ-MOLDADA UNIDIRECIONAL, BIAPOIADA, PARA FORRO, ENCHIMENTO EM CERÂMICA, VIGOTA CONVENCIONAL, ALTURA TOTAL DA LAJE "LT" = 12 CM (ENCHIMENTO+CAPA) = (8+4). AF_08/2025</t>
  </si>
  <si>
    <t>CANALETA MEIA CANA PRÉ-MOLDADA DE CONCRETO (D = 30 CM) - FORNECIMENTO E INSTALAÇÃO. AF_05/2025</t>
  </si>
  <si>
    <t>CHAPISCO</t>
  </si>
  <si>
    <t>LASTRO AREIA</t>
  </si>
  <si>
    <t>REVESTIMENTO CERÂMICO PARA PAREDES INTERNAS COM PLACAS TIPO ESMALTADA DE DIMENSÕES 20X20 CM APLICADAS NA ALTURA INTEIRA DAS PAREDES. AF_02/2023_PE</t>
  </si>
  <si>
    <t>TRATAMENTO IMPERMEABILIZANTE EM SUPERFICIE COM XYPEX OU SIMILAR</t>
  </si>
  <si>
    <t>CANALETA MEIA CANA PRÉ-MOLDADA DE CONCRETO (D = 50 CM) - FORNECIMENTO E INSTALAÇÃO. AF_05/2025</t>
  </si>
  <si>
    <t>JANELA DE AÇO TIPO BASCULANTE, PARA VIDROS (VIDROS NÃO INCLUSOS), BATENTE/ REQUADRO INCLUSO (6,5 A 14 CM), DIMENSÕES 60X60 CM, COM COM PINTURA ANTICORROSIVA, SEM ACABAMENTO, COM FERRAGENS, FIXAÇÃO COM ARGAMASSA, EXCLUSIVE CONTRAMARCO - FORNECIMENTO E INSTALAÇÃO. AF_11/2024</t>
  </si>
  <si>
    <t>99264</t>
  </si>
  <si>
    <t>CAIXA ENTERRADA HIDRÁULICA RETANGULAR, EM ALVENARIA COM BLOCOS DE CONCRETO, DIMENSÕES INTERNAS: 1X1X0,6 M PARA REDE DE DRENAGEM. AF_12/2020</t>
  </si>
  <si>
    <t>99253</t>
  </si>
  <si>
    <t>CAIXA ENTERRADA HIDRÁULICA RETANGULAR EM ALVENARIA COM TIJOLOS CERÂMICOS MACIÇOS, DIMENSÕES INTERNAS: 0,6X0,6X0,6 M PARA REDE DE DRENAGEM. AF_12/2020</t>
  </si>
  <si>
    <t>65003322</t>
  </si>
  <si>
    <t>ALA DE REDE TUBULAR DN500 PADRAO SUDECAP</t>
  </si>
  <si>
    <t>PLANTIO DE ARBUSTO OU CERCA VIVA. AF_07/2024</t>
  </si>
  <si>
    <t>16</t>
  </si>
  <si>
    <t>EXECUÇÃO DE ANCORAGEM PARA O BARRILETE DE RECALQUE EM CHAPA DE AÇO, INCLUSIVE  FIXAÇÃO COM TIRANTES E CHUMBADORES, CONFORME PROJETO</t>
  </si>
  <si>
    <t>TELHAMENTO COM TELHA ESTRUTURAL DE FIBROCIMENTO E= 8 MM, COM ATÉ 2 ÁGUAS, INCLUSO IÇAMENTO. AF_07/2019_PS</t>
  </si>
  <si>
    <t>12</t>
  </si>
  <si>
    <t>FORNECIMENTO E COLOCAÇÃO DE  TAMPA EM POLIESTER REFORÇADA COM FIBRA DE VIDRO (PRFV)</t>
  </si>
  <si>
    <t>101793</t>
  </si>
  <si>
    <t>ESCORAMENTO DE FÔRMAS DE LAJE EM MADEIRA NÃO APARELHADA, PÉ-DIREITO DUPLO, INCLUSO TRAVAMENTO, 4 UTILIZAÇÕES. AF_09/2020</t>
  </si>
  <si>
    <t>REVESTIMENTO CERÂMICO PARA PISO COM PLACAS TIPO ESMALTADA DE DIMENSÕES 35X35 CM APLICADA EM AMBIENTES DE ÁREA MAIOR QUE 10 M2. AF_02/2023_PE</t>
  </si>
  <si>
    <t>102162</t>
  </si>
  <si>
    <t>INSTALAÇÃO DE VIDRO LISO INCOLOR, E = 4 MM, EM ESQUADRIA DE ALUMÍNIO OU PVC, FIXADO COM BAGUETE. AF_01/2021_PS</t>
  </si>
  <si>
    <t>PORTA DE MADEIRA PARA PINTURA, SEMI-OCA (LEVE OU MÉDIA), 80X210CM, ESPESSURA DE 3,5CM, INCLUSO DOBRADIÇAS - FORNECIMENTO E INSTALAÇÃO. AF_12/2019</t>
  </si>
  <si>
    <t>FECHADURA DE EMBUTIR PARA PORTAS INTERNAS, COMPLETA, ACABAMENTO PADRÃO POPULAR, COM EXECUÇÃO DE FURO - FORNECIMENTO E INSTALAÇÃO. AF_12/2019</t>
  </si>
  <si>
    <t>PISO CIMENTADO, TRAÇO 1:3 (CIMENTO E AREIA), ACABAMENTO LISO, ESPESSURA 3,0 CM, PREPARO MECÂNICO DA ARGAMASSA. AF_09/2020</t>
  </si>
  <si>
    <t>PORTA DE MADEIRA PARA PINTURA, SEMI-OCA (LEVE OU MÉDIA), 60X210CM, ESPESSURA DE 3,5CM, INCLUSO DOBRADIÇAS - FORNECIMENTO E INSTALAÇÃO. AF_12/2019</t>
  </si>
  <si>
    <t>PLANTIO DE ÁRVORE ORNAMENTAL COM ALTURA DE MUDA MAIOR QUE 2,00 M E MENOR OU IGUAL A 4,00 M . AF_07/2024</t>
  </si>
  <si>
    <t>PORTA DE ALUMÍNIO DE ABRIR COM LAMBRI, COM GUARNIÇÃO, FIXAÇÃO COM PARAFUSOS - FORNECIMENTO E INSTALAÇÃO. AF_12/2019</t>
  </si>
  <si>
    <t>FECHADURA DE EMBUTIR PARA PORTA DE BANHEIRO, COMPLETA, ACABAMENTO PADRÃO POPULAR, INCLUSO EXECUÇÃO DE FURO - FORNECIMENTO E INSTALAÇÃO. AF_12/2019</t>
  </si>
  <si>
    <t>94570</t>
  </si>
  <si>
    <t>JANELA DE ALUMÍNIO DE CORRER COM 2 FOLHAS PARA VIDROS (VIDROS INCLUSOS), BATENTE/ REQUADRO 6 A 14 CM, ACABAMENTO COM ACETATO OU BRILHANTE, FIXAÇÃO COM PARAFUSO, SEM GUARNIÇÃO/ ALIZAR, DIMENSÕES 100X120 CM, VEDAÇÃO COM SILICONE, EXCLUSIVE CONTRAMARCO - FORNECIMENTO E INSTALAÇÃO. AF_11/2024</t>
  </si>
  <si>
    <t>ENROCAMENTO MANUAL, COM ARRUMACAO DO MATERIAL</t>
  </si>
  <si>
    <t>ENROCAMENTO MANUAL, SEM ARRUMACAO DO MATERIAL</t>
  </si>
  <si>
    <t>PLANTIO DE GRAMA BATATAIS EM PLACAS. AF_07/2024</t>
  </si>
  <si>
    <t>8000508010SI104897</t>
  </si>
  <si>
    <t>COMPOSIÇÃO PARAMÉTRICA DE EXECUÇÃO DE SANITÁRIO E VESTIÁRIO EM CANTEIRO DE OBRAS, FORA DA PROJEÇÃO DA LAJE, EM CHAPA DE MADEIRA COMPENSADA, NÃO INCLUSO MOBILIÁRIO. AF_01/2024_PE</t>
  </si>
  <si>
    <t>8000508010SI104896</t>
  </si>
  <si>
    <t>COMPOSIÇÃO PARAMÉTRICA DE EXECUÇÃO DE REFEITÓRIO EM CANTEIRO DE OBRAS, FORA DA PROJEÇÃO DA LAJE, EM CHAPA DE MADEIRA COMPENSADA, NÃO INCLUSO MOBILIÁRIO E EQUIPAMENTOS. AF_01/2024_PE</t>
  </si>
  <si>
    <t>8004008020SI96624</t>
  </si>
  <si>
    <t>LASTRO COM MATERIAL GRANULAR</t>
  </si>
  <si>
    <t>8000508010SI104895</t>
  </si>
  <si>
    <t>COMPOSIÇÃO PARAMÉTRICA DE EXECUÇÃO DE ALMOXARIFADO EM CANTEIRO DE OBRAS, FORA DA PROJEÇÃO DA LAJE, EM CHAPA DE MADEIRA COMPENSADA, NÃO INCLUSO MOBILIÁRIO E EQUIPAMENTOS. AF_01/2024_PE</t>
  </si>
  <si>
    <t>8000508010SI98462</t>
  </si>
  <si>
    <t>ESTRUTURA DE MADEIRA PROVISÓRIA PARA SUPORTE DE CAIXA DÁGUA ELEVADA DE 3000
LITROS. AF_03/2024</t>
  </si>
  <si>
    <t>8000508010SI104898</t>
  </si>
  <si>
    <t>COMPOSIÇÃO PARAMÉTRICA DE EXECUÇÃO DE GUARITA EM CANTEIRO DE OBRAS, EM CHAPA DE MADEIRA COMPENSADA, NÃO INCLUSO MOBILIÁRIO. AF_01/2024_PE</t>
  </si>
  <si>
    <t>8005008010SI94991</t>
  </si>
  <si>
    <t>EXECUÇÃO DE PASSEIO (CALÇADA) OU PISO DE CONCRETO COM CONCRETO MOLDADO IN LOCO, USINADO C20, ACABAMENTO CONVENCIONAL, NÃO ARMADO. AF_08/2022</t>
  </si>
  <si>
    <t>8006008010SI103316</t>
  </si>
  <si>
    <t>ALVENARIA DE VEDAÇÃO DE BLOCOS VAZADOS DE CONCRETO DE 9X19X39 CM (ESPESSURA 9 CM) E ARGAMASSA DE ASSENTAMENTO COM PREPARO EM BETONEIRA. AF_12/2021</t>
  </si>
  <si>
    <t>8008008010033</t>
  </si>
  <si>
    <t>FORNECIMENTO E ASSENTAMENTO DE PORTÃO PARA VEÍCULOS PADRÃO CAESB, COM ESTRUTURA
EM TUBO E TELAS EM ARAME GALVANIZADO</t>
  </si>
  <si>
    <t>8007008395SI98065</t>
  </si>
  <si>
    <t>SUMIDOURO CIRCULAR, EM CONCRETO PRÉ- MOLDADO, DIÂMETRO INTERNO = 2,88 M, ALTURA INTERNA = 3,0 M, ÁREA DE INFILTRAÇÃO: 31,4 M² (PARA 12 CONTRIBUINTES). AF_12/2020_PA</t>
  </si>
  <si>
    <t>8004008220SI89291</t>
  </si>
  <si>
    <t>ALVENARIA ESTRUTURAL DE BLOCOS CERÂMICOS 14X19X29, (ESPESSURA DE 14 CM), UTILIZANDO PALHETA E ARGAMASSA DE ASSENTAMENTO COM PREPARO MANUAL. AF_03/2023</t>
  </si>
  <si>
    <t>8006008020SI92543</t>
  </si>
  <si>
    <t>TRAMA DE MADEIRA COMPOSTA POR TERÇAS PARA TELHADOS DE ATÉ 2 ÁGUAS</t>
  </si>
  <si>
    <t>8006008020SI94210</t>
  </si>
  <si>
    <t>TELHAMENTO COM TELHA ONDULADA DE FIBROCIMENTO E = 6 MM, COM RECOBRIMENTO LATERAL DE 1 1/4 DE ONDA PARA TELHADO COM INCLINAÇÃO MÁXIMA DE 10°, COM ATÉ 2 ÁGUAS, INCLUSO IÇAMENTO. AF_07/2019</t>
  </si>
  <si>
    <t>8000508010SI104900</t>
  </si>
  <si>
    <t>COMPOSIÇÃO PARAMÉTRICA DE EXECUÇÃO DE RESERVATÓRIO ELEVADO DE ÁGUA (2000 LITROS) EM CANTEIRO DE OBRAS, APOIADO EM ESTRUTURA DE MADEIRA. AF_01/2024</t>
  </si>
  <si>
    <t>87794</t>
  </si>
  <si>
    <t>EMBOÇO OU MASSA ÚNICA</t>
  </si>
  <si>
    <t>8006008020SI92580</t>
  </si>
  <si>
    <t>TRAMA DE AÇO COMPOSTA POR TERÇAS PARA TELHADOS DE ATÉ 2 ÁGUAS PARA TELHA ONDULADA DE FIBROCIMENTO, METÁLICA, PLÁSTICA OU TERMOACÚSTICA, INCLUSO TRANSPORTE VERTICAL. AF_07/2019</t>
  </si>
  <si>
    <t>8001008010SI99059</t>
  </si>
  <si>
    <t>LOCAÇÃO CONVENCIONAL DE OBRA, UTILIZANDO GABARITO DE TÁBUAS CORRIDAS PONTALETADAS A CADA 2,00M - 2 UTILIZAÇÕES. AF_03/2024</t>
  </si>
  <si>
    <t>FORNECIMENTO E ASSENTAMENTO DE ESTACA TESTEMUNHO EM CONCRETO ARMADO PRÉ-MOLDADO, FCK = 25 MPA DE 0,10X0,10X1,50 M, CRAVADO NO SOLO ATÉ 1,00 M, PINTURA (ALTURA 0,50 M) COM TINTA ACRÍLICA, LOGOTIPOS E
INSCRIÇÕES</t>
  </si>
  <si>
    <t>8006008020SI94216</t>
  </si>
  <si>
    <t>TELHAMENTO COM TELHA METÁLICA TERMOACÚSTICA E = 30 MM, COM ATÉ 2 ÁGUAS,
INCLUSO IÇAMENTO. AF_07/2019</t>
  </si>
  <si>
    <t>8008008010XXX5</t>
  </si>
  <si>
    <t>ESTRUTURA DE CONCRETO ARMADO PARA APOIO E FIXAÇÃO DO PORTÃO METÁLICO DA CERCA DE CONCRETO, COMPOSTO POR 02 (DOIS) PILARES (COM FORMATO RETANGULAR E TRIANGULAR) COM ALTURA DE 2,05M, FIXADOS NA VIGA SUPERIOR DE CONCRETO PRÉ-MOLDADO, CINTA INFERIOR DE CONCRETO SIMPLES E BLOCO DE CONCRETO
ARMADO.</t>
  </si>
  <si>
    <t>8005008010SI94994</t>
  </si>
  <si>
    <t>EXECUÇÃO DE PASSEIO (CALÇADA) OU PISO DE CONCRETO COM CONCRETO MOLDADO IN LOCO, FEITO EM OBRA, ACABAMENTO CONVENCIONAL, ESPESSURA 8 CM, ARMADO. AF_08/2022</t>
  </si>
  <si>
    <t>8004008080XX37</t>
  </si>
  <si>
    <t>BLOCO DE CONCRETO ARMADO (30X40X60 CM) PARA FIXAÇÃO DO PILAR (MOURÃO) DE CONCRETO DO PORTÃO DA CERCA DE CONCRETO. AF. 06/2017</t>
  </si>
  <si>
    <t>PROPORÇÃO</t>
  </si>
  <si>
    <t>OFICIAIS</t>
  </si>
  <si>
    <t>SERVENTES</t>
  </si>
  <si>
    <t>MESES TRABALHADOS</t>
  </si>
  <si>
    <t>MESES</t>
  </si>
  <si>
    <t>Código item</t>
  </si>
  <si>
    <t>Un.</t>
  </si>
  <si>
    <t>Qtd.</t>
  </si>
  <si>
    <t>Valor unitário</t>
  </si>
  <si>
    <t>Total item</t>
  </si>
  <si>
    <t>sem desoneração</t>
  </si>
  <si>
    <t>Administração Local</t>
  </si>
  <si>
    <t>RECURSOS MATERIAIS PARA ADMINISTRAÇÃO LOCAL (MATERIAIS DE CONSUMO, ÁGUA, ENERGIA ELÉTRICA E COMUNICAÇÃO) - TIPO 2</t>
  </si>
  <si>
    <t>MES</t>
  </si>
  <si>
    <t>Conservação e limpeza</t>
  </si>
  <si>
    <t>TAXA PARA DISPOSIÇÃO FINAL DE RESÍDUOS DA CONSTRUÇÃO CIVIL NÃO SEGREGADOS, CONFORME RESOLUÇÃO ADASA N° 45/2024, A PARTIR DE 01/01/2025.</t>
  </si>
  <si>
    <t>T</t>
  </si>
  <si>
    <t>TAXA PARA DISPOSIÇÃO FINAL DE RESÍDUOS DA CONSTRUÇÃO CIVIL SEGREGADOS, CONFORME RESOLUÇÃO ADASA N° 45/2024, A PARTIR DE 01/01/2025.</t>
  </si>
  <si>
    <t>Coberturas</t>
  </si>
  <si>
    <t>TENDA PIRAMIDAL 3,00 X 3,00 M COM FECHAMENTOS LATERAIS</t>
  </si>
  <si>
    <t>Placas de identificação</t>
  </si>
  <si>
    <t>PLACAS ORIENTATIVAS - PLACA DE ACRÍLICO, NA COR BRANCA, TAMANHO 0,6 M X 0,6 M.</t>
  </si>
  <si>
    <t>Móveis para escritório</t>
  </si>
  <si>
    <t>INFRAESTRUTURA BÁSICA PARA FISCALIZAÇÃO INCLUINDO NO MÍNIMO OS ITENS A SEGUIR: MÓVEIS E EQUIPAMENTOS  (DUAS MESAS, QUATRO CADEIRAS, UM PURIFICADOR DE ÁGUA, UM APARELHO DE AR CONDICIONADO 7500 BTUS, UM NOTEBOOK INTEL CORE I7, 12GB, SSD 256GB, TELA COM RESOLUÇÃO MÍNIMA 1920X1080P, WINDOWS 10 OU VERSÕES SUPERIORES, COM PACOTE MICROSOFT OFFICE 360 E ACESSO À INTERNET).</t>
  </si>
  <si>
    <t>Tampões e caixas para manutenção de redes</t>
  </si>
  <si>
    <t>TAMPA METÁLICA BIARTICULADA, FERRO FUNDIDO, MODELO T2RBI (TAMANHO EXTERNO 1280MM X 980MM E TAMANHO INTERNO 1190MM X 880MM)</t>
  </si>
  <si>
    <t>Registros, Válvulas e Acessórios</t>
  </si>
  <si>
    <t>REGISTRO DE GAVETA OVAL DE FERRO FUNDIDO DÚCTIL COM FLANGES E ACIONAMENTO COM CABEÇOTE (CLASSE DE PRESSÃO: 16 KGF/CM² / DIÂMETRO DA SEÇÃO: 600 MM)</t>
  </si>
  <si>
    <t>TAMPA PARA ACIONAMENTO DE REGISTRO DE FERRO FUNDIDO (DIÂMETRO: 100 MM)</t>
  </si>
  <si>
    <t>VÁLVULA BORBOLETA FLANGEADA DE FERRO FUNDIDO DÚCTIL COM CORPO CURTO, MECANISMO DE REDUÇÃO TIPO C E ACIONAMENTO COM CABEÇOTE (CLASSE DE PRESSÃO: 10 KGF/CM² / DIÂMETRO DA SEÇÃO: 200 MM)</t>
  </si>
  <si>
    <t>VÁLVULA BORBOLETA FLANGEADA DE FERRO FUNDIDO DÚCTIL COM CORPO CURTO, MECANISMO DE REDUÇÃO TIPO C E ACIONAMENTO COM CABEÇOTE (CLASSE DE PRESSÃO: 10 KGF/CM² / DIÂMETRO DA SEÇÃO: 400 MM)</t>
  </si>
  <si>
    <t>VÁLVULA BORBOLETA FLANGEADA DE FERRO FUNDIDO DÚCTIL COM CORPO CURTO, MECANISMO DE REDUÇÃO TIPO C E ACIONAMENTO COM VOLANTE (CLASSE DE PRESSÃO: 10 KGF/CM² / DIÂMETRO DA SEÇÃO: 400 MM)</t>
  </si>
  <si>
    <t>VÁLVULA CONTROLADORA DE NÍVEL TIPO GLOBO. DN 400 MM. COM PASSAGEM RETA OU INCLINADA, AUTO-OPERADA HIDRAULICAMENTE COM CIRCUITO DE COMANDO HIDRÁULICO. CORPO ASTM - A536 GR 65-45-12 OU GGG40 OU GGG50 REVESTIDO COM TINTA EPÓXI CONFORME ESPECIFICAÇÃO DETALHADA. ANÉIS DO DIAFRAGMA FERRO FUNDIDO NODULAR, CONFORME ASTM – A536, REVESTIDO COM TINTA EPÓXI, DEPOSITADA ELETROSTATICAMENTE E COM ESPESSURA MÍNIMA DE 150 MICRAS. DIAFRAGMA ELASTÔMERO QUE ATENDA AO ESPECIFICADO NO ANEXO C. BUCHA DO EIXO COBRE-ESTANHO: ASTM B 584 OU UNS C 83600 OU SAE 40. EIXO CENTRAL EM AÇO INOXIDÁVEL AISI 303, 304 OU 410. MOLA AÇO INOXIDÁVEL AISI 302. DISCO DE VEDAÇÃO AÇO INOXIDÁVEL AISI 410. ANEL DO DISCO DE VEDAÇÃO AÇO INOXIDÁVEL AISI 410. SELO DO DISCO DE VEDAÇÃO ELASTÔMERO QUE ATENDA À ESPECIFICAÇÃO DETALHADA. ANEL DE ASSENTAMENTO AÇO INOXIDÁVEL AISI 304. V-PORT COBRE-ESTANHO: ASTM B 584 OU UNS C 83600 OU AÇO INOXIDÁVEL AISI 316. O´RINGS EPDM. FLANGES ASTM - A536 GR 65-45-12 OU GGG40 OU GGG50 COM DIMENSÕES CONFORME ABNT NBR 7675. PARAFUSOS, ARRUELAS E PORCAS AÇO INOXIDÁVEL AISI 316 E 304. DEVERÁ ATENDER AOS KVS MÍNIMOS. COMPONENTES SUJEITOS A CONTATO COM A ÁGUA PARA CONSUMO, SEUS RESPECTIVOS REVESTIMENTOS E LUBRIFICANTES DEVEM ATENDER A ANSI/NSF 61. DISTÂNCIA ENTRE FLANGES CONFORME EN 558-1. DIMENSÕES E FURAÇÃO DOS FLANGES CONFORME ABNT NBR 7675. CIRCUITO DE COMANDO COMPOSTO DE REGISTROS ESFERA, CONEXÕES, MANGUEIRAS,
FILTRO “Y”, VÁLVULA TIPO AGULHA.</t>
  </si>
  <si>
    <t>VÁLVULA DE FLUXO ANULAR FLANGEADA DE FERRO FUNDIDO DÚCTIL COM CUNHA DE BORRACHA E ACIONAMENTO POR ATUADOR ELÉTRICO - TEMPO DE FECHAMENTO: 180S (CLASSE DE PRESSÃO: 10 KGF/CM² / DIÂMETRO DA SEÇÃO: 200 MM).</t>
  </si>
  <si>
    <t>VÁLVULA DE FLUXO ANULAR FLANGEADA DE FERRO FUNDIDO DÚCTIL COM CUNHA DE BORRACHA E ACIONAMENTO POR ATUADOR ELÉTRICO - TEMPO DE FECHAMENTO: 300S (CLASSE DE PRESSÃO: 10 KGF/CM² / DIÂMETRO DA SEÇÃO: 200 MM).</t>
  </si>
  <si>
    <t>VÁLVULA DE GAVETA FLANGEADA DE FERRO FUNDIDO DÚCTIL COM CUNHA DE BORRACHA, CORPO CURTO E ACIONAMENTO COM VOLANTE (CLASSE DE PRESSÃO: 10/16 KGF/CM² / DIÂMETRO DA SEÇÃO: 200 MM)</t>
  </si>
  <si>
    <t>VÁLVULA DE GAVETA FLANGEADA DE FERRO FUNDIDO DÚCTIL COM CUNHA DE BORRACHA, CORPO CURTO E ACIONAMENTO COM VOLANTE (CLASSE DE PRESSÃO: 10/16 KGF/CM² / DIÂMETRO DA SEÇÃO: 80 MM)</t>
  </si>
  <si>
    <t>VÁLVULA TIPO ESFERA EXCÊNTRICA FLANGEADA COM ACIONAMENTO POR ATUADOR ELÉTRICO E VOLANTE MANUAL (CLASSE DE PRESSÃO: 10 KGF/CM² / DIÂMETRO DA SEÇÃO: 50 MM)</t>
  </si>
  <si>
    <t>VENTOSA TRÍPLICE FUNÇÃO DE FERRO FUNDIDO DÚCTIL COM FLANGE  (CLASSE DE PRESSÃO: 10/16
KGF/CM² / DIÂMETRO NOMINAL: 80 MM)</t>
  </si>
  <si>
    <t>Produtos especiais para tubulações</t>
  </si>
  <si>
    <t>CAIXA DE PROTEÇÃO PARA 01 HIDRÔMETRO - PADRÃO CAESB</t>
  </si>
  <si>
    <t>HIDRÔMETRO UNIJATO COM CORPO EM COBRE (CLASSE: B / DIÂMETRO NOMINAL: 3/4" OU 20 MM /
VAZÃO MÁXIMA: 1,5 M³/H / COMPRIMENTO: 115 MM)</t>
  </si>
  <si>
    <t>Tubos e conexões de aço carbono - líquidos, gases e vapores</t>
  </si>
  <si>
    <t>FLANGE SOLTO, FORNECIDO EM AÇO SAE 1020, CONFORME NORMA NBR 7675/DIN (PARA COLARINHO DE PEAD / DIÂMETRO EXTERNO: 400 MM / CLASSE DE PRESSÃO: 10 KGF/CM²)</t>
  </si>
  <si>
    <t>FLANGE SOLTO, FORNECIDO EM AÇO SAE 1020, CONFORME NORMA NBR 7675/DIN (PARA COLARINHO DE PEAD / DIÂMETRO EXTERNO: 560 MM / CLASSE DE PRESSÃO: 10 KGF/CM²)</t>
  </si>
  <si>
    <t>FLANGE SOLTO, FORNECIDO EM AÇO SAE 1020, CONFORME NORMA NBR 7675/DIN (PARA COLARINHO DE PEAD / DIÂMETRO EXTERNO: 560 MM / CLASSE DE PRESSÃO: 16 KGF/CM²)</t>
  </si>
  <si>
    <t>FLANGE SOLTO, FORNECIDO EM AÇO SAE 1020, CONFORME NORMA NBR 7675/DIN (PARA COLARINHO DE PEAD / DIÂMETRO EXTERNO: 90 MM
/ CLASSE DE PRESSÃO: 10 KGF/CM²)</t>
  </si>
  <si>
    <t>JUNTA DE DESMONTAGEM TRAVADA AXIALMENTE (CLASSE DE PRESSÃO: 10 KGF/CM² / DIÂMETRO DA
SEÇÃO: 200 MM)</t>
  </si>
  <si>
    <t>JUNTA DE DESMONTAGEM TRAVADA AXIALMENTE (CLASSE DE PRESSÃO: 10 KGF/CM² / DIÂMETRO DA
SEÇÃO: 400 MM)</t>
  </si>
  <si>
    <t>JUNTA DE DESMONTAGEM TRAVADA AXIALMENTE (CLASSE DE PRESSÃO: 16 KGF/CM² / DIÂMETRO DA
SEÇÃO: 200 MM)</t>
  </si>
  <si>
    <t>JUNTA DE DESMONTAGEM TRAVADA AXIALMENTE (CLASSE DE PRESSÃO: 16 KGF/CM² / DIÂMETRO DA
SEÇÃO: 600 MM)</t>
  </si>
  <si>
    <t>Tubos e conexões de PVC - água fria (roscável)</t>
  </si>
  <si>
    <t>ADAPTADOR DE PVC BRANCO ROSCÁVEL COM ANEL PARA CAIXA D'ÁGUA (DIÂMETRO DA SEÇÃO: 1
1/2 ")</t>
  </si>
  <si>
    <t>Tubos e conexões de polietileno de alta densidade</t>
  </si>
  <si>
    <t>COLARINHO DE POLIETILENO DE ALTA DENSIDADE (PEAD), DN 400, PN-10 (10 KGF/CM²), INJETADA PE-100 SDR-17; PONTA LONGA; PARA ÁGUA OU ESGOTO; NBR 15593</t>
  </si>
  <si>
    <t>COLARINHO DE POLIETILENO DE ALTA DENSIDADE (PEAD), DN 560, PN-10 (10 KGF/CM²), INJETADA PE-100 SDR-17; PONTA LONGA; PARA ÁGUA OU ESGOTO; NBR 15593</t>
  </si>
  <si>
    <t>COLARINHO DE POLIETILENO DE ALTA DENSIDADE (PEAD), DN 560, PN-16 (16 KGF/CM²), INJETADA PE-100 SDR-11; PONTA LONGA; PARA ÁGUA OU ESGOTO; NBR 15593</t>
  </si>
  <si>
    <t>COLARINHO DE POLIETILENO DE ALTA DENSIDADE (PEAD), DN 90, PN-10 (10 KGF/CM²), INJETADA PE-100 SDR-17; PONTA LONGA; PARA ÁGUA OU ESGOTO; NBR 15593</t>
  </si>
  <si>
    <t>CURVA 90° DE POLIETILENO DE ALTA DENSIDADE (PEAD), DN 560, PN-16 (16 KGF/CM²), INJETADA SDR-11 PE-100, PONTA LONGA, PARA ÁGUA OU ESGOTO, NBR 15593</t>
  </si>
  <si>
    <t>LUVA DE POLIETILENO DE ALTA DENSIDADE ELETROFUSÃO (CLASSE DE PRESSÃO: 10/16 KGF/CM² / DIÂMETRO DA SEÇÃO: 560 MM / TIPO DE RESINA: PE100)</t>
  </si>
  <si>
    <t>REDUÇÃO CONCÊNTRICA DE POLIETILENO DE ALTA DENSIDADE (PEAD), TERMOFUSÃO, INJETADA E PONTA LONGA, PE-100, SDR-17, PN-10 (10 KGF/CM²), DN 160X90 MM, PARA ÁGUA OU ESGOTO, CONFORME NBR-15593</t>
  </si>
  <si>
    <t>REDUÇÃO CONCÊNTRICA DE POLIETILENO DE ALTA DENSIDADE (PEAD), TERMOFUSÃO, INJETADA E PONTA LONGA, PE-100, SDR-17, PN-10 (10 KGF/CM²), DN 450X400 MM, PARA ÁGUA OU ESGOTO, CONFORME NBR-15593</t>
  </si>
  <si>
    <t>REDUÇÃO CONCÊNTRICA DE POLIETILENO DE ALTA DENSIDADE (PEAD), TERMOFUSÃO, INJETADA E PONTA LONGA, PE-100, SDR-17, PN-10 (10 KGF/CM²), DN 560X450 MM, PARA ÁGUA OU ESGOTO, CONFORME NBR-15593</t>
  </si>
  <si>
    <t>TÊ 90° DE POLIETILENO DE ALTA DENSIDADE TERMOFUSÃO INJETADO  (CLASSE DE PRESSÃO: 10 KGF/CM² / DIÂMETRO EXTERNO: 560 MM / TIPO DE RESINA: PE100 )</t>
  </si>
  <si>
    <t>TÊ DE SELA TOPLOAD DE POLIETILENO DE ALTA DENSIDADE TERMOFUSÃO INJETADO COM SAÍDA PONTA - PARA TUBO COM DIÂMETRO EXTERNO DE 560MM (CLASSE DE PRESSÃO: 10 KGF/CM2 / DIÂMETRO EXTERNO DA SAÍDA: 160MM / TIPO DE
RESINA: PE100)</t>
  </si>
  <si>
    <t>TUBO DE POLIETILENO DE ALTA DENSIDADE (CLASSE DE PRESSÃO: 10 KGF/CM² / DIÂMETRO EXTERNO NOMINAL: 63 MM / TIPO DE RESINA: PE100)</t>
  </si>
  <si>
    <t>Tubos e conexões de ferro fundido dúctil - esgoto sanitário</t>
  </si>
  <si>
    <t>TUBO DE FERRO FUNDIDO DÚCTIL CILÍNDRICO PARA ESGOTO E ÁGUAS PLUVIAIS (CLASSE: K9  /
COMPRIMENTO: 1,00 M / DIÂMETRO: 400 MM)</t>
  </si>
  <si>
    <t>TUBO DE FERRO FUNDIDO DÚCTIL CILÍNDRICO PARA ESGOTO E ÁGUAS PLUVIAIS (CLASSE: K9  /
COMPRIMENTO: 1,50 M / DIÂMETRO: 400 MM)</t>
  </si>
  <si>
    <t>TUBO DE FERRO FUNDIDO DÚCTIL K7 COM PONTA E BOLSA E JUNTA TRAVADA EXTERNA PARA ÁGUA
(CLASSE: K7 / DIÂMETRO NOMINAL: 400 MM)</t>
  </si>
  <si>
    <t>Tubos e conexões de ferro fundido dúctil</t>
  </si>
  <si>
    <t>ACESSÓRIOS PARA FLANGE - ARRUELA DE BORRACHA (EPDM) COM ALMA METÁLICA (CLASSE DE PRESSÃO: 10/16/25 KGF/CM² / DIÂMETRO DA SEÇÃO: 600 MM)</t>
  </si>
  <si>
    <t>ACESSÓRIOS PARA FLANGE - ARRUELA DE BORRACHA (EPDM) COM ALMA METÁLICA (CLASSE DE PRESSÃO: 10/16/25/40 KGF/CM² / DIÂMETRO DA SEÇÃO: 100 MM)</t>
  </si>
  <si>
    <t>ACESSÓRIOS PARA FLANGE - ARRUELA DE BORRACHA (EPDM) COM ALMA METÁLICA (CLASSE DE PRESSÃO: 10/16/25/40 KGF/CM² / DIÂMETRO DA SEÇÃO: 200 MM)</t>
  </si>
  <si>
    <t>ACESSÓRIOS PARA FLANGE - ARRUELA DE BORRACHA (EPDM) COM ALMA METÁLICA (CLASSE DE PRESSÃO: 10/16/25/40 KGF/CM² / DIÂMETRO DA SEÇÃO: 400 MM)</t>
  </si>
  <si>
    <t>ACESSÓRIOS PARA FLANGE - ARRUELA DE BORRACHA (EPDM) COM ALMA METÁLICA (CLASSE DE PRESSÃO: 10/16/25/40 KGF/CM² / DIÂMETRO DA SEÇÃO: 80 MM)</t>
  </si>
  <si>
    <t>ACESSÓRIOS PARA FLANGE - PARAFUSO SEXTAVADO DE AÇO GALVANIZADO À FOGO, COM PORCA E DUAS ARRUELAS, PARA JUNTA COM FLANGES, CONFORME NBR 7675. DIÂMETRO DO PARAFUSO: 16 MM / COMPRIMENTO: 80 MM. UTILIZADO PARA OS TUBOS: PN 10/16 (DIÂMETRO 50
ATÉ 100 MM) E PN 25 (DIÂMETRO 50 ATÉ 80 MM).</t>
  </si>
  <si>
    <t>ACESSÓRIOS PARA FLANGE - PARAFUSO SEXTAVADO DE AÇO GALVANIZADO À FOGO, COM PORCA E DUAS ARRUELAS, PARA JUNTA COM FLANGES, CONFORME NBR 7675. DIÂMETRO DO PARAFUSO: 20 MM / COMPRIMENTO: 90 MM. UTILIZADO PARA OS TUBOS: PN 10 (DIÂMETRO 150 ATÉ 250 MM), PN 16 (DIÂMETRO 150 ATÉ 200 MM) E
PN 25 (DIÂMETRO 100 MM).</t>
  </si>
  <si>
    <t>ACESSÓRIOS PARA FLANGE - PARAFUSO SEXTAVADO DE AÇO GALVANIZADO À FOGO, COM PORCA E DUAS ARRUELAS, PARA JUNTA COM FLANGES, CONFORME NBR 7675. DIÂMETRO DO PARAFUSO: 24 MM / COMPRIMENTO: 110 MM. UTILIZADO PARA OS TUBOS: PN 10 (DIÂMETRO 400
ATÉ 500 MM) E PN 16 (DIÂMETRO 350 MM).</t>
  </si>
  <si>
    <t>ACESSÓRIOS PARA FLANGE - PARAFUSO SEXTAVADO DE AÇO GALVANIZADO À FOGO, COM PORCA E DUAS ARRUELAS, PARA JUNTA COM FLANGES, CONFORME NBR 7675. DIÂMETRO DO PARAFUSO: 27 MM / COMPRIMENTO: 120 MM. UTILIZADO PARA OS TUBOS: PN 10 (DIÂMETRO 600 MM), PN 16 (DIÂMETRO 400 ATÉ 450 MM) E PN 25
(DIÂMETRO 250 ATÉ 300 MM).</t>
  </si>
  <si>
    <t>COLAR DE TOMADA EM FERRO FUNDIDO PARA LIGAÇÕES COM ASSENTAMENTOS PREPARADOS PARA TUBOS DE FERRO FUNDIDO (DIÂMETRO DA PARTE ROSCÁVEL: 1/2" DIÂMETRO DA SEÇÃO: 400 MM)</t>
  </si>
  <si>
    <t>CURVA 45° DE FERRO FUNDIDO DÚCTIL COM BOLSAS E JUNTA TRAVADA EXTERNA PARA ÁGUA
(DIÂMETRO DA SEÇÃO: 400 MM)</t>
  </si>
  <si>
    <t>CURVA 45° DE FERRO FUNDIDO DÚCTIL COM FLANGES (CLASSE DE PRESSÃO: 10 KGF/CM² /
DIÂMETRO DA SEÇÃO: 400 MM)</t>
  </si>
  <si>
    <t>CURVA 90° DE FERRO FUNDIDO DÚCTIL COM FLANGES (CLASSE DE PRESSÃO: 10 KGF/CM² /
DIÂMETRO DA SEÇÃO: 200 MM)</t>
  </si>
  <si>
    <t>CURVA 90° DE FERRO FUNDIDO DÚCTIL COM FLANGES (CLASSE DE PRESSÃO: 10/16 KGF/CM² /
DIÂMETRO DA SEÇÃO: 200 MM)</t>
  </si>
  <si>
    <t>EXTREMIDADE DE FERRO FUNDIDO DÚCTIL COM FLANGE E BOLSA COM JUNTA TRAVADA EXTERNA PARA ÁGUA (CLASSE DE PRESSÃO: 10 KGF/CM² / DIÂMETRO DA SEÇÃO: 600 MM)</t>
  </si>
  <si>
    <t>EXTREMIDADE DE FERRO FUNDIDO DÚCTIL COM FLANGE, PONTA E ABA DE VEDAÇÃO (CLASSE DE PRESSÃO: 10 KGF/CM² / DIÂMETRO DA SEÇÃO: 400 MM)</t>
  </si>
  <si>
    <t>EXTREMIDADE DE FERRO FUNDIDO DÚCTIL COM FLANGE, PONTA E ABA DE VEDAÇÃO PARA ÁGUA (CLASSE DE PRESSÃO: 16 KGF/CM² / DIÂMETRO DA SEÇÃO: 200 MM)</t>
  </si>
  <si>
    <t>FLANGE CEGO DE FERRO FUNDIDO DÚCTIL (CLASSE DE PRESSÃO: 10 KGF/CM² / DIÂMETRO DA SEÇÃO:
400 MM)</t>
  </si>
  <si>
    <t>LUVA DE CORRER DE FERRO FUNDIDO DÚCTIL COM BOLSA JUNTA MECÂNICA (DIÂMETRO DA SEÇÃO: 400
MM)</t>
  </si>
  <si>
    <t>REDUÇÃO CONCÊNTRICA DE FERRO FUNDIDO DÚCTIL COM FLANGES (CLASSE DE PRESSÃO: 10 KGF/CM² / DIÂMETRO DE ENTRADA: 400 MM / DIÂMETRO DE SAÍDA: 250 MM)</t>
  </si>
  <si>
    <t>REDUÇÃO CONCÊNTRICA DE FERRO FUNDIDO DÚCTIL COM FLANGES (CLASSE DE PRESSÃO: 10/16 KGF/CM² / DIÂMETRO DE ENTRADA: 250 MM / DIÂMETRO DE SAÍDA: 200 MM)</t>
  </si>
  <si>
    <t>REDUÇÃO CONCÊNTRICA DE FERRO FUNDIDO DÚCTIL COM FLANGES (CLASSE DE PRESSÃO: 10/16/25 KGF/CM² / DIÂMETRO DE ENTRADA: 100 MM / DIÂMETRO DE SAÍDA: 80 MM)</t>
  </si>
  <si>
    <t>REDUÇÃO DE FERRO FUNDIDO DÚCTIL COM BOLSAS E JUNTA ELÁSTICA PARA ÁGUA (DIÂMETRO DE ENTRADA: 600 MM / DIÂMETRO DE SAÍDA: 400 MM)</t>
  </si>
  <si>
    <t>REDUÇÃO DE FERRO FUNDIDO DÚCTIL COM PONTA BOLSA E JUNTA TRAVADA EXTERNA (DIÂMETRO DE
ENTRADA: 600 MM / DIÂMETRO DE SAÍDA: 400 MM)</t>
  </si>
  <si>
    <t>TÊ DE FERRO FUNDIDO DÚCTIL COM BOLSAS E JUNTA ELÁSTICA (DIÂMETRO: 400 MM)</t>
  </si>
  <si>
    <t>TÊ DE REDUÇÃO DE FERRO FUNDIDO DÚCTIL COM FLANGES (CLASSE DE PRESSÃO: 10 KGF/CM² / DIÂMETRO DE ENTRADA: 400 MM / DIÂMETRO DE SAÍDA: 100 MM)</t>
  </si>
  <si>
    <t>TÊ DE REDUÇÃO DE FERRO FUNDIDO DÚCTIL COM FLANGES (CLASSE DE PRESSÃO: 10 KGF/CM² / DIÂMETRO DE ENTRADA: 400 MM / DIÂMETRO DE SAÍDA: 200 MM)</t>
  </si>
  <si>
    <t>TÊ DE REDUÇÃO DE FERRO FUNDIDO DÚCTIL COM FLANGES (CLASSE DE PRESSÃO: 16 KGF/CM² / DIÂMETRO DE ENTRADA: 600 MM / DIÂMETRO DE SAÍDA: 200 MM)</t>
  </si>
  <si>
    <t>TÊ DE REDUÇÃO EM FERRO FUNDIDO DÚCTIL COM BOLSAS E JUNTA TRAVADA EXTERNA  (DIÂMETRO DE ENTRADA: 600 MM / DIÂMETRO DE SAÍDA: 400 MM)</t>
  </si>
  <si>
    <t>TOCO DE FERRO FUNDIDO DÚCTIL COM FLANGES (CLASSE DE PRESSÃO: 16 KGF/CM² / COMPRIMENTO:
0,50 M / DIÂMETRO DA SEÇÃO: 600 MM )</t>
  </si>
  <si>
    <t>TOCO DE FERRO FUNDIDO DÚCTIL COM FLANGES (CLASSE DE PRESSÃO: 10 KGF/CM² / COMPRIMENTO:
0,50 M / DIÂMETRO DA SEÇÃO: 400 MM)</t>
  </si>
  <si>
    <t>TOCO DE FERRO FUNDIDO DÚCTIL COM FLANGES (CLASSE DE PRESSÃO: 10/16 KGF/CM² / COMPRIMENTO: 0,50 M / DIÂMETRO DA SEÇÃO: 200 MM)</t>
  </si>
  <si>
    <t>TOCO DE FERRO FUNDIDO DÚCTIL COM FLANGES E ABA DE VEDAÇÃO (CLASSE DE PRESSÃO: 10 KGF/CM² / COMPRIMENTO: 0,70 M / DIÂMETRO DA SEÇÃO: 400 MM)</t>
  </si>
  <si>
    <t>TOCO DE FERRO FUNDIDO DÚCTIL COM FLANGES PARA ÁGUA (CLASSE DE PRESSÃO: 10/16 KGF/CM² / COMPRIMENTO: 0,25 M / DIÂMETRO DA SEÇÃO: 200 MM / TIPO DE PINTURA: BETUMINOSA)</t>
  </si>
  <si>
    <t>TUBO DE FERRO FUNDIDO DÚCTIL AZUL K7 COM PONTA E BOLSA JUNTA ELÁSTICA - JGS (CLASSE: K7
/ DIÂMETRO NOMINAL: 200 MM / PINTURA EPOXI)</t>
  </si>
  <si>
    <t>TUBO DE FERRO FUNDIDO DÚCTIL AZUL K7 COM PONTA E BOLSA JUNTA ELÁSTICA - JGS (CLASSE: K7
/ DIÂMETRO NOMINAL: 400 MM / PINTURA EPOXI)</t>
  </si>
  <si>
    <t>TUBO DE FERRO FUNDIDO DÚCTIL AZUL K7 COM PONTA E BOLSA JUNTA ELÁSTICA - JGS (CLASSE: K7
/ DIÂMETRO NOMINAL: 600 MM / PINTURA EPOXI)</t>
  </si>
  <si>
    <t>TUBO DE FERRO FUNDIDO DÚCTIL COM FLANGE E PONTA (CLASSE DE PRESSÃO: 10 KGF/CM² /
COMPRIMENTO: 1,50 M / DIÂMETRO: 200 MM)</t>
  </si>
  <si>
    <t>TUBO DE FERRO FUNDIDO DÚCTIL COM FLANGE E PONTA (CLASSE DE PRESSÃO: 10 KGF/CM² /
COMPRIMENTO: 2,50 M / DIÂMETRO: 400 MM)</t>
  </si>
  <si>
    <t>TUBO DE FERRO FUNDIDO DÚCTIL COM FLANGES (CLASSE DE PRESSÃO: 10 KGF/CM² / COMPRIMENTO:
1,00 M / DIÂMETRO DA SEÇÃO: 200 MM)</t>
  </si>
  <si>
    <t>TUBO DE FERRO FUNDIDO DÚCTIL COM FLANGES (CLASSE DE PRESSÃO: 10 KGF/CM² / COMPRIMENTO:
1,00 M / DIÂMETRO DA SEÇÃO: 400 MM)</t>
  </si>
  <si>
    <t>TUBO DE FERRO FUNDIDO DÚCTIL COM FLANGES (CLASSE DE PRESSÃO: 10 KGF/CM² / COMPRIMENTO:
1,50 M / DIÂMETRO DA SEÇÃO: 400 MM)</t>
  </si>
  <si>
    <t>TUBO DE FERRO FUNDIDO DÚCTIL COM FLANGES (CLASSE DE PRESSÃO: 10 KGF/CM² / COMPRIMENTO:
2,00 M / DIÂMETRO DA SEÇÃO: 200 MM)</t>
  </si>
  <si>
    <t>TUBO DE FERRO FUNDIDO DÚCTIL COM FLANGES (CLASSE DE PRESSÃO: 10 KGF/CM² / COMPRIMENTO:
3,50 M / DIÂMETRO DA SEÇÃO: 400 MM)</t>
  </si>
  <si>
    <t>TUBO DE FERRO FUNDIDO DÚCTIL COM FLANGES E ABA DE VEDAÇÃO PARA ÁGUA (CLASSE DE PRESSÃO: 16 KGF/CM² / COMPRIMENTO: 1,50 M / DIÂMETRO DA SEÇÃO: 600 MM / TIPO DE PINTURA: BETUMINOSA)</t>
  </si>
  <si>
    <t>TUBO DE FERRO FUNDIDO DÚCTIL COM PONTA E FLANGE E ABA DE VEDAÇÃO PARA ÁGUA (CLASSE DE PRESSÃO: 16 KGF/CM² / COMPRIMENTO: 1,50 M / DIÂMETRO DA SEÇÃO: 600 MM / TIPO DE PINTURA: BETUMINOSA)</t>
  </si>
  <si>
    <t>Reservatórios de água potável</t>
  </si>
  <si>
    <t>1545003008XXX1</t>
  </si>
  <si>
    <t>ESCADA TIPO MARINHEIRO EM TUBO DE AÇO INOX, COM LARGURA DE 0,60M, FIXADO COM PARAFUSOS
E SEM GUARDA-CORPO</t>
  </si>
  <si>
    <t>Insumos complementares</t>
  </si>
  <si>
    <t>8900103001SI11146</t>
  </si>
  <si>
    <t>CONCRETO AUTOADENSAVEL (CAA) CLASSE DE RESISTENCIA C15, ESPALHAMENTO SF2, COM BOMBEAMENTO (DISPONIBILIZACAO DE BOMBA), SEM O LANCAMENTO (NBR 15823)</t>
  </si>
  <si>
    <t>8900103001SI34495</t>
  </si>
  <si>
    <t>CONCRETO USINADO BOMBEAVEL, CLASSE DE RESISTENCIA C35, COM BRITA 0 E 1, SLUMP = 100 +/-20 MM, EXCLUI SERVICO DE BOMBEAMENTO (NBR
8953)</t>
  </si>
  <si>
    <t>8900103001SI39363</t>
  </si>
  <si>
    <t>FOSSA SEPTICA, SEM FILTRO, EM POLIETILENO DE ALTA DENSIDADE (PEAD), PARA 15 A 30 CONTRIBUINTES, CILINDRICA, COM TAMPA, CAPACIDADE APROXIMADA DE *5500* LITROS (NBR 7229)</t>
  </si>
  <si>
    <t>8900103001SI35276</t>
  </si>
  <si>
    <t>PILAR QUADRADO NAO APARELHADO *20 X 20* CM, EM MACARANDUBA/MASSARANDUBA, ANGELIM OU
EQUIVALENTE DA REGIAO - BRUTA</t>
  </si>
  <si>
    <t>8900103001SI4813</t>
  </si>
  <si>
    <t>PLACA DE OBRA (PARA CONSTRUCAO CIVIL) EM CHAPA GALVANIZADA *N. 22*, ADESIVADA, DE *2,4 X
1,2* M (SEM POSTES PARA FIXACAO)</t>
  </si>
  <si>
    <t>8900103001SI4948</t>
  </si>
  <si>
    <t>PORTAO DE ABRIR / GIRO, EM GRADIL DE METALON REDONDO DE 3/4" VERTICAL, COM REQUADRO,
ACABAMENTO NATURAL - COMPLETO</t>
  </si>
  <si>
    <t>SERVIÇO (Cotado)</t>
  </si>
  <si>
    <t>Servicos técnicos</t>
  </si>
  <si>
    <t>ENSAIO LABORATORIAL DE COMPACTACAO DE SOLOS (PROCTOR) - AMOSTRAS NAO TRABALHADAS
- ENERGIA NORMAL SEM ENSAIO DE ISC/CBR,
EXCLUSIVE COLETA</t>
  </si>
  <si>
    <t>ENSAIO LABORATORIAL DE SOLOS DE GRANULOMETRIA POR PENEIRAMENTO, EXCLUSIVE
COLETA</t>
  </si>
  <si>
    <t>ENSAIO LABORATORIAL DE SOLOS DE LIMITES DE LIQUIDEZ E PLASTICIDADE, EXCLUSIVE COLETA</t>
  </si>
  <si>
    <t>8001004002SI44535</t>
  </si>
  <si>
    <t>SERVICO DE BOMBEAMENTO DE CONCRETO COM CONSUMO MINIMO DE 40 M3, (DISPONIBILIZACAO DE
BOMBA), SEM O LANCAMENTO</t>
  </si>
  <si>
    <t>Equipamento (Aquisição)</t>
  </si>
  <si>
    <t>Equipamentos para medição</t>
  </si>
  <si>
    <t>MEDIDOR DE VAZÃO DE INSERÇÃO ELETROMAGNÉTICO QMÍN=200L/S E QMÁX=736L/S - FLUIDO A SER MEDIDO: ÁGUA, COM TEMPERATURA DE 10 A 25 ºC. INSTALAÇÃO EM TUBULAÇÃO DN 150 A 1500 MM.</t>
  </si>
  <si>
    <t>SP0778: ADMINISTRAÇÃO LOCAL DA IMPLANTAÇÃO DA SUBADUTORA DE ÁGUA TRATADA SOBRADINHO I
192 - SAT.SB1.192</t>
  </si>
  <si>
    <t>Fundações e estruturas</t>
  </si>
  <si>
    <t>8004006001SC2407983</t>
  </si>
  <si>
    <t>PINTURA DE FUNDO COM TINTA ANTICORROSIVA À BASE DE EPÓXI POLIAMIDA DE DOIS COMPONENTES COM PISTOLA AIRLESS, UMA DEMÃO, ESPESSURA DE 100 µM - EM ESPAÇO CONFINADO</t>
  </si>
  <si>
    <t>SERVICOS COMPOSTOS - CONSTRUÇÃO EM GERAL</t>
  </si>
  <si>
    <t>Canteiro de obras</t>
  </si>
  <si>
    <t>8000508010SI105115</t>
  </si>
  <si>
    <t>INSTALAÇÃO E DESINSTALAÇÃO MECANIZADA DE CONTÊINER OU MÓDULO HABITÁVEL DE USOS
DIVERSOS. AF_03/2024</t>
  </si>
  <si>
    <t>CADASTRO DE CANALIZAÇÕES CIRCULARES</t>
  </si>
  <si>
    <t>LOCAÇÃO CONVENCIONAL DE OBRA, UTILIZANDO GABARITO DE TÁBUAS CORRIDAS PONTALETADAS A
CADA 2,00M - 2 UTILIZAÇÕES. AF_03/2024</t>
  </si>
  <si>
    <t>LOCAÇÃO E NIVELAMENTO DE REDES DE ÁGUA, COM ELABORAÇÃO DE NOTA DE SERVIÇOS E
LEVANTAMENTO NORMAIS</t>
  </si>
  <si>
    <t>Serviços preliminares</t>
  </si>
  <si>
    <t>8001508040SC1600990</t>
  </si>
  <si>
    <t>DEMOLIÇÃO DE CONCRETO ARMADO COM MARTELETE E CORTE OXIACETILENO</t>
  </si>
  <si>
    <t>8001508040SI104789</t>
  </si>
  <si>
    <t>DEMOLIÇÃO DE PISO DE CONCRETO SIMPLES, DE FORMA MANUAL, SEM REAPROVEITAMENTO.
AF_09/2023</t>
  </si>
  <si>
    <t>8001508020XX10</t>
  </si>
  <si>
    <t>ISOLAMENTO DE OBRA COM TELA PLÁSTICA E ESTRUTURA DE MADEIRA PONTALETEADA - COM TELA DE ISOLAMENTO/SINALIZAÇÃO LARANJA MEDINDO 1,20 X 50M NO FORMATO RETANGULAR. REV 06/2017</t>
  </si>
  <si>
    <t>PASSADICOS COM TABUAS DE MADEIRA PARA VEICULOS</t>
  </si>
  <si>
    <t>REMOÇÃO DE MEIO-FIO COM APROVEITAMENTO DO MATERIAL</t>
  </si>
  <si>
    <t>Movimento de terra</t>
  </si>
  <si>
    <t>8002008050SI94329</t>
  </si>
  <si>
    <t>ATERRO MECANIZADO DE VALA COM ESCAVADEIRA HIDRÁULICA (CAPACIDADE DA CAÇAMBA: 0,8 M³/POTÊNCIA: 111 HP), LARGURA ATÉ 2,5 M, PROFUNDIDADE DE 1,5 A 3,0 M, COM AREIA PARA ATERRO. AF_08/2023</t>
  </si>
  <si>
    <t>8002008050SI94333</t>
  </si>
  <si>
    <t>ATERRO MECANIZADO DE VALA COM ESCAVADEIRA HIDRÁULICA (CAPACIDADE DA CAÇAMBA: 0,8 M³/POTÊNCIA: 111 HP), LARGURA ATÉ 2,5 M, PROFUNDIDADE DE 3,0 A 6,0 M, COM AREIA PARA ATERRO. AF_08/2023</t>
  </si>
  <si>
    <t>8002008050SI94310</t>
  </si>
  <si>
    <t>ATERRO MECANIZADO DE VALA COM ESCAVADEIRA HIDRÁULICA (CAPACIDADE DA CAÇAMBA: 0,8 M³/POTÊNCIA: 111 HP), LARGURA ATÉ 2,5 M, PROFUNDIDADE DE 3,0 A 6,0 M, COM SOLO ARGILO-ARENOSO. AF_08/2023</t>
  </si>
  <si>
    <t>8002008099SI101004</t>
  </si>
  <si>
    <t>CARGA DE MISTURA ASFÁLTICA EM CAMINHÃO BASCULANTE 18 M³ (UNIDADE: T). AF_07/2020</t>
  </si>
  <si>
    <t>8002008099SI100983</t>
  </si>
  <si>
    <t>CARGA, MANOBRA E DESCARGA DE ENTULHO EM CAMINHÃO BASCULANTE 14 M³ - CARGA COM ESCAVADEIRA HIDRÁULICA (CAÇAMBA DE 0,80 M³ / 111 HP) E DESCARGA LIVRE (UNIDADE: M3).
AF_07/2020</t>
  </si>
  <si>
    <t>8002008099SI100981</t>
  </si>
  <si>
    <t>CARGA, MANOBRA E DESCARGA DE ENTULHO EM CAMINHÃO BASCULANTE 6 M³ - CARGA COM ESCAVADEIRA HIDRÁULICA (CAÇAMBA DE 0,80 M³ / 111 HP) E DESCARGA LIVRE (UNIDADE: M3).
AF_07/2020</t>
  </si>
  <si>
    <t>8002008099SI100997</t>
  </si>
  <si>
    <t>CARGA, MANOBRA E DESCARGA DE ENTULHO EM CAMINHÃO BASCULANTE 6 M³ - CARGA COM ESCAVADEIRA HIDRÁULICA (CAÇAMBA DE 0,80 M³ / 111 HP) E DESCARGA LIVRE (UNIDADE: T).
AF_07/2020</t>
  </si>
  <si>
    <t>8002008099SI100979</t>
  </si>
  <si>
    <t>CARGA, MANOBRA E DESCARGA DE SOLOS E MATERIAIS GRANULARES EM CAMINHÃO BASCULANTE 14 M³ - CARGA COM ESCAVADEIRA HIDRÁULICA (CAÇAMBA DE 1,20 M³ / 155 HP) E DESCARGA LIVRE (UNIDADE: M3). AF_07/2020</t>
  </si>
  <si>
    <t>8002008099SI101472</t>
  </si>
  <si>
    <t>CARGA, MANOBRA E DESCARGA DE TUBOS METÁLICOS, DN 500 MM, EM CAMINHÃO CARROCERIA COM GUINDAUTO (MUNCK) 11,7 TM. AF_07/2020</t>
  </si>
  <si>
    <t>8002008050SI104742</t>
  </si>
  <si>
    <t>COMPACTAÇÃO DE VALAS COM ROLO COMPRESSOR. AF_08/2023</t>
  </si>
  <si>
    <t>8002008010SI102354</t>
  </si>
  <si>
    <t>DESMONTE DE MATERIAL DE 3ª CATEGORIA (BLOCOS DE ROCHAS OU MATACOS), COM MARTELETE PNEUMÁTICO MANUAL - EXCLUSIVE CARGA E TRANSPORTE. AF_03/2021</t>
  </si>
  <si>
    <t>ESCAVAÇÃO MANUAL DE VALAS EM SOLO COM ÁGUA, PROFUNDIDADE MAIOR QUE 3,00 A 4,50 M.
(AF_04/2021)</t>
  </si>
  <si>
    <t>ESCAVAÇÃO MANUAL DE VALAS EM SOLO MOLE, PROFUNDIDADE ATÉ 1,50 M</t>
  </si>
  <si>
    <t>ESCAVAÇÃO MANUAL DE VALAS EM SOLO MOLE, PROFUNDIDADE MAIOR QUE 1,50 A 3,00 M.
(AF_04/2021)</t>
  </si>
  <si>
    <t>8002008030SI90091</t>
  </si>
  <si>
    <t>ESCAVAÇÃO MECANIZADA DE VALA COM PROF. ATÉ 1,5 M (MÉDIA MONTANTE E JUSANTE/UMA COMPOSIÇÃO POR TRECHO), ESCAVADEIRA (0,8 M3), LARG. DE 1,5 M A 2,5 M, EM SOLO DE 1A CATEGORIA, LOCAIS COM BAIXO NÍVEL DE
INTERFERÊNCIA. AF_09/2024</t>
  </si>
  <si>
    <t>8002008030SI102315</t>
  </si>
  <si>
    <t>ESCAVAÇÃO MECANIZADA DE VALA COM PROF. ATÉ 1,5 M (MÉDIA MONTANTE E JUSANTE/UMA COMPOSIÇÃO POR TRECHO), ESCAVADEIRA (0,8 M3), LARG. DE 1,5 M A 2,5 M, EM SOLO DE 2A CATEGORIA, LOCAIS COM BAIXO NÍVEL DE
INTERFERÊNCIA. AF_09/2024</t>
  </si>
  <si>
    <t>8002008030SI102291</t>
  </si>
  <si>
    <t>ESCAVAÇÃO MECANIZADA DE VALA COM PROF. ATÉ 1,5 M (MÉDIA MONTANTE E JUSANTE/UMA COMPOSIÇÃO POR TRECHO), ESCAVADEIRA (0,8 M3), LARG. DE 1,5 M A 2,5 M, EM SOLO MOLE, LOCAIS COM BAIXO NÍVEL DE INTERFERÊNCIA. AF_09/2024</t>
  </si>
  <si>
    <t>8002008030SI102295</t>
  </si>
  <si>
    <t>ESCAVAÇÃO MECANIZADA DE VALA COM PROF. MAIOR QUE 1,5 M ATÉ 3,0 M (MÉDIA MONTANTE E JUSANTE/UMA COMPOSIÇÃO POR TRECHO),COM ESCAVADEIRA (1,2 M3), LARG. DE 1,5 M A 2,5 M, EM SOLO MOLE, LOCAIS COM BAIXO NÍVEL DE
INTERFERÊNCIA. AF_09/2024</t>
  </si>
  <si>
    <t>8002008030SI102281</t>
  </si>
  <si>
    <t>ESCAVAÇÃO MECANIZADA DE VALA COM PROF. MAIOR QUE 1,5 M ATÉ 3,0 M (MÉDIA MONTANTE E JUSANTE/UMA COMPOSIÇÃO POR TRECHO),COM ESCAVADEIRA (1,2 M3),LARG. DE 1,5 M A 2,5 M, EM SOLO DE 1A CATEGORIA, LOCAIS COM BAIXO NÍVEL
DE INTERFERÊNCIA. AF_09/2024</t>
  </si>
  <si>
    <t>8002008030SI102319</t>
  </si>
  <si>
    <t>ESCAVAÇÃO MECANIZADA DE VALA COM PROF. MAIOR QUE 1,5 M ATÉ 3,0 M (MÉDIA MONTANTE E JUSANTE/UMA COMPOSIÇÃO POR TRECHO),COM ESCAVADEIRA (1,2 M3),LARG. DE 1,5 M A 2,5 M, EM SOLO DE 2A CATEGORIA, LOCAIS COM BAIXO NÍVEL
DE INTERFERÊNCIA. AF_09/2024</t>
  </si>
  <si>
    <t>8002008030SI90095</t>
  </si>
  <si>
    <t>ESCAVAÇÃO MECANIZADA DE VALA COM PROF. MAIOR QUE 3,0 M ATÉ 4,5 M (MÉDIA MONTANTE E JUSANTE/UMA COMPOSIÇÃO POR TRECHO), ESCAVADEIRA (1,2 M3), LARG. DE 1,5 M A 2,5 M, EM SOLO DE 1A CATEGORIA, LOCAIS COM BAIXO NÍVEL
DE INTERFERÊNCIA. AF_09/2024</t>
  </si>
  <si>
    <t>8002008030SI102320</t>
  </si>
  <si>
    <t>ESCAVAÇÃO MECANIZADA DE VALA COM PROF. MAIOR QUE 3,0 M ATÉ 4,5 M (MÉDIA MONTANTE E JUSANTE/UMA COMPOSIÇÃO POR TRECHO), ESCAVADEIRA (1,2 M3), LARG. DE 1,5 M A 2,5 M, EM SOLO DE 2A CATEGORIA, LOCAIS COM BAIXO NÍVEL DE INTERFERÊNCIA. AF_09/2024</t>
  </si>
  <si>
    <t>8002008030SI102296</t>
  </si>
  <si>
    <t>ESCAVAÇÃO MECANIZADA DE VALA COM PROF. MAIOR QUE 3,0 M ATÉ 4,5 M (MÉDIA MONTANTE E JUSANTE/UMA COMPOSIÇÃO POR TRECHO), ESCAVADEIRA (1,2 M3), LARG. DE 1,5 M A 2,5 M, EM SOLO MOLE, LOCAIS COM BAIXO NÍVEL DE
INTERFERÊNCIA. AF_09/2024</t>
  </si>
  <si>
    <t>8002008050SI93382</t>
  </si>
  <si>
    <t>REATERRO MANUAL DE VALAS, COM COMPACTADOR DE SOLOS DE PERCUSSÃO.
AF_08/2023</t>
  </si>
  <si>
    <t>8002008050SI93373</t>
  </si>
  <si>
    <t>REATERRO MECANIZADO DE VALA COM ESCAVADEIRA HIDRÁULICA (CAPACIDADE DA CAÇAMBA: 0,8 M³/POTÊNCIA: 111 HP), LARGURA 1,5 A 2,5 M, PROFUNDIDADE 3,0 A 6,0 M, COM SOLO (SEM SUBSTITUIÇÃO) DE 1ª CATEGORIA, COM COMPACTADOR DE SOLOS DE PERCUSSÃO.
AF_08/2023</t>
  </si>
  <si>
    <t>8002008050SI93368</t>
  </si>
  <si>
    <t>REATERRO MECANIZADO DE VALA COM ESCAVADEIRA HIDRÁULICA (CAPACIDADE DA CAÇAMBA: 0,8 M³/POTÊNCIA: 111 HP), LARGURA ATÉ 1,5 M, PROFUNDIDADE DE 1,5 A 3,0 M, COM SOLO (SEM SUBSTITUIÇÃO) DE 1ª CATEGORIA, COM COMPACTADOR DE SOLOS DE PERCUSSÃO.
AF_08/2023</t>
  </si>
  <si>
    <t>8002008050SI93372</t>
  </si>
  <si>
    <t>REATERRO MECANIZADO DE VALA COM ESCAVADEIRA HIDRÁULICA (CAPACIDADE DA CAÇAMBA: 0,8 M³/POTÊNCIA: 111 HP), LARGURA ATÉ 1,5 M, PROFUNDIDADE DE 3,0 A 6,0 M, COM SOLO (SEM SUBSTITUIÇÃO) DE 1ª CATEGORIA, COM COMPACTADOR DE SOLOS DE PERCUSSÃO.
AF_08/2023</t>
  </si>
  <si>
    <t>8002008050SI93367</t>
  </si>
  <si>
    <t>REATERRO MECANIZADO DE VALA COM ESCAVADEIRA HIDRÁULICA (CAPACIDADE DA CAÇAMBA: 0,8 M³/POTÊNCIA: 111 HP), LARGURA DE 1,5 A 2,5 M, PROFUNDIDADE ATÉ 1,5 M, COM SOLO (SEM SUBSTITUIÇÃO) DE 1ª CATEGORIA, COM COMPACTADOR DE SOLOS DE PERCUSSÃO.
AF_08/2023</t>
  </si>
  <si>
    <t>8002008050SI93381</t>
  </si>
  <si>
    <t>REATERRO MECANIZADO DE VALA COM RETROESCAVADEIRA (CAPACIDADE DA CAÇAMBA DA RETRO: 0,26 M³/POTÊNCIA: 88 HP), LARGURA 0,8 A 1,5 M, PROFUNDIDADE 1,5 A 3,0 M, COM SOLO (SEM SUBSTITUIÇÃO) DE 1ª CATEGORIA E COMPACTADOR DE SOLOS DE PERCUSSÃO.
AF_08/2023</t>
  </si>
  <si>
    <t>8002008099SI93593</t>
  </si>
  <si>
    <t>TRANSPORTE COM CAMINHÃO BASCULANTE DE 14 M³, EM VIA URBANA PAVIMENTADA, ADICIONAL PARA DMT EXCEDENTE A 30 KM (UNIDADE: M3XKM).
AF_07/2020</t>
  </si>
  <si>
    <t>8002008099SI95876</t>
  </si>
  <si>
    <t>TRANSPORTE COM CAMINHÃO BASCULANTE DE 14 M³, EM VIA URBANA PAVIMENTADA, DMT ATÉ 30 KM
(UNIDADE: M3XKM). AF_07/2020</t>
  </si>
  <si>
    <t>8002008099SI97915</t>
  </si>
  <si>
    <t>TRANSPORTE COM CAMINHÃO BASCULANTE DE 6 M³, EM VIA URBANA PAVIMENTADA, ADICIONAL PARA DMT EXCEDENTE A 30 KM (UNIDADE: M3XKM).
AF_07/2020</t>
  </si>
  <si>
    <t>8002008099SI97914</t>
  </si>
  <si>
    <t>TRANSPORTE COM CAMINHÃO BASCULANTE DE 6 M³, EM VIA URBANA PAVIMENTADA, DMT ATÉ 30 KM
(UNIDADE: M3XKM). AF_07/2020</t>
  </si>
  <si>
    <t>8002008099SI100952</t>
  </si>
  <si>
    <t>TRANSPORTE COM CAMINHÃO CARROCERIA COM GUINDAUTO (MUNCK), MOMENTO MÁXIMO DE CARGA 11,7 TM, EM VIA URBANA PAVIMENTADA, DMT ATÉ 30KM (UNIDADE: TXKM). AF_07/2020</t>
  </si>
  <si>
    <t>TXKM</t>
  </si>
  <si>
    <t>8002008099SI102330</t>
  </si>
  <si>
    <t>TRANSPORTE COM CAMINHÃO TANQUE DE TRANSPORTE DE MATERIAL ASFÁLTICO DE 30000 L, EM VIA URBANA PAVIMENTADA, DMT ATÉ 30KM (UNIDADE: TXKM). AF_07/2020</t>
  </si>
  <si>
    <t>Escoramentos</t>
  </si>
  <si>
    <t>8002508040SI102719</t>
  </si>
  <si>
    <t>ENCHIMENTO DE BRITA PARA DRENO, LANÇAMENTO MANUAL. AF_07/2021</t>
  </si>
  <si>
    <t>8002508020SI101587</t>
  </si>
  <si>
    <t>ESCORAMENTO DE VALA, TIPO CONTÍNUO, COM PROFUNDIDADE DE 3,0 A 4,5 M, LARGURA MAIOR OU
IGUAL A 1,5 E MENOR QUE 2,5 M. AF_08/2020</t>
  </si>
  <si>
    <t>8002508020SI101573</t>
  </si>
  <si>
    <t>ESCORAMENTO DE VALA, TIPO PONTALETEAMENTO, COM PROFUNDIDADE DE 1,5 A 3,0 M, LARGURA MAIOR OU IGUAL A 1,5 M E MENOR QUE 2,5 M. AF_08/2020</t>
  </si>
  <si>
    <t>8002508020SI101572</t>
  </si>
  <si>
    <t>ESCORAMENTO DE VALA, TIPO PONTALETEAMENTO, COM PROFUNDIDADE DE 1,5 A
3,0 M, LARGURA MENOR QUE 1,5 M. AF_08/2020</t>
  </si>
  <si>
    <t>8002508020SI101575</t>
  </si>
  <si>
    <t>ESCORAMENTO DE VALA, TIPO PONTALETEAMENTO, COM PROFUNDIDADE DE 3,0 A 4,5 M, LARGURA MAIOR OU IGUAL A 1,5 M E MENOR QUE 2,5 M. AF_08/2020</t>
  </si>
  <si>
    <t>8002508020SI101574</t>
  </si>
  <si>
    <t>ESCORAMENTO DE VALA, TIPO PONTALETEAMENTO, COM PROFUNDIDADE DE 3,0 A
4,5 M, LARGURA MENOR QUE 1,5 M. AF_08/2020</t>
  </si>
  <si>
    <t>8002508020SI101625</t>
  </si>
  <si>
    <t>PREPARO DE FUNDO DE VALA COM LARGURA MAIOR OU IGUAL A 1,5 M E MENOR QUE 2,5 M, COM CAMADA DE AREIA, LANÇAMENTO MECANIZADO. AF_08/2020</t>
  </si>
  <si>
    <t>8002508020SI101616</t>
  </si>
  <si>
    <t>PREPARO DE FUNDO DE VALA COM LARGURA MENOR QUE 1,5 M (ACERTO DO SOLO NATURAL).
AF_08/2020</t>
  </si>
  <si>
    <t>8002508040SI102705</t>
  </si>
  <si>
    <t>TUBO DE PVC CORRUGADO RÍGIDO PERFURADO, DN 100 MM, PARA DRENO - FORNECIMENTO E
ASSENTAMENTO. AF_07/2021</t>
  </si>
  <si>
    <t>Esgotamentos e Drenagem</t>
  </si>
  <si>
    <t>8003008010SI104482</t>
  </si>
  <si>
    <t>ESGOTAMENTO DE VALA COM BOMBA SUBMERSÍVEL. AF_12/2022</t>
  </si>
  <si>
    <t>H</t>
  </si>
  <si>
    <t>8004008030SI92919</t>
  </si>
  <si>
    <t>ARMAÇÃO DE ESTRUTURAS DIVERSAS DE CONCRETO ARMADO, EXCETO VIGAS, PILARES, LAJES E FUNDAÇÕES, UTILIZANDO AÇO CA-50 DE 10,0 MM - MONTAGEM. AF_06/2022</t>
  </si>
  <si>
    <t>8004008030SI92921</t>
  </si>
  <si>
    <t>ARMAÇÃO DE ESTRUTURAS DIVERSAS DE CONCRETO ARMADO, EXCETO VIGAS, PILARES, LAJES E FUNDAÇÕES, UTILIZANDO AÇO CA-50 DE 12,5 MM - MONTAGEM. AF_06/2022</t>
  </si>
  <si>
    <t>8004008030SI92916</t>
  </si>
  <si>
    <t>ARMAÇÃO DE ESTRUTURAS DIVERSAS DE CONCRETO ARMADO, EXCETO VIGAS, PILARES, LAJES E FUNDAÇÕES, UTILIZANDO AÇO CA-50 DE 6,3 MM - MONTAGEM. AF_06/2022</t>
  </si>
  <si>
    <t>8004008030SI92917</t>
  </si>
  <si>
    <t>ARMAÇÃO DE ESTRUTURAS DIVERSAS DE CONCRETO ARMADO, EXCETO VIGAS, PILARES, LAJES E FUNDAÇÕES, UTILIZANDO AÇO CA-50 DE 8,0 MM - MONTAGEM. AF_06/2022</t>
  </si>
  <si>
    <t>ASSENTAMENTO DE TAMPA METÁLICA BIARTICULADA, FERRO FUNDIDO, DIMENSÕES
*1200* X *980* MM (NÃO INCLUI FORNECIMENTO).</t>
  </si>
  <si>
    <t>BLOCO DE CONCRETO ARMADO (30X40X60 CM) PARA FIXAÇÃO DO PILAR (MOURÃO) DE CONCRETO
DO PORTÃO DA CERCA DE CONCRETO. AF. 06/2017</t>
  </si>
  <si>
    <t>FORMAS PLANAS PARA ESTRUTURA EM CHAPA DE MADEIRA COMPENSADA DE 12 MM, 2
REAPROVEITAMENTOS, INCLUSIVE DESFORMA</t>
  </si>
  <si>
    <t>8004008040SI103673</t>
  </si>
  <si>
    <t>LANÇAMENTO COM USO DE BOMBA, ADENSAMENTO E ACABAMENTO DE CONCRETO EM ESTRUTURAS.
AF_02/2022</t>
  </si>
  <si>
    <t>8004008020SI100324</t>
  </si>
  <si>
    <t>LASTRO COM MATERIAL GRANULAR (PEDRA BRITADA N.1 E PEDRA BRITADA N.2), APLICADO EM PISOS OU LAJES SOBRE SOLO, ESPESSURA DE *10 CM*. AF_01/2024</t>
  </si>
  <si>
    <t>LASTRO COM MATERIAL GRANULAR (PEDRA BRITADA N.2), APLICADO EM PISOS OU LAJES
SOBRE SOLO, ESPESSURA DE *10 CM*. AF_01/2024</t>
  </si>
  <si>
    <t>LASTRO DE AREIA LAVADA DE RIO COM FORNECIMENTO DO MATERIAL, TRANSPORTE E
LANÇAMENTO</t>
  </si>
  <si>
    <t>Assentamento</t>
  </si>
  <si>
    <t>8004508283SI103402</t>
  </si>
  <si>
    <t>ASSENTAMENTO DE CONEXÃO COM 2 ACESSOS, EM PEAD LISO PARA REDE DE ÁGUA OU ESGOTO, DIÂMETRO DE 160 MM, JUNTA SOLDADA (NÃO INCLUI O FORNECIMENTO E EXECUÇÃO DE SOLDA). AF_12/2021</t>
  </si>
  <si>
    <t>8004508283SI103410</t>
  </si>
  <si>
    <t>ASSENTAMENTO DE CONEXÃO COM 2 ACESSOS, EM PEAD LISO PARA REDE DE ÁGUA OU ESGOTO, DIÂMETRO DE 400 MM, JUNTA SOLDADA (NÃO INCLUI O FORNECIMENTO E EXECUÇÃO DE SOLDA). AF_12/2021</t>
  </si>
  <si>
    <t>8004508283SI103400</t>
  </si>
  <si>
    <t>ASSENTAMENTO DE CONEXÃO COM 2 ACESSOS, EM PEAD LISO PARA REDE DE ÁGUA OU ESGOTO, DIÂMETRO DE 90 MM, JUNTA SOLDADA (NÃO INCLUI O FORNECIMENTO E EXECUÇÃO DE SOLDA).
AF_12/2021</t>
  </si>
  <si>
    <t>8004508110SI103106</t>
  </si>
  <si>
    <t>ASSENTAMENTO DE CONEXÃO COM 2 ACESSOS, FERRO FUNDIDO PARA REDE DE ÁGUA, DN 100 MM, JUNTA FLANGEADA (NÃO INCLUI O FORNECIMENTO). AF_09/2021</t>
  </si>
  <si>
    <t>8004508110SI103108</t>
  </si>
  <si>
    <t>ASSENTAMENTO DE CONEXÃO COM 2 ACESSOS, FERRO FUNDIDO PARA REDE DE ÁGUA, DN 200 MM, JUNTA FLANGEADA (NÃO INCLUI O FORNECIMENTO). AF_09/2021</t>
  </si>
  <si>
    <t>8004508110SI103109</t>
  </si>
  <si>
    <t>ASSENTAMENTO DE CONEXÃO COM 2 ACESSOS, FERRO FUNDIDO PARA REDE DE ÁGUA, DN 250 MM, JUNTA FLANGEADA (NÃO INCLUI O FORNECIMENTO). AF_09/2021</t>
  </si>
  <si>
    <t>8004508110SI103112</t>
  </si>
  <si>
    <t>ASSENTAMENTO DE CONEXÃO COM 2 ACESSOS, FERRO FUNDIDO PARA REDE DE ÁGUA, DN 400 MM, JUNTA FLANGEADA (NÃO INCLUI O FORNECIMENTO). AF_09/2021</t>
  </si>
  <si>
    <t>8004508110SI103115</t>
  </si>
  <si>
    <t>ASSENTAMENTO DE CONEXÃO COM 2 ACESSOS, FERRO FUNDIDO PARA REDE DE ÁGUA, DN 600 MM, JUNTA FLANGEADA (NÃO INCLUI O FORNECIMENTO). AF_09/2021</t>
  </si>
  <si>
    <t>8004508110SI103105</t>
  </si>
  <si>
    <t>ASSENTAMENTO DE CONEXÃO COM 2 ACESSOS, FERRO FUNDIDO PARA REDE DE ÁGUA, DN 80 MM, JUNTA FLANGEADA (NÃO INCLUI O FORNECIMENTO). AF_09/2021</t>
  </si>
  <si>
    <t>8004508110SI103128</t>
  </si>
  <si>
    <t>ASSENTAMENTO DE CONEXÃO COM 3 ACESSOS, FERRO FUNDIDO PARA REDE DE ÁGUA, DN 400 MM, JUNTA FLANGEADA (NÃO INCLUI O FORNECIMENTO). AF_09/2021</t>
  </si>
  <si>
    <t>8004508110SI103131</t>
  </si>
  <si>
    <t>ASSENTAMENTO DE CONEXÃO COM 3 ACESSOS, FERRO FUNDIDO PARA REDE DE ÁGUA, DN 600 MM, JUNTA FLANGEADA (NÃO INCLUI O FORNECIMENTO). AF_09/2021</t>
  </si>
  <si>
    <t>8004508110SI97159</t>
  </si>
  <si>
    <t>8004508110SI97160</t>
  </si>
  <si>
    <t>8004508110SI103092</t>
  </si>
  <si>
    <t>8004508110SI103096</t>
  </si>
  <si>
    <t>8004508110SI97167</t>
  </si>
  <si>
    <t>8004508110SI103099</t>
  </si>
  <si>
    <t>EXECUÇÃO DE JUNTA SOLDADA POR ELETROFUSÃO, DE TUBO OU CONEXÃO EM PEAD LISO PARA REDE DE ÁGUA OU ESGOTO, DIÂMETRO DE 560 MM (NÃO INCLUI O FORNECIMENTO DE TUBO E CONEXÃO). AF_12/2021</t>
  </si>
  <si>
    <t>EXECUÇÃO DE JUNTA SOLDADA POR ELETROFUSÃO, DE TUBO OU CONEXÃO EM PEAD LISO PARA REDE DE ÁGUA OU ESGOTO, DIÂMETRO DE 90 MM (NÃO INCLUI O FORNECIMENTO DE TUBO E CONEXÃO). AF_12/2021</t>
  </si>
  <si>
    <t>EXECUÇÃO DE JUNTA SOLDADA POR TERMOFUSÃO, DE TUBO OU CONEXÃO EM PEAD LISO PARA REDE DE ÁGUA OU ESGOTO, DIÂMETRO DE 160 MM (NÃO INCLUI O FORNECIMENTO DE TUBO E CONEXÃO).
AF_12/2021</t>
  </si>
  <si>
    <t>EXECUÇÃO DE JUNTA SOLDADA POR TERMOFUSÃO, DE TUBO OU CONEXÃO EM PEAD LISO PARA REDE DE ÁGUA OU ESGOTO, DIÂMETRO DE 400 MM (NÃO INCLUI O FORNECIMENTO DE TUBO E CONEXÃO).
AF_12/2021</t>
  </si>
  <si>
    <t>8004508071SI92211</t>
  </si>
  <si>
    <t>TUBO DE CONCRETO PARA REDES COLETORAS DE ÁGUAS PLUVIAIS, DIÂMETRO DE 500 MM, JUNTA RÍGIDA, INSTALADO EM LOCAL COM BAIXO NÍVEL DE INTERFERÊNCIAS - FORNECIMENTO E ASSENTAMENTO. AF_03/2024</t>
  </si>
  <si>
    <t>Pavimentação</t>
  </si>
  <si>
    <t>8005008010SI100574</t>
  </si>
  <si>
    <t>ESPALHAMENTO DE MATERIAL COM TRATOR DE ESTEIRAS. AF_09/2024</t>
  </si>
  <si>
    <t>EXECUÇÃO DE IMPRIMAÇÃO COM ASFALTO DILUÍDO CM-30. AF_11/2019 (ATUALIZADO CAESB)</t>
  </si>
  <si>
    <t>EXECUÇÃO DE PINTURA DE LIGAÇÃO COM EMULSÃO ASFÁLTICA RR-2C.</t>
  </si>
  <si>
    <t>8005008020SI102098</t>
  </si>
  <si>
    <t>8005008020SI100575</t>
  </si>
  <si>
    <t>REGULARIZAÇÃO DE SUPERFÍCIES COM MOTONIVELADORA. AF_09/2024</t>
  </si>
  <si>
    <t>Ligações prediais</t>
  </si>
  <si>
    <t>ASSENTAMENTO DE HIDRÔMETRO DE 1,50 M3/HORA</t>
  </si>
  <si>
    <t>8005508100SI95676</t>
  </si>
  <si>
    <t>CAIXA EM CONCRETO PRÉ-MOLDADO PARA ABRIGO DE HIDRÔMETRO COM DN 20 MM - FORNECIMENTO
E INSTALAÇÃO. AF_03/2024</t>
  </si>
  <si>
    <t>8005508100SI97741</t>
  </si>
  <si>
    <t>KIT CAVALETE PARA MEDIÇÃO DE ÁGUA - ENTRADA INDIVIDUALIZADA, EM PVC 25 MM (3/4"), PARA 1 MEDIDOR - FORNECIMENTO E INSTALAÇÃO (EXCLUSIVE HIDRÔMETRO). AF_03/2024</t>
  </si>
  <si>
    <t>Fechamento</t>
  </si>
  <si>
    <t>Revestimento e tratamento de superfície</t>
  </si>
  <si>
    <t>8006508020SI87535</t>
  </si>
  <si>
    <t>EMBOÇO, EM ARGAMASSA TRAÇO 1:2:8, PREPARO MECÂNICO, APLICADO MANUALMENTE EM PAREDES INTERNAS DE AMBIENTES COM ÁREA MAIOR QUE 10M², E = 17,5MM, COM TALISCAS. AF_03/2024</t>
  </si>
  <si>
    <t>8006508040SI98557</t>
  </si>
  <si>
    <t>IMPERMEABILIZAÇÃO DE SUPERFÍCIE COM EMULSÃO ASFÁLTICA, 2 DEMÃOS. AF_09/2023</t>
  </si>
  <si>
    <t>Instalações prediais</t>
  </si>
  <si>
    <t>8007008395SI98059</t>
  </si>
  <si>
    <t>FILTRO ANAERÓBIO CIRCULAR, EM CONCRETO PRÉ-MOLDADO, DIÂMETRO INTERNO = 1,88 M, ALTURA INTERNA = 1,50 M, VOLUME ÚTIL: 3331,1 L (PARA 19 CONTRIBUINTES). AF_12/2020</t>
  </si>
  <si>
    <t>SUMIDOURO CIRCULAR, EM CONCRETO PRÉ-MOLDADO, DIÂMETRO INTERNO = 2,88 M, ALTURA INTERNA = 3,0 M, ÁREA DE INFILTRAÇÃO: 31,4 M² (PARA 12 CONTRIBUINTES). AF_12/2020</t>
  </si>
  <si>
    <t>8007008122SI103979</t>
  </si>
  <si>
    <t>TUBO, PVC, SOLDÁVEL, DE 50MM, INSTALADO EM RAMAL DE DISTRIBUIÇÃO DE ÁGUA -
FORNECIMENTO E INSTALAÇÃO. AF_06/2022</t>
  </si>
  <si>
    <t>Urbanização</t>
  </si>
  <si>
    <t>8008008020SI98520</t>
  </si>
  <si>
    <t>APLICAÇÃO DE ADUBO EM SOLO. AF_07/2024</t>
  </si>
  <si>
    <t>8008008020SC4413942</t>
  </si>
  <si>
    <t>ESPALHAMENTO DE MATERIAL EM BOTA-FORA</t>
  </si>
  <si>
    <t>8008008041SI103689</t>
  </si>
  <si>
    <t>FORNECIMENTO E INSTALAÇÃO DE PLACA DE OBRA COM CHAPA GALVANIZADA E ESTRUTURA DE
MADEIRA. AF_03/2022_PS</t>
  </si>
  <si>
    <t>8008008020SI98524</t>
  </si>
  <si>
    <t>LIMPEZA MANUAL DE VEGETAÇÃO EM TERRENO COM ENXADA. AF_03/2024</t>
  </si>
  <si>
    <t>8008008020SI98525</t>
  </si>
  <si>
    <t>LIMPEZA MECANIZADA DE CAMADA VEGETAL, VEGETAÇÃO E PEQUENAS ÁRVORES (DIÂMETRO DE TRONCO MENOR QUE 0,20 M), COM TRATOR DE ESTEIRAS. AF_03/2024</t>
  </si>
  <si>
    <t>8008008040SC5213424</t>
  </si>
  <si>
    <t>PLACA MODULADA EM AÇO Nº 18 GALVANIZADO COM PELÍCULA RETRORREFLETIVA TIPO III + III -
CONFECÇÃO</t>
  </si>
  <si>
    <t>8008008020SI98504</t>
  </si>
  <si>
    <t>Serviços diversos</t>
  </si>
  <si>
    <t>8008508023SI102619</t>
  </si>
  <si>
    <t>CAIXA D´ÁGUA EM POLIÉSTER REFORÇADO COM FIBRA DE VIDRO, 10000 LITROS - FORNECIMENTO E
INSTALAÇÃO. AF_06/2021</t>
  </si>
  <si>
    <t>8008508024X238</t>
  </si>
  <si>
    <t>8008508035SI101917</t>
  </si>
  <si>
    <t>MANÔMETRO 0 A 200 PSI (0 A 14 KGF/CM2), D = 50MM
- FORNECIMENTO E INSTALAÇÃO. AF_10/2020</t>
  </si>
  <si>
    <t>8008508023SI94799</t>
  </si>
  <si>
    <t>TORNEIRA DE BOIA PARA CAIXA D'ÁGUA, ROSCÁVEL, 1 1/2" - FORNECIMENTO E INSTALAÇÃO.
AF_08/2021</t>
  </si>
  <si>
    <t>8008508041SI104166</t>
  </si>
  <si>
    <t>TUBO PVC, SÉRIE R, ÁGUA PLUVIAL, DN 150 MM, FORNECIDO E INSTALADO EM RAMAL DE
ENCAMINHAMENTO. AF_06/2022</t>
  </si>
  <si>
    <t>Unidades Operacionais</t>
  </si>
  <si>
    <t>8011008004SC4915777</t>
  </si>
  <si>
    <t>REASSENTAMENTO MANUAL DE MEIO-FIO COM MATERIAL ARRANCADO DA PISTA</t>
  </si>
  <si>
    <t>Serviço auxiliar provisório</t>
  </si>
  <si>
    <t>8099908001SC4805751</t>
  </si>
  <si>
    <t>ESCAVAÇÃO MANUAL EM MATERIAL DE 1ª CATEGORIA NA PROFUNDIDADE DE 1 A 2 M</t>
  </si>
  <si>
    <t>8099908001SC4805752</t>
  </si>
  <si>
    <t>ESCAVAÇÃO MANUAL EM MATERIAL DE 1ª CATEGORIA NA PROFUNDIDADE DE 2 A 3 M</t>
  </si>
  <si>
    <t>8099908001SC4805753</t>
  </si>
  <si>
    <t>ESCAVAÇÃO MANUAL EM MATERIAL DE 1ª CATEGORIA NA PROFUNDIDADE DE 3 A 4 M</t>
  </si>
  <si>
    <t>8099908001SC4805750</t>
  </si>
  <si>
    <t>ESCAVAÇÃO MANUAL EM MATERIAL DE 1ª CATEGORIA NA PROFUNDIDADE DE ATÉ 1 M</t>
  </si>
  <si>
    <t>8099908001SC4805767</t>
  </si>
  <si>
    <t>ESCAVAÇÃO MANUAL EM MATERIAL DE 2ª CATEGORIA NA PROFUNDIDADE DE 1 A 2 M</t>
  </si>
  <si>
    <t>8099908001SC4805769</t>
  </si>
  <si>
    <t>ESCAVAÇÃO MANUAL EM MATERIAL DE 2ª CATEGORIA NA PROFUNDIDADE DE 2 A 3 M</t>
  </si>
  <si>
    <t>8099908001SC4805770</t>
  </si>
  <si>
    <t>ESCAVAÇÃO MANUAL EM MATERIAL DE 2ª CATEGORIA NA PROFUNDIDADE DE 3 A 4 M</t>
  </si>
  <si>
    <t>Sistema distribuidor de água</t>
  </si>
  <si>
    <t>LIGAÇÃO PREDIAL PADRÃO DE ÁGUA, DIÂMETROS MAIORES QUE 32 MM</t>
  </si>
  <si>
    <t>Equipamentos (locação) - BDI Diferenciado</t>
  </si>
  <si>
    <t>Máquinas e Equipamentos SINAPI</t>
  </si>
  <si>
    <t>2202010001SI10775</t>
  </si>
  <si>
    <t>LOCACAO DE CONTAINER 2,30 X 6,00 M, ALT. 2,50 M, COM 1 SANITARIO, PARA ESCRITORIO, COMPLETO, SEM DIVISORIAS INTERNAS (NAO INCLUI MOBILIZACAO/DESMOBILIZACAO)</t>
  </si>
  <si>
    <t>2202010001SI10776</t>
  </si>
  <si>
    <t>LOCACAO DE CONTAINER 2,30 X 6,00 M, ALT. 2,50 M, PARA ESCRITORIO, SEM DIVISORIAS INTERNAS E SEM SANITARIO (NAO INCLUI MOBILIZACAO/DESMOBILIZACAO)</t>
  </si>
  <si>
    <t>2202010001SI10778</t>
  </si>
  <si>
    <t>LOCACAO DE CONTAINER 2,30 X 6,00 M, ALT. 2,50 M, PARA SANITARIO, COM 4 BACIAS, 8 CHUVEIROS,1 LAVATORIO E 1 MICTORIO (NAO INCLUI MOBILIZACAO/DESMOBILIZACAO)</t>
  </si>
  <si>
    <t>EQUIPAMENTOS - MENSAL</t>
  </si>
  <si>
    <t>Acessórios para canteiro de obras</t>
  </si>
  <si>
    <t>LOCAÇÃO DE BANHEIRO QUÍMICO COM DUAS MANUTENÇÕES SEMANAIS</t>
  </si>
  <si>
    <t>loc/un/mês</t>
  </si>
  <si>
    <t>SERVICOS COMPOSTOS - CHE SEM OPERADOR</t>
  </si>
  <si>
    <t>2202019100SCE9779</t>
  </si>
  <si>
    <t>GRUPO GERADOR - 113 KVA</t>
  </si>
  <si>
    <t>CHP</t>
  </si>
  <si>
    <t>2202019200SCE9779</t>
  </si>
  <si>
    <t>CHI</t>
  </si>
  <si>
    <t>Cód. Auxiliar</t>
  </si>
  <si>
    <t>Consumo</t>
  </si>
  <si>
    <t>Custo (Financ)</t>
  </si>
  <si>
    <t>% Ac</t>
  </si>
  <si>
    <t>IM2398</t>
  </si>
  <si>
    <t>8900103001SI422</t>
  </si>
  <si>
    <t>OLEO DIESEL COMBUSTIVEL COMUM METROPOLITANO S-10 OU S-500</t>
  </si>
  <si>
    <t>M0028</t>
  </si>
  <si>
    <t>1514603060012</t>
  </si>
  <si>
    <t>IM0303</t>
  </si>
  <si>
    <t>8900103001SI368</t>
  </si>
  <si>
    <t>AREIA PARA ATERRO - POSTO JAZIDA/FORNECEDOR (RETIRADO NA JAZIDA, SEM TRANSPORTE)</t>
  </si>
  <si>
    <t>IH0136</t>
  </si>
  <si>
    <t>0128000050SI121</t>
  </si>
  <si>
    <t>CARPINTEIRO DE FORMAS PARA CONCRETO (HORISTA)</t>
  </si>
  <si>
    <t>IH0193</t>
  </si>
  <si>
    <t>0128000050SI408</t>
  </si>
  <si>
    <t>ENGENHEIRO CIVIL DE OBRA PLENO (MENSALISTA)</t>
  </si>
  <si>
    <t>IH0505</t>
  </si>
  <si>
    <t>0128000050SI343</t>
  </si>
  <si>
    <t>VIGIA DIURNO (HORISTA)</t>
  </si>
  <si>
    <t>IM0809</t>
  </si>
  <si>
    <t>2202005001SI377</t>
  </si>
  <si>
    <t>CAVALO MECANICO TRACAO 4X2, PESO BRUTO TOTAL 16000 KG, CAPACIDADE MAXIMA DE TRACAO *36000* KG, DISTANCIA ENTRE EIXOS *3,56* M, POTENCIA *286* CV (INCLUI CABINE E CHASSI, NAO INCLUI SEMIRREBOQUE)</t>
  </si>
  <si>
    <t>M0007</t>
  </si>
  <si>
    <t>1511003139045</t>
  </si>
  <si>
    <t>IH0030</t>
  </si>
  <si>
    <t>8900103001SI373</t>
  </si>
  <si>
    <t>ALIMENTACAO - HORISTA (COLETADO CAIXA - ENCARGOS COMPLEMENTARES)</t>
  </si>
  <si>
    <t>IM0301</t>
  </si>
  <si>
    <t>8900103001SI370</t>
  </si>
  <si>
    <t>AREIA MEDIA - POSTO JAZIDA/FORNECEDOR (RETIRADO NA JAZIDA, SEM TRANSPORTE)</t>
  </si>
  <si>
    <t>M0011</t>
  </si>
  <si>
    <t>1511003171006</t>
  </si>
  <si>
    <t>M0010</t>
  </si>
  <si>
    <t>1511003171005</t>
  </si>
  <si>
    <t>M0097</t>
  </si>
  <si>
    <t>IM2996</t>
  </si>
  <si>
    <t>0174103006002</t>
  </si>
  <si>
    <t>IH0449</t>
  </si>
  <si>
    <t>0128000050SI611</t>
  </si>
  <si>
    <t>SERVENTE DE OBRAS (HORISTA)</t>
  </si>
  <si>
    <t>IH0480</t>
  </si>
  <si>
    <t>0128000050SI409</t>
  </si>
  <si>
    <t>TECNICO EM SEGURANCA DO TRABALHO (MENSALISTA)</t>
  </si>
  <si>
    <t>M0006</t>
  </si>
  <si>
    <t>1511003139041</t>
  </si>
  <si>
    <t>M0096</t>
  </si>
  <si>
    <t>M0098</t>
  </si>
  <si>
    <t>M0009</t>
  </si>
  <si>
    <t>1511003043048</t>
  </si>
  <si>
    <t>M0004</t>
  </si>
  <si>
    <t>1511003147024</t>
  </si>
  <si>
    <t>IM2953</t>
  </si>
  <si>
    <t>8900103001SI618</t>
  </si>
  <si>
    <t>TABUA NAO APARELHADA *2,5 X 30* CM, EM MACARANDUBA/MASSARANDUBA, ANGELIM OU EQUIVALENTE DA REGIAO - BRUTA</t>
  </si>
  <si>
    <t>IM3169</t>
  </si>
  <si>
    <t>8900103001SI407</t>
  </si>
  <si>
    <t>TELHA GALVALUME COM ISOLAMENTO TERMOACUSTICO EM ESPUMA RIGIDA DE POLIURETANO (PU) INJETADO, ESPESSURA DE 30 MM, DENSIDADE DE 35 KG/M3, REVESTIMENTO EM TELHA TRAPEZOIDAL NAS DUAS FACES COM ESPESSURA DE 0,50 MM CADA, ACABAMENTO NATURAL (NAO INCLUI ACESSORIOS DE FIXACAO)</t>
  </si>
  <si>
    <t>IM2464</t>
  </si>
  <si>
    <t>8900103001SI471</t>
  </si>
  <si>
    <t>PEDRA BRITADA N. 2 (19 A 38 MM) POSTO PEDREIRA/FORNECEDOR, SEM FRETE</t>
  </si>
  <si>
    <t>IH0035</t>
  </si>
  <si>
    <t>ALMOXARIFE (MENSALISTA)</t>
  </si>
  <si>
    <t>IM2873</t>
  </si>
  <si>
    <t>SEMIRREBOQUE COM DOIS EIXOS EM TANDEM TIPO BASCULANTE COM CACAMBA METALICA 14 M3 (INCLUI MONTAGEM, NAO INCLUI CAVALO MECANICO)</t>
  </si>
  <si>
    <t>M0014</t>
  </si>
  <si>
    <t>1511003047012</t>
  </si>
  <si>
    <t>IE0229</t>
  </si>
  <si>
    <t>TRANSPORTE - HORISTA (COLETADO CAIXA - ENCARGOS COMPLEMENTARES)</t>
  </si>
  <si>
    <t>IM1495</t>
  </si>
  <si>
    <t>EXAMES - HORISTA (COLETADO CAIXA - ENCARGOS COMPLEMENTARES)</t>
  </si>
  <si>
    <t>IH0316</t>
  </si>
  <si>
    <t>0128000050SI200</t>
  </si>
  <si>
    <t>MOTORISTA DE CAMINHAO-BASCULANTE (HORISTA)</t>
  </si>
  <si>
    <t>IM0050</t>
  </si>
  <si>
    <t>8900103001SI33</t>
  </si>
  <si>
    <t>ACO CA-50, 8,0 MM, VERGALHAO</t>
  </si>
  <si>
    <t>IH0178</t>
  </si>
  <si>
    <t>ENCARREGADO GERAL DE OBRAS (MENSALISTA)</t>
  </si>
  <si>
    <t>M0068</t>
  </si>
  <si>
    <t>1515903060024</t>
  </si>
  <si>
    <t>IM0926</t>
  </si>
  <si>
    <t>8900103001SI152</t>
  </si>
  <si>
    <t>CONCRETO USINADO BOMBEAVEL, CLASSE DE RESISTENCIA C30, BRITA 0 E 1, SLUMP = 100 +/- 20 MM, COM BOMBEAMENTO (DISPONIBILIZACAO DE BOMBA), SEM O LANCAMENTO (NBR 8953)</t>
  </si>
  <si>
    <t>IM1664</t>
  </si>
  <si>
    <t>8900103001SI332</t>
  </si>
  <si>
    <t>GRAMA BATATAIS EM PLACAS, SEM PLANTIO</t>
  </si>
  <si>
    <t>IE0049</t>
  </si>
  <si>
    <t>CAMINHAO TOCO, PESO BRUTO TOTAL 16000 KG, CARGA UTIL MAXIMA 11030 KG, DISTANCIA ENTRE EIXOS 5,41 M, POTENCIA 185 CV (INCLUI CABINE E CHASSI, NAO INCLUI CARROCERIA)</t>
  </si>
  <si>
    <t>IH0468</t>
  </si>
  <si>
    <t>TECNICO DE EDIFICACOES (MENSALISTA)</t>
  </si>
  <si>
    <t>M0065</t>
  </si>
  <si>
    <t>1515903059066</t>
  </si>
  <si>
    <t>M0020</t>
  </si>
  <si>
    <t>1513903023038</t>
  </si>
  <si>
    <t>M0086</t>
  </si>
  <si>
    <t>M0066</t>
  </si>
  <si>
    <t>1515903091004</t>
  </si>
  <si>
    <t>IE0101</t>
  </si>
  <si>
    <t>2202005001SI145</t>
  </si>
  <si>
    <t>ESCAVADEIRA HIDRAULICA SOBRE ESTEIRAS COM CACAMBA DE 1,20 M3, PESO OPERACIONAL 21 T, POTENCIA BRUTA 155 HP</t>
  </si>
  <si>
    <t>M0099</t>
  </si>
  <si>
    <t>2204011001001</t>
  </si>
  <si>
    <t>IH0101</t>
  </si>
  <si>
    <t>0128000050SI410</t>
  </si>
  <si>
    <t>AUXILIAR DE SERVICOS GERAIS (MENSALISTA)</t>
  </si>
  <si>
    <t>M0064</t>
  </si>
  <si>
    <t>1515903059023</t>
  </si>
  <si>
    <t>IH0417</t>
  </si>
  <si>
    <t>0128000050SI475</t>
  </si>
  <si>
    <t>PEDREIRO (HORISTA)</t>
  </si>
  <si>
    <t>M0008</t>
  </si>
  <si>
    <t>1511003139022</t>
  </si>
  <si>
    <t>IH0126</t>
  </si>
  <si>
    <t>CARPINTEIRO AUXILIAR (HORISTA)</t>
  </si>
  <si>
    <t>IM3170</t>
  </si>
  <si>
    <t>8900103001SI724</t>
  </si>
  <si>
    <t>TELHA TRAPEZOIDAL EM ACO ZINCADO, SEM PINTURA, ALTURA DE APROXIMADAMENTE 40 MM, ESPESSURA DE 0,50 MM E LARGURA UTIL DE 980 MM</t>
  </si>
  <si>
    <t>M0089</t>
  </si>
  <si>
    <t>M0027</t>
  </si>
  <si>
    <t>1514603085189</t>
  </si>
  <si>
    <t>IE0104</t>
  </si>
  <si>
    <t>2202005001SI106</t>
  </si>
  <si>
    <t>ESCAVADEIRA HIDRAULICA SOBRE ESTEIRAS, CACAMBA 0,80M3, PESO OPERACIONAL 17T, POTENCIA BRUTA 111HP</t>
  </si>
  <si>
    <t>M0067</t>
  </si>
  <si>
    <t>1515903060058</t>
  </si>
  <si>
    <t>IH0360</t>
  </si>
  <si>
    <t>0128000050SI423</t>
  </si>
  <si>
    <t>OPERADOR DE ESCAVADEIRA (HORISTA)</t>
  </si>
  <si>
    <t>IM1445</t>
  </si>
  <si>
    <t>8900103001SI434</t>
  </si>
  <si>
    <t>EPI - FAMILIA SERVENTE - HORISTA (ENCARGOS COMPLEMENTARES - COLETADO CAIXA)</t>
  </si>
  <si>
    <t>IM1921</t>
  </si>
  <si>
    <t>1513903023019</t>
  </si>
  <si>
    <t>JUNTA DE DESMONTAGEM TRAVADA AXIALMENTE (CLASSE DE PRESSÃO: 16 KGF/CM² / DIÂMETRO DA SEÇÃO: 600 MM)</t>
  </si>
  <si>
    <t>M0003</t>
  </si>
  <si>
    <t>1505503002016</t>
  </si>
  <si>
    <t>TAMPA METÁLICA BIARTICULADA, FERRO FUNDIDO, MODELO T2RBI (TAMANHO EXTERNO 1280MM X
980MM E TAMANHO INTERNO 1190MM X 880MM)</t>
  </si>
  <si>
    <t>IM2575</t>
  </si>
  <si>
    <t>8900103001SI449</t>
  </si>
  <si>
    <t>PONTALETE *7,5 X 7,5* CM EM PINUS, MISTA OU EQUIVALENTE DA REGIAO - BRUTA</t>
  </si>
  <si>
    <t>IM1416</t>
  </si>
  <si>
    <t>8900103001SI431</t>
  </si>
  <si>
    <t>ENDURECEDOR MINERAL DE BASE CIMENTICIA PARA PISO DE CONCRETO</t>
  </si>
  <si>
    <t>IM2819</t>
  </si>
  <si>
    <t>ROLO COMPACTADOR PE DE CARNEIRO VIBRATORIO, POTENCIA 80 HP, PESO OPERACIONAL SEM/COM LASTRO 7,4/8,8 T, LARGURA DE TRABALHO 1,68 M</t>
  </si>
  <si>
    <t>IH0376</t>
  </si>
  <si>
    <t>OPERADOR DE MAQUINAS E TRATORES DIVERSOS - TERRAPLANAGEM (HORISTA)</t>
  </si>
  <si>
    <t>IM3145</t>
  </si>
  <si>
    <t>8900103001SI715</t>
  </si>
  <si>
    <t>TELA DE ACO SOLDADA NERVURADA, CA-60, Q-196, (3,11 KG/M2), DIAMETRO DO FIO = 5,0 MM, LARGURA = 2,45 M, ESPACAMENTO DA MALHA = 10 X 10 CM</t>
  </si>
  <si>
    <t>IH0439</t>
  </si>
  <si>
    <t>0127000123002</t>
  </si>
  <si>
    <t>SALÁRIO MÍNIMO NACIONAL 2025 SEM ENCARGOS SOCIAIS</t>
  </si>
  <si>
    <t>IM2793</t>
  </si>
  <si>
    <t>2202005001SI365</t>
  </si>
  <si>
    <t>RETROESCAVADEIRA SOBRE RODAS COM CARREGADEIRA, TRACAO 4 X 4, POTENCIA LIQUIDA 88 HP, PESO OPERACIONAL MINIMO DE 6674 KG, CAPACIDADE DA CARREGADEIRA DE 1,00 M3 E DA RETROESCAVADEIRA MINIMA DE 0,26 M3, PROFUNDIDADE DE ESCAVACAO MAXIMA DE 4,37 M</t>
  </si>
  <si>
    <t>M0063</t>
  </si>
  <si>
    <t>1515903059022</t>
  </si>
  <si>
    <t>M0061</t>
  </si>
  <si>
    <t>1515903114003</t>
  </si>
  <si>
    <t>IM1496</t>
  </si>
  <si>
    <t>8900103001SI408</t>
  </si>
  <si>
    <t>EXAMES - MENSALISTA (COLETADO CAIXA - ENCARGOS COMPLEMENTARES)</t>
  </si>
  <si>
    <t>M0095</t>
  </si>
  <si>
    <t>2290005007047</t>
  </si>
  <si>
    <t>IH0330</t>
  </si>
  <si>
    <t>MOTORISTA OPERADOR DE CAMINHAO COM MUNCK (HORISTA)</t>
  </si>
  <si>
    <t>IH0044</t>
  </si>
  <si>
    <t>0128000050SI378</t>
  </si>
  <si>
    <t>ARMADOR (HORISTA)</t>
  </si>
  <si>
    <t>M0082</t>
  </si>
  <si>
    <t>1515903046003</t>
  </si>
  <si>
    <t>IM0914</t>
  </si>
  <si>
    <t>8900103001SI151</t>
  </si>
  <si>
    <t>CONCRETO BETUMINOSO USINADO A QUENTE (CBUQ) PARA PAVIMENTACAO ASFALTICA, PADRAO DNIT, FAIXA C, COM CAP 50/70 - AQUISICAO POSTO USINA</t>
  </si>
  <si>
    <t>IM2480</t>
  </si>
  <si>
    <t>8900103001SI430</t>
  </si>
  <si>
    <t>PERFIL U ENRIJECIDO, EM CHAPA DOBRADA DE ACO LAMINADO, E = 3,75 MM, H = 200 MM, L = 75 MM (9,94 KG/M)</t>
  </si>
  <si>
    <t>M0032</t>
  </si>
  <si>
    <t>1514603061021</t>
  </si>
  <si>
    <t>IM2944</t>
  </si>
  <si>
    <t>8900103001SI621</t>
  </si>
  <si>
    <t>TABUA *2,5 X 30 CM EM PINUS, MISTA OU EQUIVALENTE DA REGIAO - BRUTA</t>
  </si>
  <si>
    <t>IM1460</t>
  </si>
  <si>
    <t>ESCADA TIPO MARINHEIRO EM TUBO DE AÇO INOX, COM LARGURA DE 0,60M, FIXADO COM PARAFUSOS E SEM GUARDA-CORPO</t>
  </si>
  <si>
    <t>M0025</t>
  </si>
  <si>
    <t>1514603025060</t>
  </si>
  <si>
    <t>IM2520</t>
  </si>
  <si>
    <t>8900103001SI481</t>
  </si>
  <si>
    <t>PLACA DE OBRA (PARA CONSTRUCAO CIVIL) EM CHAPA GALVANIZADA *N. 22*, ADESIVADA, DE *2,4 X 1,2* M (SEM POSTES PARA FIXACAO)</t>
  </si>
  <si>
    <t>M0083</t>
  </si>
  <si>
    <t>1515903101020</t>
  </si>
  <si>
    <t>IM1429</t>
  </si>
  <si>
    <t>EPI - FAMILIA CARPINTEIRO DE FORMAS - HORISTA (ENCARGOS COMPLEMENTARES - COLETADO CAIXA)</t>
  </si>
  <si>
    <t>M0069</t>
  </si>
  <si>
    <t>1515903060021</t>
  </si>
  <si>
    <t>M0041</t>
  </si>
  <si>
    <t>1515903098034</t>
  </si>
  <si>
    <t>IM1552</t>
  </si>
  <si>
    <t>8900103001SI381</t>
  </si>
  <si>
    <t>FERTILIZANTE ORGANICO COMPOSTO, CLASSE A</t>
  </si>
  <si>
    <t>M0033</t>
  </si>
  <si>
    <t>1514603046048</t>
  </si>
  <si>
    <t>IM3471</t>
  </si>
  <si>
    <t>8900103001SI443</t>
  </si>
  <si>
    <t>TUBO PVC, RIGIDO, CORRUGADO, PERFURADO DN 100 MM, PARA DRENAGEM, SISTEMA IRRIGACAO</t>
  </si>
  <si>
    <t>M0048</t>
  </si>
  <si>
    <t>1515903062005</t>
  </si>
  <si>
    <t>M0080</t>
  </si>
  <si>
    <t>1515903042120</t>
  </si>
  <si>
    <t>IM2942</t>
  </si>
  <si>
    <t>8900103001SI619</t>
  </si>
  <si>
    <t>TABUA *2,5 X 15 CM EM PINUS, MISTA OU EQUIVALENTE DA REGIAO - BRUTA</t>
  </si>
  <si>
    <t>IM1542</t>
  </si>
  <si>
    <t>FERRAMENTAS - FAMILIA SERVENTE - HORISTA (ENCARGOS COMPLEMENTARES - COLETADO CAIXA)</t>
  </si>
  <si>
    <t>IM1919</t>
  </si>
  <si>
    <t>1513903023011</t>
  </si>
  <si>
    <t>JUNTA DE DESMONTAGEM TRAVADA AXIALMENTE (CLASSE DE PRESSÃO: 10 KGF/CM² / DIÂMETRO DA SEÇÃO: 200 MM)</t>
  </si>
  <si>
    <t>M0074</t>
  </si>
  <si>
    <t>1515903040011</t>
  </si>
  <si>
    <t>IM2623</t>
  </si>
  <si>
    <t>0846003004001</t>
  </si>
  <si>
    <t>PORTÃO PARA ENTRADA DE VEÍCULO PADRÃO CAESB EM TUBO GALVANIZADO 38MM E 55MM DE DIÂMETRO COM ESPAÇAMENTO ENTRE EIXO DE 13,5CM E TELA ARTÍSTICA 3X5 FIO 12</t>
  </si>
  <si>
    <t>M0052</t>
  </si>
  <si>
    <t>1515903084008</t>
  </si>
  <si>
    <t>M0045</t>
  </si>
  <si>
    <t>1515903014138</t>
  </si>
  <si>
    <t>IE0155</t>
  </si>
  <si>
    <t>2202005001SI336</t>
  </si>
  <si>
    <t>GUINDAUTO HIDRAULICO, CAPACIDADE MAXIMA DE CARGA 6200 KG, MOMENTO MAXIMO DE CARGA 11,7 TM, ALCANCE MAXIMO HORIZONTAL 9,70 M, PARA MONTAGEM SOBRE CHASSI DE CAMINHAO PBT MINIMO 13000 KG (INCLUI MONTAGEM, NAO INCLUI CAMINHAO)</t>
  </si>
  <si>
    <t>M0060</t>
  </si>
  <si>
    <t>1515903074016</t>
  </si>
  <si>
    <t>M0088</t>
  </si>
  <si>
    <t>IH0031</t>
  </si>
  <si>
    <t>ALIMENTACAO - MENSALISTA (COLETADO CAIXA - ENCARGOS COMPLEMENTARES)</t>
  </si>
  <si>
    <t>M0081</t>
  </si>
  <si>
    <t>1515903042148</t>
  </si>
  <si>
    <t>M0057</t>
  </si>
  <si>
    <t>1515903061016</t>
  </si>
  <si>
    <t>IM2362</t>
  </si>
  <si>
    <t>8900103001SI211</t>
  </si>
  <si>
    <t>MOURAO ROLICO DE MADEIRA TRATADA, D = 8 A 11 CM, H = 2,20 M, EM EUCALIPTO OU EQUIVALENTE DA REGIAO (PARA CERCA)</t>
  </si>
  <si>
    <t>M0018</t>
  </si>
  <si>
    <t>1513903021124</t>
  </si>
  <si>
    <t>M0087</t>
  </si>
  <si>
    <t>IM1636</t>
  </si>
  <si>
    <t>GASOLINA COMUM</t>
  </si>
  <si>
    <t>IM0196</t>
  </si>
  <si>
    <t>ANEL EM CONCRETO ARMADO, PERFURADO, PARA FOSSAS SEPTICAS E SUMIDOUROS, SEM FUNDO, DIAMETRO INTERNO DE 3,00 M E ALTURA DE 0,50 M</t>
  </si>
  <si>
    <t>M0024</t>
  </si>
  <si>
    <t>1514603025036</t>
  </si>
  <si>
    <t>M0038</t>
  </si>
  <si>
    <t>1515903098048</t>
  </si>
  <si>
    <t>M0012</t>
  </si>
  <si>
    <t>1511003138017</t>
  </si>
  <si>
    <t>IM1688</t>
  </si>
  <si>
    <t>2201005001SCE97</t>
  </si>
  <si>
    <t>M0015</t>
  </si>
  <si>
    <t>1511003130028</t>
  </si>
  <si>
    <t>IM0657</t>
  </si>
  <si>
    <t>8900103001SI371</t>
  </si>
  <si>
    <t>CAIXA D'AGUA / RESERVATORIO EM POLIESTER REFORCADO COM FIBRA DE VIDRO, 10000 LITROS, COM TAMPA</t>
  </si>
  <si>
    <t>IM2236</t>
  </si>
  <si>
    <t>8900103001SI626</t>
  </si>
  <si>
    <t>MANTA LIQUIDA DE BASE ASFALTICA MODIFICADA COM A ADICAO DE ELASTOMEROS DILUIDOS EM SOLVENTE ORGANICO, APLICACAO A FRIO (MEMBRANA DE EMULSAO ASFALTICA PARA IMPERMEABILIZACAO FLEXIVEL)</t>
  </si>
  <si>
    <t>IH0169</t>
  </si>
  <si>
    <t>0128000050SI269</t>
  </si>
  <si>
    <t>ENCANADOR OU BOMBEIRO HIDRAULICO (HORISTA)</t>
  </si>
  <si>
    <t>IM2652</t>
  </si>
  <si>
    <t>8900103001SI506</t>
  </si>
  <si>
    <t>PREGO DE ACO POLIDO COM CABECA 18 X 27 (2 1/2 X 10)</t>
  </si>
  <si>
    <t>IH0183</t>
  </si>
  <si>
    <t>0128000017012</t>
  </si>
  <si>
    <t>ENGENHEIRO AMBIENTAL SÊNIOR (HORISTA)</t>
  </si>
  <si>
    <t>M0001</t>
  </si>
  <si>
    <t>1018003001001</t>
  </si>
  <si>
    <t>M0079</t>
  </si>
  <si>
    <t>1515903042116</t>
  </si>
  <si>
    <t>M0036</t>
  </si>
  <si>
    <t>1515703005122</t>
  </si>
  <si>
    <t>M0076</t>
  </si>
  <si>
    <t>1515903043178</t>
  </si>
  <si>
    <t>M0053</t>
  </si>
  <si>
    <t>1515903077038</t>
  </si>
  <si>
    <t>M0077</t>
  </si>
  <si>
    <t>1515903042104</t>
  </si>
  <si>
    <t>M0085</t>
  </si>
  <si>
    <t>M0049</t>
  </si>
  <si>
    <t>1515903022035</t>
  </si>
  <si>
    <t>IM0864</t>
  </si>
  <si>
    <t>8900103001SI137</t>
  </si>
  <si>
    <t>CIMENTO PORTLAND COMPOSTO CP II-32</t>
  </si>
  <si>
    <t>M0056</t>
  </si>
  <si>
    <t>1515903004021</t>
  </si>
  <si>
    <t>M0046</t>
  </si>
  <si>
    <t>1515903014139</t>
  </si>
  <si>
    <t>M0078</t>
  </si>
  <si>
    <t>1515903042108</t>
  </si>
  <si>
    <t>IM1428</t>
  </si>
  <si>
    <t>EPI - FAMILIA ALMOXARIFE - MENSALISTA (ENCARGOS COMPLEMENTARES - COLETADO CAIXA)</t>
  </si>
  <si>
    <t>IM2848</t>
  </si>
  <si>
    <t>8900103001SI450</t>
  </si>
  <si>
    <t>SARRAFO *2,5 X 10* CM EM PINUS, MISTA OU EQUIVALENTE DA REGIAO - BRUTA</t>
  </si>
  <si>
    <t>M0062</t>
  </si>
  <si>
    <t>1515903083007</t>
  </si>
  <si>
    <t>IM1439</t>
  </si>
  <si>
    <t>EPI - FAMILIA OPERADOR ESCAVADEIRA - HORISTA (ENCARGOS COMPLEMENTARES - COLETADO CAIXA)</t>
  </si>
  <si>
    <t>M0091</t>
  </si>
  <si>
    <t>8001004003003</t>
  </si>
  <si>
    <t>M0040</t>
  </si>
  <si>
    <t>1515903098020</t>
  </si>
  <si>
    <t>M0070</t>
  </si>
  <si>
    <t>1515903070007</t>
  </si>
  <si>
    <t>IH0400</t>
  </si>
  <si>
    <t>OPERADOR DE ROLO COMPACTADOR (HORISTA)</t>
  </si>
  <si>
    <t>IE0051</t>
  </si>
  <si>
    <t>CAMINHAO TRUCADO, PESO BRUTO TOTAL 23000 KG, CARGA UTIL MAXIMA 15285 KG, DISTANCIA ENTRE EIXOS 4,80 M, POTENCIA 326 CV (INCLUI CABINE E CHASSI, NAO INCLUI CARROCERIA)</t>
  </si>
  <si>
    <t>M0031</t>
  </si>
  <si>
    <t>1514603076265</t>
  </si>
  <si>
    <t>M0013</t>
  </si>
  <si>
    <t>1511003138031</t>
  </si>
  <si>
    <t>M0017</t>
  </si>
  <si>
    <t>1513903021123</t>
  </si>
  <si>
    <t>M0072</t>
  </si>
  <si>
    <t>1515903040004</t>
  </si>
  <si>
    <t>IM0031</t>
  </si>
  <si>
    <t>1515903014109</t>
  </si>
  <si>
    <t>ACESSÓRIOS PARA FLANGE - PARAFUSO SEXTAVADO DE AÇO GALVANIZADO À FOGO, COM PORCA E DUAS ARRUELAS, PARA JUNTA COM FLANGES, CONFORME NBR 7675. DIÂMETRO DO PARAFUSO: 20 MM / COMPRIMENTO: 90 MM. UTILIZADO PARA OS TUBOS: PN 10 (DIÂMETRO 150 ATÉ 250 MM), PN 16 (DIÂMETRO 150 ATÉ 200 MM) E PN 25 (DIÂMETRO 100 MM).</t>
  </si>
  <si>
    <t>IM1526</t>
  </si>
  <si>
    <t>FERRAMENTAS - FAMILIA CARPINTEIRO DE FORMAS - HORISTA (ENCARGOS COMPLEMENTARES - COLETADO CAIXA)</t>
  </si>
  <si>
    <t>IH0159</t>
  </si>
  <si>
    <t>0128000050SI243</t>
  </si>
  <si>
    <t>ELETRICISTA (HORISTA)</t>
  </si>
  <si>
    <t>IH0380</t>
  </si>
  <si>
    <t>0128000050SI425</t>
  </si>
  <si>
    <t>OPERADOR DE MARTELETE OU MARTELETEIRO (HORISTA)</t>
  </si>
  <si>
    <t>M0094</t>
  </si>
  <si>
    <t>M0073</t>
  </si>
  <si>
    <t>1515903040008</t>
  </si>
  <si>
    <t>M0051</t>
  </si>
  <si>
    <t>1515903023079</t>
  </si>
  <si>
    <t>M0021</t>
  </si>
  <si>
    <t>1513903023027</t>
  </si>
  <si>
    <t>M0093</t>
  </si>
  <si>
    <t>8001004003012</t>
  </si>
  <si>
    <t>IH0260</t>
  </si>
  <si>
    <t>0128000050SI445</t>
  </si>
  <si>
    <t>JARDINEIRO (HORISTA)</t>
  </si>
  <si>
    <t>IM0426</t>
  </si>
  <si>
    <t>8900103001SI345</t>
  </si>
  <si>
    <t>BLOCO ESTRUTURAL CERAMICO DE 14 X 19 X 29 CM (L X A X C) E 6,0 MPA</t>
  </si>
  <si>
    <t>IM3270</t>
  </si>
  <si>
    <t>8900103001SI424</t>
  </si>
  <si>
    <t>TRELICA NERVURADA (ESPACADOR), ALTURA = 120,0 MM, DIAMETRO DOS BANZOS INFERIORES E SUPERIOR = 6,0 MM, DIAMETRO DA DIAGONAL = 4,2 MM</t>
  </si>
  <si>
    <t>IE0234</t>
  </si>
  <si>
    <t>2202005001SI762</t>
  </si>
  <si>
    <t>TRATOR DE ESTEIRAS, POTENCIA DE 100 HP, PESO OPERACIONAL DE 9,4 T, COM LAMINA COM CAPACIDADE DE 2,19 M3</t>
  </si>
  <si>
    <t>M0035</t>
  </si>
  <si>
    <t>1515703005121</t>
  </si>
  <si>
    <t>IM3267</t>
  </si>
  <si>
    <t>TRANSPORTE - MENSALISTA (COLETADO CAIXA - ENCARGOS COMPLEMENTARES)</t>
  </si>
  <si>
    <t>M0092</t>
  </si>
  <si>
    <t>8001004003010</t>
  </si>
  <si>
    <t>IM1728</t>
  </si>
  <si>
    <t>8900103001SI110</t>
  </si>
  <si>
    <t>HASTE RETA PARA GANCHO DE FERRO GALVANIZADO, COM ROSCA 1/4 X 30 CM PARA FIXACAO DE TELHA METALICA, INCLUI PORCA E ARRUELAS DE VEDACAO</t>
  </si>
  <si>
    <t>CJ</t>
  </si>
  <si>
    <t>M0030</t>
  </si>
  <si>
    <t>1514603076266</t>
  </si>
  <si>
    <t>IM1441</t>
  </si>
  <si>
    <t>EPI - FAMILIA PEDREIRO - HORISTA (ENCARGOS COMPLEMENTARES - COLETADO CAIXA)</t>
  </si>
  <si>
    <t>M0037</t>
  </si>
  <si>
    <t>1515703014023</t>
  </si>
  <si>
    <t>IM3158</t>
  </si>
  <si>
    <t>8900103001SI375</t>
  </si>
  <si>
    <t>TELA PLASTICA LARANJA, TIPO TAPUME PARA SINALIZACAO, MALHA RETANGULAR, ROLO 1.20 X 50 M (L X C)</t>
  </si>
  <si>
    <t>IM1446</t>
  </si>
  <si>
    <t>8900103001SI435</t>
  </si>
  <si>
    <t>EPI - FAMILIA SERVENTE - MENSALISTA (ENCARGOS COMPLEMENTARES - COLETADO CAIXA)</t>
  </si>
  <si>
    <t>IM0290</t>
  </si>
  <si>
    <t>ARAME RECOZIDO 16 BWG, D = 1,65 MM (0,016 KG/M) OU 18 BWG, D = 1,25 MM (0,01 KG/M)</t>
  </si>
  <si>
    <t>IM2475</t>
  </si>
  <si>
    <t>8900103002SCM32</t>
  </si>
  <si>
    <t>PELÍCULA RETRORREFLETIVA TIPO III</t>
  </si>
  <si>
    <t>IM0181</t>
  </si>
  <si>
    <t>8900103001SI125</t>
  </si>
  <si>
    <t>ANEL EM CONCRETO ARMADO, LISO, PARA FOSSAS SEPTICAS E SUMIDOUROS, SEM FUNDO, DIAMETRO INTERNO DE 2,00 M E ALTURA DE 0,50 M</t>
  </si>
  <si>
    <t>M0055</t>
  </si>
  <si>
    <t>1515903018003</t>
  </si>
  <si>
    <t>IM1436</t>
  </si>
  <si>
    <t>EPI - FAMILIA ENCARREGADO GERAL - MENSALISTA (ENCARGOS COMPLEMENTARES - COLETADO CAIXA)</t>
  </si>
  <si>
    <t>M0058</t>
  </si>
  <si>
    <t>1515903061009</t>
  </si>
  <si>
    <t>IH0062</t>
  </si>
  <si>
    <t>0128000050SI403</t>
  </si>
  <si>
    <t>ASSENTADOR DE MANILHAS (HORISTA)</t>
  </si>
  <si>
    <t>IH0441</t>
  </si>
  <si>
    <t>SEGURO - HORISTA (COLETADO CAIXA - ENCARGOS COMPLEMENTARES)</t>
  </si>
  <si>
    <t>IM0051</t>
  </si>
  <si>
    <t>ACO CA-60, 4,2 MM, OU 5,0 MM, OU 6,0 MM, OU 7,0 MM, VERGALHAO</t>
  </si>
  <si>
    <t>M0023</t>
  </si>
  <si>
    <t>1514603025033</t>
  </si>
  <si>
    <t>IM0849</t>
  </si>
  <si>
    <t>8900103001SI436</t>
  </si>
  <si>
    <t>CHAPA/PAINEL DE MADEIRA COMPENSADA RESINADA (MADEIRITE RESINADO ROSA) PARA FORMA DE CONCRETO, DE 2200 X 1100 MM, E = 8 A 12 MM</t>
  </si>
  <si>
    <t>IH0103</t>
  </si>
  <si>
    <t>0128000050SI244</t>
  </si>
  <si>
    <t>AUXILIAR DE TOPOGRAFO (HORISTA)</t>
  </si>
  <si>
    <t>M0050</t>
  </si>
  <si>
    <t>1515903023077</t>
  </si>
  <si>
    <t>IM2463</t>
  </si>
  <si>
    <t>8900103001SI472</t>
  </si>
  <si>
    <t>PEDRA BRITADA N. 1 (9,5 A 19 MM) POSTO PEDREIRA/FORNECEDOR, SEM FRETE</t>
  </si>
  <si>
    <t>IM2392</t>
  </si>
  <si>
    <t>2208105001007</t>
  </si>
  <si>
    <t>NOTEBOOK INTEL CORE I7, 12GB, SSD 256GB, TELA COM RESOLUÇÃO MÍNIMA 1920X1080P, WINDOWS 10 OU VERSÕES SUPERIORES</t>
  </si>
  <si>
    <t>IM2545</t>
  </si>
  <si>
    <t>2700103001019</t>
  </si>
  <si>
    <t>PLOTAGEM/IMPRESSÃO TRAÇO - COLORIDA A4</t>
  </si>
  <si>
    <t>IM0336</t>
  </si>
  <si>
    <t>0206503003003</t>
  </si>
  <si>
    <t>ASFALTO DILUIDO DE PETROLEO CM-30 (COLETADO CAESB NA ANP - REGIÃO CENTRO-OESTE - ACRESCIDO DE ICMS)</t>
  </si>
  <si>
    <t>IH0252</t>
  </si>
  <si>
    <t>0128000050SI128</t>
  </si>
  <si>
    <t>IMPERMEABILIZADOR (HORISTA)</t>
  </si>
  <si>
    <t>M0075</t>
  </si>
  <si>
    <t>1515903043079</t>
  </si>
  <si>
    <t>IM0903</t>
  </si>
  <si>
    <t>COMPRESSOR DE AR REBOCAVEL, VAZAO 189 PCM, PRESSAO EFETIVA DE TRABALHO 102 PSI, MOTOR DIESEL, POTENCIA 63 CV</t>
  </si>
  <si>
    <t>IM1706</t>
  </si>
  <si>
    <t>GRUPO GERADOR REBOCAVEL, POTENCIA *66* KVA, MOTOR A DIESEL</t>
  </si>
  <si>
    <t>M0054</t>
  </si>
  <si>
    <t>1515903077040</t>
  </si>
  <si>
    <t>M0047</t>
  </si>
  <si>
    <t>1515903009025</t>
  </si>
  <si>
    <t>IH0497</t>
  </si>
  <si>
    <t>0128000050SI759</t>
  </si>
  <si>
    <t>TOPOGRAFO (HORISTA)</t>
  </si>
  <si>
    <t>IE0060</t>
  </si>
  <si>
    <t>2202005001SI134</t>
  </si>
  <si>
    <t>COMPACTADOR DE SOLOS DE PERCURSAO (SOQUETE) COM MOTOR A GASOLINA 4 TEMPOS DE 4 HP (4 CV)</t>
  </si>
  <si>
    <t>IM0046</t>
  </si>
  <si>
    <t>ACO CA-50, 12,5 MM OU 16,0 MM, VERGALHAO</t>
  </si>
  <si>
    <t>IM0728</t>
  </si>
  <si>
    <t>CAL HIDRATADA CH-I PARA ARGAMASSAS</t>
  </si>
  <si>
    <t>IM1538</t>
  </si>
  <si>
    <t>FERRAMENTAS - FAMILIA PEDREIRO - HORISTA (ENCARGOS COMPLEMENTARES - COLETADO CAIXA)</t>
  </si>
  <si>
    <t>IM2403</t>
  </si>
  <si>
    <t>0134410001001</t>
  </si>
  <si>
    <t>PACOTE DE INTERNET FIBRA COM, NO MÍNIMO, 1 GB</t>
  </si>
  <si>
    <t>IH0003</t>
  </si>
  <si>
    <t>AJUDANTE DE ARMADOR (HORISTA)</t>
  </si>
  <si>
    <t>IM0644</t>
  </si>
  <si>
    <t>CACAMBA METALICA BASCULANTE COM CAPACIDADE DE 6 M3 (INCLUI MONTAGEM, NAO INCLUI CAMINHAO)</t>
  </si>
  <si>
    <t>IH0310</t>
  </si>
  <si>
    <t>MOTORISTA DE CAMINHAO (HORISTA)</t>
  </si>
  <si>
    <t>M0002</t>
  </si>
  <si>
    <t>1042003003007</t>
  </si>
  <si>
    <t>M0090</t>
  </si>
  <si>
    <t>IM0045</t>
  </si>
  <si>
    <t>8900103001SI34</t>
  </si>
  <si>
    <t>ACO CA-50, 10,0 MM, VERGALHAO</t>
  </si>
  <si>
    <t>IM2003</t>
  </si>
  <si>
    <t>LONA PLASTICA EXTRA FORTE PRETA, E = 200 MICRA</t>
  </si>
  <si>
    <t>IH0304</t>
  </si>
  <si>
    <t>0128000050SI444</t>
  </si>
  <si>
    <t>MONTADOR DE ESTRUTURAS METALICAS HORISTA</t>
  </si>
  <si>
    <t>IM3383</t>
  </si>
  <si>
    <t>8900103001SI771</t>
  </si>
  <si>
    <t>TUBO DE CONCRETO ARMADO, PRE MOLDADO PARA AGUAS PLUVIAIS, CLASSE PA-1, COM ENCAIXE PONTA E BOLSA, DIAMETRO NOMINAL DE 500 MM</t>
  </si>
  <si>
    <t>IH0078</t>
  </si>
  <si>
    <t>0128000050SI246</t>
  </si>
  <si>
    <t>AUXILIAR DE ENCANADOR OU BOMBEIRO HIDRAULICO (HORISTA)</t>
  </si>
  <si>
    <t>IM0049</t>
  </si>
  <si>
    <t>8900103001SI32</t>
  </si>
  <si>
    <t>ACO CA-50, 6,3 MM, VERGALHAO</t>
  </si>
  <si>
    <t>M0042</t>
  </si>
  <si>
    <t>1515903098050</t>
  </si>
  <si>
    <t>IH0104</t>
  </si>
  <si>
    <t>0127000049033</t>
  </si>
  <si>
    <t>AUXILIAR DE TOPÓGRAFO (HORISTA) - AF_CAESB</t>
  </si>
  <si>
    <t>IH0153</t>
  </si>
  <si>
    <t>0128000050SI235</t>
  </si>
  <si>
    <t>DESENHISTA PROJETISTA (HORISTA)</t>
  </si>
  <si>
    <t>IM2952</t>
  </si>
  <si>
    <t>TABUA NAO APARELHADA *2,5 X 20* CM, EM MACARANDUBA/MASSARANDUBA, ANGELIM OU EQUIVALENTE DA REGIAO - BRUTA</t>
  </si>
  <si>
    <t>IM1543</t>
  </si>
  <si>
    <t>FERRAMENTAS - FAMILIA SERVENTE - MENSALISTA (ENCARGOS COMPLEMENTARES - COLETADO CAIXA)</t>
  </si>
  <si>
    <t>M0005</t>
  </si>
  <si>
    <t>1511003106005</t>
  </si>
  <si>
    <t>IM1551</t>
  </si>
  <si>
    <t>8900103001SI312</t>
  </si>
  <si>
    <t>FERTILIZANTE NPK - 4: 14: 8</t>
  </si>
  <si>
    <t>IH0130</t>
  </si>
  <si>
    <t>CARPINTEIRO DE ESQUADRIAS (HORISTA)</t>
  </si>
  <si>
    <t>IM0320</t>
  </si>
  <si>
    <t>8900103001SI607</t>
  </si>
  <si>
    <t>ARGILA, ARGILA VERMELHA OU ARGILA ARENOSA (RETIRADA NA JAZIDA, SEM TRANSPORTE)</t>
  </si>
  <si>
    <t>M0071</t>
  </si>
  <si>
    <t>1515903060129</t>
  </si>
  <si>
    <t>IM3474</t>
  </si>
  <si>
    <t>8900103001SI984</t>
  </si>
  <si>
    <t>TUBO PVC, SERIE R, DN 150 MM, PARA ESGOTO OU AGUAS PLUVIAIS PREDIAL (NBR 5688)</t>
  </si>
  <si>
    <t>IH0334</t>
  </si>
  <si>
    <t>NIVELADOR (HORISTA)</t>
  </si>
  <si>
    <t>IM2462</t>
  </si>
  <si>
    <t>PEDRA BRITADA N. 0, OU PEDRISCO (4,8 A 9,5 MM) POSTO PEDREIRA/FORNECEDOR, SEM FRETE</t>
  </si>
  <si>
    <t>IM1467</t>
  </si>
  <si>
    <t>8900103001SI390</t>
  </si>
  <si>
    <t>ESPACADOR / DISTANCIADOR CIRCULAR COM ENTRADA LATERAL, EM PLASTICO, PARA VERGALHAO *4,2 A 12,5* MM, COBRIMENTO 20 MM</t>
  </si>
  <si>
    <t>IM0832</t>
  </si>
  <si>
    <t>8900103002SCM13</t>
  </si>
  <si>
    <t>CHAPA FINA EM AÇO GALVANIZADO</t>
  </si>
  <si>
    <t>M0016</t>
  </si>
  <si>
    <t>1513903021115</t>
  </si>
  <si>
    <t>IM0846</t>
  </si>
  <si>
    <t>8900103001SI135</t>
  </si>
  <si>
    <t>CHAPA/PAINEL DE MADEIRA COMPENSADA RESINADA (MADEIRITE RESINADO ROSA) PARA FORMA DE CONCRETO, DE 2200 X 1100 MM, E = 17 MM</t>
  </si>
  <si>
    <t>IM1621</t>
  </si>
  <si>
    <t>2280005005003</t>
  </si>
  <si>
    <t>FURGÃO LEVE, GASOLINA, POTÊNCIA 70 HP (51 KW), CAPACIDADE DE CARGA ÚTIL 0,6 T</t>
  </si>
  <si>
    <t>IM2856</t>
  </si>
  <si>
    <t>SEGURO - MENSALISTA (COLETADO CAIXA - ENCARGOS COMPLEMENTARES)</t>
  </si>
  <si>
    <t>IH0347</t>
  </si>
  <si>
    <t>0128000050SI376</t>
  </si>
  <si>
    <t>OPERADOR DE BETONEIRA ESTACIONARIA / MISTURADOR (HORISTA)</t>
  </si>
  <si>
    <t>IM2995</t>
  </si>
  <si>
    <t>0174103006001</t>
  </si>
  <si>
    <t>IM1438</t>
  </si>
  <si>
    <t>EPI - FAMILIA ENGENHEIRO CIVIL - MENSALISTA (ENCARGOS COMPLEMENTARES - COLETADO CAIXA)</t>
  </si>
  <si>
    <t>M0059</t>
  </si>
  <si>
    <t>1515903061102</t>
  </si>
  <si>
    <t>IM2973</t>
  </si>
  <si>
    <t>TANQUE DE ACO CARBONO NAO REVESTIDO, PARA TRANSPORTE DE AGUA COM CAPACIDADE DE 10 M3, COM BOMBA CENTRIFUGA POR TOMADA DE FORCA, VAZAO MAXIMA *75* M3/H (INCLUI MONTAGEM, NAO INCLUI CAMINHAO)</t>
  </si>
  <si>
    <t>IM0655</t>
  </si>
  <si>
    <t>CAIBRO NAO APARELHADO *6 X 6* CM, EM MACARANDUBA/MASSARANDUBA, ANGELIM OU EQUIVALENTE DA REGIAO - BRUTA</t>
  </si>
  <si>
    <t>IM0299</t>
  </si>
  <si>
    <t>8900103001SI367</t>
  </si>
  <si>
    <t>AREIA GROSSA - POSTO JAZIDA/FORNECEDOR (RETIRADO NA JAZIDA, SEM TRANSPORTE)</t>
  </si>
  <si>
    <t>IM2266</t>
  </si>
  <si>
    <t>2202005001SI418</t>
  </si>
  <si>
    <t>MARTELO DEMOLIDOR PNEUMATICO MANUAL, PESO DE 28 KG, COM SILENCIADOR</t>
  </si>
  <si>
    <t>M0043</t>
  </si>
  <si>
    <t>1515903014108</t>
  </si>
  <si>
    <t>IM1409</t>
  </si>
  <si>
    <t>0206503006006</t>
  </si>
  <si>
    <t>EMULSAO ASFALTICA CATIONICA RR-2C PARA USO EM PAVIMENTACAO ASFALTICA (COLETADO CAIXA NA ANP ACRESCIDO DE ICMS)</t>
  </si>
  <si>
    <t>IE0235</t>
  </si>
  <si>
    <t>TRATOR DE ESTEIRAS, POTENCIA DE 150 HP, PESO OPERACIONAL DE 16,7 T, COM RODA MOTRIZ ELEVADA E LAMINA COM CONTATO DE 3,18M3</t>
  </si>
  <si>
    <t>M0029</t>
  </si>
  <si>
    <t>1514603076106</t>
  </si>
  <si>
    <t>IM2445</t>
  </si>
  <si>
    <t>8900103001SI405</t>
  </si>
  <si>
    <t>PARAFUSO, COMUM, ASTM A307, SEXTAVADO, DIAMETRO 1/2 (12,7 MM), COMPRIMENTO 1 (25,4 MM)</t>
  </si>
  <si>
    <t>Cento</t>
  </si>
  <si>
    <t>IE0128</t>
  </si>
  <si>
    <t>2202005001SI444</t>
  </si>
  <si>
    <t>GUINDASTE HIDRAULICO AUTOPROPELIDO, COM LANCA TELESCOPICA 40 M, CAPACIDADE MAXIMA 60 T, POTENCIA 260 KW, TRACAO  6 X 6</t>
  </si>
  <si>
    <t>IM2243</t>
  </si>
  <si>
    <t>2207205002005</t>
  </si>
  <si>
    <t>MÁQUINA DE SOLDA POR ELETROFUSÃO, POTÊNCIA 3.500 W, TENSÃO PRIMÁRIO 230 V / 60 HZ, DIMENSÕES 285 X 200 X 360 MM</t>
  </si>
  <si>
    <t>IM0224</t>
  </si>
  <si>
    <t>2202005001SI424</t>
  </si>
  <si>
    <t>AR CONDICIONADO SPLIT INVERTER, HI-WALL (PAREDE), 9000 BTU/H, CICLO FRIO, 60HZ, CLASSIFICACAO A (SELO PROCEL), GAS HFC, CONTROLE S/FIO</t>
  </si>
  <si>
    <t>IM2581</t>
  </si>
  <si>
    <t>PONTEIRO PARA MARTELETE - D = 22 MM E C = 1,00 M</t>
  </si>
  <si>
    <t>IH0027</t>
  </si>
  <si>
    <t>0128000050SI242</t>
  </si>
  <si>
    <t>AJUDANTE ESPECIALIZADO (HORISTA)</t>
  </si>
  <si>
    <t>IH0493</t>
  </si>
  <si>
    <t>TELHADOR / TELHADISTA (HORISTA)</t>
  </si>
  <si>
    <t>IM1449</t>
  </si>
  <si>
    <t>EPI - FAMILIA TOPOGRAFO - HORISTA (ENCARGOS COMPLEMENTARES - COLETADO CAIXA)</t>
  </si>
  <si>
    <t>IM3632</t>
  </si>
  <si>
    <t>8900103001SI447</t>
  </si>
  <si>
    <t>VIGA NAO APARELHADA *6 X 16* CM, EM MACARANDUBA/MASSARANDUBA, ANGELIM OU EQUIVALENTE DA REGIAO - BRUTA</t>
  </si>
  <si>
    <t>IM1433</t>
  </si>
  <si>
    <t>EPI - FAMILIA ENCANADOR - HORISTA (ENCARGOS COMPLEMENTARES - COLETADO CAIXA)</t>
  </si>
  <si>
    <t>IM2824</t>
  </si>
  <si>
    <t>2202005001SI606</t>
  </si>
  <si>
    <t>ROLO COMPACTADOR VIBRATORIO TANDEM, ACO LISO, POTENCIA 58 CV, PESO SEM/COM LASTRO 6,5/9,4 T, LARGURA DE TRABALHO 1,20 M</t>
  </si>
  <si>
    <t>IM0766</t>
  </si>
  <si>
    <t>8900103002SCM03</t>
  </si>
  <si>
    <t>CANTONEIRA EM AÇO ASTM A36 GALVANIZADO</t>
  </si>
  <si>
    <t>IM0762</t>
  </si>
  <si>
    <t>8900103001SI346</t>
  </si>
  <si>
    <t>CANALETA ESTRUTURAL CERAMICA DE 14 X 19 X 29 CM (L X A X C) E 6,0 MPA</t>
  </si>
  <si>
    <t>IM1525</t>
  </si>
  <si>
    <t>FERRAMENTAS - FAMILIA ALMOXARIFE - MENSALISTA (ENCARGOS COMPLEMENTARES - COLETADO CAIXA)</t>
  </si>
  <si>
    <t>IM3234</t>
  </si>
  <si>
    <t>8900103001SI117</t>
  </si>
  <si>
    <t>TORNEIRA DE BOIA CONVENCIONAL PARA CAIXA D'AGUA, AGUA FRIA, 1.1/2, COM HASTE E TORNEIRA METALICOS E BALAO PLASTICO</t>
  </si>
  <si>
    <t>IM0647</t>
  </si>
  <si>
    <t>1252003001007</t>
  </si>
  <si>
    <t>CADEIRA DE ESCRITÓRIO VOLANTE GIRATÓRIA</t>
  </si>
  <si>
    <t>IM2355</t>
  </si>
  <si>
    <t>2202005001SI409</t>
  </si>
  <si>
    <t>MOTONIVELADORA POTENCIA BASICA LIQUIDA (PRIMEIRA MARCHA) 125 HP, PESO BRUTO 13843 KG, LARGURA DA LAMINA DE 3,7 M</t>
  </si>
  <si>
    <t>IM2855</t>
  </si>
  <si>
    <t>8900103001SI441</t>
  </si>
  <si>
    <t>SARRAFO NAO APARELHADO *2,5 X 7* CM, EM MACARANDUBA/MASSARANDUBA, ANGELIM, PEROBA-ROSA OU EQUIVALENTE DA REGIAO - BRUTA</t>
  </si>
  <si>
    <t>M0034</t>
  </si>
  <si>
    <t>1514603006037</t>
  </si>
  <si>
    <t>IM1278</t>
  </si>
  <si>
    <t>8900103001SI269</t>
  </si>
  <si>
    <t>DESMOLDANTE PROTETOR PARA FORMAS DE MADEIRA, DE BASE OLEOSA EMULSIONADA EM AGUA</t>
  </si>
  <si>
    <t>IM2943</t>
  </si>
  <si>
    <t>8900103001SI105</t>
  </si>
  <si>
    <t>TABUA *2,5 X 23* CM EM PINUS, MISTA OU EQUIVALENTE DA REGIAO - BRUTA</t>
  </si>
  <si>
    <t>IM2226</t>
  </si>
  <si>
    <t>8900103001SI128</t>
  </si>
  <si>
    <t>MANOMETRO COM CAIXA EM ACO PINTADO, ESCALA *10* KGF/CM2 (*10* BAR), DIAMETRO NOMINAL DE *63* MM, CONEXAO DE 1/4</t>
  </si>
  <si>
    <t>M0019</t>
  </si>
  <si>
    <t>1513903021079</t>
  </si>
  <si>
    <t>IM2649</t>
  </si>
  <si>
    <t>PREGO DE ACO POLIDO COM CABECA 17 X 21 (2 X 11)</t>
  </si>
  <si>
    <t>IM2674</t>
  </si>
  <si>
    <t>0105003004001</t>
  </si>
  <si>
    <t>PURIFICADOR DE ÁGUA</t>
  </si>
  <si>
    <t>IM2850</t>
  </si>
  <si>
    <t>8900103001SI451</t>
  </si>
  <si>
    <t>SARRAFO *2,5 X 7,5* CM EM PINUS, MISTA OU EQUIVALENTE DA REGIAO - BRUTA</t>
  </si>
  <si>
    <t>IE0242</t>
  </si>
  <si>
    <t>2201005001SCE95</t>
  </si>
  <si>
    <t>TRATOR SOBRE ESTEIRAS COM LÂMINA - 127 KW</t>
  </si>
  <si>
    <t>IM2247</t>
  </si>
  <si>
    <t>2207205002003</t>
  </si>
  <si>
    <t>MÁQUINA PARA SOLDAGEM DE TUBOS PLÁSTICOS POR TERMOFUSÃO, DIÂMETRO DE 315 À 630 MM</t>
  </si>
  <si>
    <t>M0039</t>
  </si>
  <si>
    <t>1515903098049</t>
  </si>
  <si>
    <t>IM1431</t>
  </si>
  <si>
    <t>EPI - FAMILIA ELETRICISTA - HORISTA (ENCARGOS COMPLEMENTARES - COLETADO CAIXA)</t>
  </si>
  <si>
    <t>IM1562</t>
  </si>
  <si>
    <t>FITA ADESIVA ESTRUTURAL DUPLA-FACE - E = 2 MM E L = 25 MM</t>
  </si>
  <si>
    <t>IM2297</t>
  </si>
  <si>
    <t>8900103001SI347</t>
  </si>
  <si>
    <t>MEIO BLOCO ESTRUTURAL CERAMICO DE 14 X 19 X 14 CM (L X A X C) E 6,0 MPA</t>
  </si>
  <si>
    <t>IH0423</t>
  </si>
  <si>
    <t>0128000050SI478</t>
  </si>
  <si>
    <t>PINTOR (HORISTA)</t>
  </si>
  <si>
    <t>IM2308</t>
  </si>
  <si>
    <t>1255503002002</t>
  </si>
  <si>
    <t>MESA PARA ESCRITÓRIO (1,20X0,60M)</t>
  </si>
  <si>
    <t>8900103002SCM3520</t>
  </si>
  <si>
    <t>TINTA ANTICORROSIVA À BASE DE RESINA EPÓXI POLIAMIDA BICOMPONENTE</t>
  </si>
  <si>
    <t>IM1533</t>
  </si>
  <si>
    <t>FERRAMENTAS - FAMILIA ENCARREGADO GERAL - MENSALISTA (ENCARGOS COMPLEMENTARES - COLETADO CAIXA)</t>
  </si>
  <si>
    <t>IM0186</t>
  </si>
  <si>
    <t>ANEL EM CONCRETO ARMADO, LISO, PARA POCOS DE INSPECAO, SEM FUNDO, DIAMETRO INTERNO DE 0,60 M E ALTURA DE 0,50 M</t>
  </si>
  <si>
    <t>IM0707</t>
  </si>
  <si>
    <t>1512003007001</t>
  </si>
  <si>
    <t>IM3601</t>
  </si>
  <si>
    <t>2202005001SI138</t>
  </si>
  <si>
    <t>VIBRADOR DE IMERSAO, DIAMETRO DA PONTEIRA DE *45* MM, COM MOTOR ELETRICO TRIFASICO DE 2 HP (2 CV)</t>
  </si>
  <si>
    <t>IM0712</t>
  </si>
  <si>
    <t>8900103001SI118</t>
  </si>
  <si>
    <t>CAIXA PARA HIDROMETRO CONCRETO PRE MOLDADO, *0,24 M X 0,45 M X 0,30* M (L X C X A)</t>
  </si>
  <si>
    <t>IE0174</t>
  </si>
  <si>
    <t>2202010001SI725</t>
  </si>
  <si>
    <t>LOCACAO DE NIVEL OPTICO, COM PRECISAO DE 0,7 MM, AUMENTO DE 32X</t>
  </si>
  <si>
    <t>IE0177</t>
  </si>
  <si>
    <t>2202010001SI724</t>
  </si>
  <si>
    <t>LOCACAO DE TEODOLITO ELETRONICO, PRECISAO ANGULAR DE 5 A 7 SEGUNDOS, INCLUINDO TRIPE</t>
  </si>
  <si>
    <t>IM3215</t>
  </si>
  <si>
    <t>8900103001SI356</t>
  </si>
  <si>
    <t>TINTA LATEX ACRILICA ECONOMICA, COR BRANCA</t>
  </si>
  <si>
    <t>IM1745</t>
  </si>
  <si>
    <t>1512003001034</t>
  </si>
  <si>
    <t>HIDRÔMETRO UNIJATO COM CORPO EM COBRE (CLASSE: B / DIÂMETRO NOMINAL: 3/4 OU 20 MM / VAZÃO MÁXIMA: 1,5 M³/H / COMPRIMENTO: 115 MM)</t>
  </si>
  <si>
    <t>M0026</t>
  </si>
  <si>
    <t>1514603025021</t>
  </si>
  <si>
    <t>IM1755</t>
  </si>
  <si>
    <t>8900103001SI734</t>
  </si>
  <si>
    <t>IMUNIZANTE PARA MADEIRA, INCOLOR</t>
  </si>
  <si>
    <t>IM1528</t>
  </si>
  <si>
    <t>FERRAMENTAS - FAMILIA ELETRICISTA - HORISTA (ENCARGOS COMPLEMENTARES - COLETADO CAIXA)</t>
  </si>
  <si>
    <t>IH0388</t>
  </si>
  <si>
    <t>OPERADOR DE MOTONIVELADORA (HORISTA)</t>
  </si>
  <si>
    <t>IM0886</t>
  </si>
  <si>
    <t>2201005001SCE96</t>
  </si>
  <si>
    <t>COMPRESSOR DE AR PORTÁTIL DE 185,95 L/S (394 PCM) - 81,50 KW</t>
  </si>
  <si>
    <t>IM3483</t>
  </si>
  <si>
    <t>8900103001SI987</t>
  </si>
  <si>
    <t>TUBO PVC, SOLDAVEL, DE 50 MM, AGUA FRIA (NBR-5648)</t>
  </si>
  <si>
    <t>IM0811</t>
  </si>
  <si>
    <t>2202005001SI132</t>
  </si>
  <si>
    <t>CAVALO MECANICO TRACAO 6X2, PESO BRUTO TOTAL COMBINADO 56000 KG, CAPACIDADE MAXIMA DE TRACAO *66000* KG, POTENCIA *360* CV (INCLUI CABINE E CHASSI, NAO INCLUI SEMIRREBOQUE)</t>
  </si>
  <si>
    <t>IH0364</t>
  </si>
  <si>
    <t>OPERADOR DE GUINCHO OU GUINCHEIRO (HORISTA)</t>
  </si>
  <si>
    <t>IM2570</t>
  </si>
  <si>
    <t>8900103001SI399</t>
  </si>
  <si>
    <t>POLIESTIRENO EXPANDIDO/EPS (ISOPOR), TIPO 2F, BLOCO</t>
  </si>
  <si>
    <t>IM1530</t>
  </si>
  <si>
    <t>FERRAMENTAS - FAMILIA ENCANADOR - HORISTA (ENCARGOS COMPLEMENTARES - COLETADO CAIXA)</t>
  </si>
  <si>
    <t>IE0047</t>
  </si>
  <si>
    <t>CAMINHAO TOCO, PESO BRUTO TOTAL 14300 KG, CARGA UTIL MAXIMA 9480 KG, DISTANCIA ENTRE EIXOS 4,80 M, POTENCIA 185 CV (INCLUI CABINE E CHASSI, NAO INCLUI CARROCERIA)</t>
  </si>
  <si>
    <t>IM0487</t>
  </si>
  <si>
    <t>2202005001SI751</t>
  </si>
  <si>
    <t>BOMBA SUBMERSIVEL, ELETRICA, TRIFASICA, POTENCIA 2,96 HP, DIAMETRO DO ROTOR 144 MM SEMIABERTO, BOCAL DE SAIDA</t>
  </si>
  <si>
    <t>IH0170</t>
  </si>
  <si>
    <t>0129000010005</t>
  </si>
  <si>
    <t>ENCANADOR OU BOMBEIRO HIDRÁULICO (LIDER DE EQUIPE) (HORISTA)</t>
  </si>
  <si>
    <t>IM2647</t>
  </si>
  <si>
    <t>8900103001SI202</t>
  </si>
  <si>
    <t>PREGO DE ACO POLIDO COM CABECA 15 X 15 (1 1/4 X 13)</t>
  </si>
  <si>
    <t>IH0443</t>
  </si>
  <si>
    <t>SERRALHEIRO (HORISTA)</t>
  </si>
  <si>
    <t>IE0240</t>
  </si>
  <si>
    <t>2202005001SI764</t>
  </si>
  <si>
    <t>TRATOR DE PNEUS COM POTENCIA DE 85 CV, TRACAO 4 X 4, PESO COM LASTRO DE 4675 KG</t>
  </si>
  <si>
    <t>IM1418</t>
  </si>
  <si>
    <t>0173004001SI270</t>
  </si>
  <si>
    <t>ENERGIA ELETRICA ATE 2000 KWH INDUSTRIAL, SEM DEMANDA</t>
  </si>
  <si>
    <t>kWh</t>
  </si>
  <si>
    <t>IE0050</t>
  </si>
  <si>
    <t>2202005001SI440</t>
  </si>
  <si>
    <t>CAMINHAO TOCO, PESO BRUTO TOTAL 8500 KG, CARGA UTIL MAXIMA 5600 KG, DISTANCIA ENTRE EIXOS 3,40 M, POTENCIA 167 CV (INCLUI CABINE E CHASSI, NAO INCLUI CARROCERIA)</t>
  </si>
  <si>
    <t>IM3204</t>
  </si>
  <si>
    <t>8900103002SCM31</t>
  </si>
  <si>
    <t>TINTA EM PÓ À BASE DE RESINA POLIÉSTER</t>
  </si>
  <si>
    <t>IH0368</t>
  </si>
  <si>
    <t>OPERADOR DE GUINDASTE (HORISTA)</t>
  </si>
  <si>
    <t>IM1419</t>
  </si>
  <si>
    <t>0173004001SI142</t>
  </si>
  <si>
    <t>ENERGIA ELETRICA COMERCIAL, BAIXA TENSAO, RELATIVA AO CONSUMO DE ATE 100 KWH, INCLUINDO ICMS, PIS/PASEP E COFINS</t>
  </si>
  <si>
    <t>IM1536</t>
  </si>
  <si>
    <t>FERRAMENTAS - FAMILIA OPERADOR ESCAVADEIRA - HORISTA (ENCARGOS COMPLEMENTARES - COLETADO CAIXA)</t>
  </si>
  <si>
    <t>IM3216</t>
  </si>
  <si>
    <t>8900103001SI735</t>
  </si>
  <si>
    <t>TINTA LATEX ACRILICA PREMIUM, COR BRANCO FOSCO</t>
  </si>
  <si>
    <t>M0022</t>
  </si>
  <si>
    <t>1514303022006</t>
  </si>
  <si>
    <t>IM2759</t>
  </si>
  <si>
    <t>8900103001SI601</t>
  </si>
  <si>
    <t>REGISTRO GAVETA BRUTO EM LATAO FORJADO, BITOLA 3/4</t>
  </si>
  <si>
    <t>IE0058</t>
  </si>
  <si>
    <t>2202005001SI112</t>
  </si>
  <si>
    <t>COMPACTADOR DE SOLO A PERCUSSAO (SOQUETE), A GASOLINA 4 TEMPOS, PESO 55 A 65 KG, FORCA DE IMPACTO 1.000 A 1.500 KGF, FREQ. 600 A 700 GOLPES P/ MINUTO, VELOCIDADE TRABALHO DE 10 A 15 M/MIN, POT. DE 2,00 A 3,00 HP</t>
  </si>
  <si>
    <t>IM2249</t>
  </si>
  <si>
    <t>2207205002001</t>
  </si>
  <si>
    <t>MÁQUINA PARA SOLDAGEM DE TUBOS PLÁSTICOS POR TERMOFUSÃO, DIÂMETRO DE 90 À 315 MM</t>
  </si>
  <si>
    <t>IM2259</t>
  </si>
  <si>
    <t>MARTELETE PERFURADOR/ROMPEDOR A AR COMPRIMIDO DE 25 KG PARA ROCHA COM CAPACIDADE DE 2.040 GPM</t>
  </si>
  <si>
    <t>IM1474</t>
  </si>
  <si>
    <t>2202005001SI364</t>
  </si>
  <si>
    <t>ESPARGIDOR DE ASFALTO PRESSURIZADO, TANQUE 6 M3 COM ISOLACAO TERMICA, AQUECIDO COM 2 MACARICOS, COM BARRA ESPARGIDORA 3,60 M, A SER MONTADO SOBRE CAMINHAO</t>
  </si>
  <si>
    <t>IM1081</t>
  </si>
  <si>
    <t>CORTADEIRA DE PISO DE CONCRETO E ASFALTO, PARA DISCO PADRAO DE DIAMETRO 350 MM (14) OU 450 MM (18), MOTOR A GASOLINA, POTENCIA 13 HP, SEM DISCO</t>
  </si>
  <si>
    <t>IE0012</t>
  </si>
  <si>
    <t>2202005001SI363</t>
  </si>
  <si>
    <t>BETONEIRA, CAPACIDADE NOMINAL 600 L, CAPACIDADE DE MISTURA 360L, MOTOR ELETRICO TRIFASICO 220/380V, POTENCIA 4CV, EXCLUSO CARREGADOR</t>
  </si>
  <si>
    <t>IE0022</t>
  </si>
  <si>
    <t>2201005001SCA93</t>
  </si>
  <si>
    <t>CAMINHÃO PLATAFORMA 4 X 2, PBT 16.000 KG E DISTÂNCIA ENTRE EIXOS 3,6 M - 136 KW - MOTORISTA DE CAMINHÃO</t>
  </si>
  <si>
    <t>IM2422</t>
  </si>
  <si>
    <t>8900103002SCM09</t>
  </si>
  <si>
    <t>PARAFUSO DE CABEÇA SEXTAVADA EM AÇO GALVANIZADO COM PORCA E ARRUELA DE PRESSÃO - D = 9,525 MM (3/8)</t>
  </si>
  <si>
    <t>IH0320</t>
  </si>
  <si>
    <t>MOTORISTA DE CAMINHAO-CARRETA (HORISTA)</t>
  </si>
  <si>
    <t>IM0810</t>
  </si>
  <si>
    <t>CAVALO MECANICO TRACAO 4X2, PESO BRUTO TOTAL 16000 KG, CAPACIDADE MAXIMA DE TRACAO *45000* KG, DISTANCIA ENTRE EIXOS *3,56* M, POTENCIA *330* CV (INCLUI CABINE E CHASSI, NAO INCLUI SEMIRREBOQUE)</t>
  </si>
  <si>
    <t>IM1437</t>
  </si>
  <si>
    <t>EPI - FAMILIA ENGENHEIRO CIVIL - HORISTA (ENCARGOS COMPLEMENTARES - COLETADO CAIXA)</t>
  </si>
  <si>
    <t>IM1546</t>
  </si>
  <si>
    <t>FERRAMENTAS - FAMILIA TOPOGRAFO - HORISTA (ENCARGOS COMPLEMENTARES - COLETADO CAIXA)</t>
  </si>
  <si>
    <t>IM1360</t>
  </si>
  <si>
    <t>ELETRODO REVESTIDO E60XX</t>
  </si>
  <si>
    <t>IM3586</t>
  </si>
  <si>
    <t>2201005001SCE90</t>
  </si>
  <si>
    <t>VEÍCULO LEVE - 53 KW (SEM MOTORISTA)</t>
  </si>
  <si>
    <t>IM0847</t>
  </si>
  <si>
    <t>CHAPA/PAINEL DE MADEIRA COMPENSADA RESINADA (MADEIRITE RESINADO ROSA) PARA FORMA DE CONCRETO, DE 2200 X 1100 MM, E = 20 MM</t>
  </si>
  <si>
    <t>IM0354</t>
  </si>
  <si>
    <t>BARRA CHATA EM AÇO GALVANIZADO</t>
  </si>
  <si>
    <t>IM2536</t>
  </si>
  <si>
    <t>PLOTADORA DE RECORTE COM COMPUTADOR E PROGRAMA COMPUTACIONAL</t>
  </si>
  <si>
    <t>IM2239</t>
  </si>
  <si>
    <t>MÁQUINA DE BANCADA UNIVERSAL PARA CORTE DE CHAPA - 1,50 KW</t>
  </si>
  <si>
    <t>IM3581</t>
  </si>
  <si>
    <t>2202005001SI137</t>
  </si>
  <si>
    <t>VASSOURA MECANICA REBOCAVEL COM ESCOVA CILINDRICA LARGURA UTIL DE VARRIMENTO = 2,44M</t>
  </si>
  <si>
    <t>IH0453</t>
  </si>
  <si>
    <t>0128000050SI616</t>
  </si>
  <si>
    <t>SOLDADOR (HORISTA)</t>
  </si>
  <si>
    <t>IM3480</t>
  </si>
  <si>
    <t>8900103001SI986</t>
  </si>
  <si>
    <t>TUBO PVC, SOLDAVEL, DE 25 MM, AGUA FRIA (NBR-5648)</t>
  </si>
  <si>
    <t>IM2874</t>
  </si>
  <si>
    <t>SEMIRREBOQUE COM TRES EIXOS EM TANDEM TIPO BASCULANTE COM CACAMBA METALICA 18 M3 (INCLUI MONTAGEM, NAO INCLUI CAVALO MECANICO)</t>
  </si>
  <si>
    <t>IM1540</t>
  </si>
  <si>
    <t>FERRAMENTAS - FAMILIA PINTOR - HORISTA (ENCARGOS COMPLEMENTARES - COLETADO CAIXA)</t>
  </si>
  <si>
    <t>IM1443</t>
  </si>
  <si>
    <t>EPI - FAMILIA PINTOR - HORISTA (ENCARGOS COMPLEMENTARES - COLETADO CAIXA)</t>
  </si>
  <si>
    <t>IE0008</t>
  </si>
  <si>
    <t>2202005001SI105</t>
  </si>
  <si>
    <t>BETONEIRA CAPACIDADE NOMINAL 400 L, CAPACIDADE DE MISTURA 280 L, MOTOR ELETRICO TRIFASICO 220/380 V POTENCIA 2 CV, SEM CARREGADOR</t>
  </si>
  <si>
    <t>IE0059</t>
  </si>
  <si>
    <t>2202005001SI144</t>
  </si>
  <si>
    <t>COMPACTADOR DE SOLO TIPO PLACA VIBRATORIA REVERSIVEL, A GASOLINA 4 TEMPOS, PESO 125 A 150 KG, FORCA CENTRIF. 2500 A 2800 KGF, LARG. TRABALHO 400 A 450 MM, FREQ. VIBRACAO 4300 A 4500 RPM, VELOC. TRABALHO 15 A 20 M/MIN, POT. 5,5 A 6,0 HP</t>
  </si>
  <si>
    <t>IM1845</t>
  </si>
  <si>
    <t>8900103001SI354</t>
  </si>
  <si>
    <t>JOELHO PVC, SOLDAVEL, 90 GRAUS, 50 MM, COR MARROM, PARA AGUA FRIA PREDIAL</t>
  </si>
  <si>
    <t>IM2976</t>
  </si>
  <si>
    <t>TANQUE DE ASFALTO ESTACIONARIO COM SERPENTINA, CAPACIDADE 30.000 L</t>
  </si>
  <si>
    <t>IM1535</t>
  </si>
  <si>
    <t>FERRAMENTAS - FAMILIA ENGENHEIRO CIVIL - MENSALISTA (ENCARGOS COMPLEMENTARES - COLETADO CAIXA)</t>
  </si>
  <si>
    <t>IM2644</t>
  </si>
  <si>
    <t>PREGO DE ACO POLIDO COM CABECA 10 X 10 (7/8 X 17)</t>
  </si>
  <si>
    <t>IM1635</t>
  </si>
  <si>
    <t>8900103002SCM17</t>
  </si>
  <si>
    <t>GÁS OXIGÊNIO</t>
  </si>
  <si>
    <t>IM2238</t>
  </si>
  <si>
    <t>MÁQUINA DE BANCADA GUILHOTINA - 4,00 KW</t>
  </si>
  <si>
    <t>IM2421</t>
  </si>
  <si>
    <t>PARAFUSO DE CABEÇA SEXTAVADA EM AÇO GALVANIZADO COM PORCA E ARRUELA DE PRESSÃO - D = 6,35 MM (1/4)</t>
  </si>
  <si>
    <t>IM1633</t>
  </si>
  <si>
    <t>GÁS ACETILENO</t>
  </si>
  <si>
    <t>IM2913</t>
  </si>
  <si>
    <t>8900103001SI200</t>
  </si>
  <si>
    <t>SOLUCAO PREPARADORA / LIMPADORA PARA PVC, FRASCO COM 1000 CM3</t>
  </si>
  <si>
    <t>IM2651</t>
  </si>
  <si>
    <t>PREGO DE ACO POLIDO COM CABECA 17 X 27 (2 1/2 X 11)</t>
  </si>
  <si>
    <t>IE0084</t>
  </si>
  <si>
    <t>EQUIPAMENTO PARA PINTURA ELETROSTÁTICA COM CABINE DUPLA DE 7,00 KW E ESTUFA DE 80.000 KCAL</t>
  </si>
  <si>
    <t>IM0637</t>
  </si>
  <si>
    <t>CAÇAMBA BASCULANTE COM CAPACIDADE DE 6 M³</t>
  </si>
  <si>
    <t>IM0109</t>
  </si>
  <si>
    <t>8900103001SI122</t>
  </si>
  <si>
    <t>ADESIVO PLASTICO PARA PVC, FRASCO COM *850* GR</t>
  </si>
  <si>
    <t>IM2883</t>
  </si>
  <si>
    <t>2202005001SI146</t>
  </si>
  <si>
    <t>SERRA CIRCULAR DE BANCADA COM MOTOR ELETRICO, POTENCIA DE *1600* W, PARA DISCO DE DIAMETRO DE 10 (250 MM)</t>
  </si>
  <si>
    <t>IM2451</t>
  </si>
  <si>
    <t>PASTA LUBRIFICANTE PARA TUBOS E CONEXOES COM JUNTA ELASTICA, EMBALAGEM DE *400* GR (USO EM PVC, ACO, POLIETILENO E OUTROS)</t>
  </si>
  <si>
    <t>IM0538</t>
  </si>
  <si>
    <t>8900103001SI813</t>
  </si>
  <si>
    <t>BUCHA DE REDUCAO DE PVC, SOLDAVEL, LONGA, COM 50 X 25 MM, PARA AGUA FRIA PREDIAL</t>
  </si>
  <si>
    <t>IM0848</t>
  </si>
  <si>
    <t>CHAPA/PAINEL DE MADEIRA COMPENSADA RESINADA (MADEIRITE RESINADO ROSA) PARA FORMA DE CONCRETO, DE 2200 X 1100 MM, E = 6 MM</t>
  </si>
  <si>
    <t>IE0025</t>
  </si>
  <si>
    <t>CAMINHÃO PLATAFORMA 4 X 2, PBT 16.000 KG E DISTÂNCIA ENTRE EIXOS 4,8 M - 136 KW - MOTORISTA DE CAMINHÃO</t>
  </si>
  <si>
    <t>IM0145</t>
  </si>
  <si>
    <t>ALISADORA DE CONCRETO COM MOTOR A GASOLINA DE 5,5 HP, PESO COM MOTOR DE 78 KG, 4 PAS</t>
  </si>
  <si>
    <t>IM0112</t>
  </si>
  <si>
    <t>8900103001SI123</t>
  </si>
  <si>
    <t>ADITIVO IMPERMEABILIZANTE DE PEGA NORMAL PARA ARGAMASSAS E CONCRETOS SEM ARMACAO, LIQUIDO E ISENTO DE CLORETOS</t>
  </si>
  <si>
    <t>IM2650</t>
  </si>
  <si>
    <t>8900103001SI507</t>
  </si>
  <si>
    <t>PREGO DE ACO POLIDO COM CABECA 17 X 24 (2 1/4 X 11)</t>
  </si>
  <si>
    <t>IE0184</t>
  </si>
  <si>
    <t>2203009001191</t>
  </si>
  <si>
    <t>MÁQUINA DE SOLDA PARA TUBOS PEAD POR ELETROFUSÃO_ALIMENTAÇÃO ELÉTRICA _(3,60KW-SC-SMO) #AF_01/2023_DEPRECIAÇÃO</t>
  </si>
  <si>
    <t>IM1716</t>
  </si>
  <si>
    <t>GUINCHO ELETRICO DE COLUNA, CAPACIDADE 400 KG, COM MOTO FREIO, MOTOR TRIFASICO DE 1,25 CV</t>
  </si>
  <si>
    <t>IM0071</t>
  </si>
  <si>
    <t>8900103001SI65</t>
  </si>
  <si>
    <t>ADAPTADOR PVC SOLDAVEL CURTO COM BOLSA E ROSCA, 25 MM X 3/4, PARA AGUA FRIA</t>
  </si>
  <si>
    <t>IE0107</t>
  </si>
  <si>
    <t>2240005001002</t>
  </si>
  <si>
    <t>ESMERIL DE CHICOTE, ELÉTRICO, POTÊNCIA 3,0 CV (2,2 KW)</t>
  </si>
  <si>
    <t>IM1842</t>
  </si>
  <si>
    <t>8900103001SI352</t>
  </si>
  <si>
    <t>JOELHO PVC, SOLDAVEL, 90 GRAUS, 25 MM, COR MARROM, PARA AGUA FRIA PREDIAL</t>
  </si>
  <si>
    <t>IM1553</t>
  </si>
  <si>
    <t>FIBRA DE ACO PARA REFORCO DO CONCRETO, SOLTA, TIPO A-I, FATOR DE FORMA *50* L / D, COMPRIMENTO DE *30* MM E RESISTENCIA A TRACAO DO ACO MAIOR 1000 MPA</t>
  </si>
  <si>
    <t>IM1991</t>
  </si>
  <si>
    <t>8900103001SI383</t>
  </si>
  <si>
    <t>LIXA D'AGUA EM FOLHA, COR PRETA, GRAO 100</t>
  </si>
  <si>
    <t>IM1447</t>
  </si>
  <si>
    <t>EPI - FAMILIA SOLDADOR - HORISTA (ENCARGOS COMPLEMENTARES - COLETADO CAIXA)</t>
  </si>
  <si>
    <t>IM3264</t>
  </si>
  <si>
    <t>TRANSPORTADOR MANUAL CARRINHO DE MÃO COM CAPACIDADE DE 80 L</t>
  </si>
  <si>
    <t>IE0034</t>
  </si>
  <si>
    <t>CAMINHÃO PLATAFORMA 6 X 2, PBT 23.000 KG E DISTÂNCIA ENTRE EIXOS 5,4 M - 188 KW - MOTORISTA DE CAMINHÃO</t>
  </si>
  <si>
    <t>IE0186</t>
  </si>
  <si>
    <t>2203009001195</t>
  </si>
  <si>
    <t>MÁQUINA DE SOLDA PARA TUBOS PEAD POR ELETROFUSÃO_ALIMENTAÇÃO ELÉTRICA _(3,60KW-SC-SMO) #AF_01/2023_MANUTENÇÃO</t>
  </si>
  <si>
    <t>IM1544</t>
  </si>
  <si>
    <t>FERRAMENTAS - FAMILIA SOLDADOR - HORISTA (ENCARGOS COMPLEMENTARES - COLETADO CAIXA)</t>
  </si>
  <si>
    <t>IM1292</t>
  </si>
  <si>
    <t>8900103001SI138</t>
  </si>
  <si>
    <t>DISCO DE CORTE DIAMANTADO SEGMENTADO PARA CONCRETO/ASFALTO, DIAMETRO DE *350* MM, FURO DE 25,40 MM</t>
  </si>
  <si>
    <t>IM1651</t>
  </si>
  <si>
    <t>2207005004005</t>
  </si>
  <si>
    <t>GERADOR, GASOLINA, POTÊNCIA NOMINAL DE 6,5 KVA E POTÊNCIA MÁXIMA DE 7,0 KVA</t>
  </si>
  <si>
    <t>IE0026</t>
  </si>
  <si>
    <t>CAMINHÃO PLATAFORMA 4 X 2, PBT 16.000 KG E DISTÂNCIA ENTRE EIXOS 4,8 M - 136 KW - MOTORISTA DE VEÍCULO ESPECIAL</t>
  </si>
  <si>
    <t>IM0797</t>
  </si>
  <si>
    <t>CARROCERIA FIXA ABERTA DE MADEIRA PARA TRANSPORTE GERAL DE CARGA SECA DIMENSOES APROXIMADAS 2,5 X 7,00 X 0,50 M (INCLUI MONTAGEM, NAO INCLUI CAMINHAO)</t>
  </si>
  <si>
    <t>IM1574</t>
  </si>
  <si>
    <t>8900103001SI314</t>
  </si>
  <si>
    <t>FITA VEDA ROSCA, EM PTFE, ROLO DE 18 MM X 50 M (L X C)</t>
  </si>
  <si>
    <t>IM1534</t>
  </si>
  <si>
    <t>FERRAMENTAS - FAMILIA ENGENHEIRO CIVIL - HORISTA (ENCARGOS COMPLEMENTARES - COLETADO CAIXA)</t>
  </si>
  <si>
    <t>IM0794</t>
  </si>
  <si>
    <t>CARROCERIA DE MADEIRA COM CAPACIDADE DE 9 T</t>
  </si>
  <si>
    <t>IM2465</t>
  </si>
  <si>
    <t>PEDRA BRITADA N. 3 (38 A 50 MM) POSTO PEDREIRA/FORNECEDOR, SEM FRETE</t>
  </si>
  <si>
    <t>IE0185</t>
  </si>
  <si>
    <t>2203009001192</t>
  </si>
  <si>
    <t>MÁQUINA DE SOLDA PARA TUBOS PEAD POR ELETROFUSÃO_ALIMENTAÇÃO ELÉTRICA _(3,60KW-SC-SMO) #AF_01/2023_JUROS</t>
  </si>
  <si>
    <t>IM2782</t>
  </si>
  <si>
    <t>2201005001SCE92</t>
  </si>
  <si>
    <t>RESPIRADOR PURIFICADOR DE AR MOTORIZADO</t>
  </si>
  <si>
    <t>IE0125</t>
  </si>
  <si>
    <t>GUINDASTE ARTICULADO MONTADO SOBRE CHASSI COM CAPACIDADE DE 20 T.M</t>
  </si>
  <si>
    <t>IM3271</t>
  </si>
  <si>
    <t>TRIPÉ COM GUINCHO PARA ESPAÇO CONFINADO</t>
  </si>
  <si>
    <t>IE0091</t>
  </si>
  <si>
    <t>EQUIPAMENTO PARA SOLDA E CORTE COM OXIACETILENO</t>
  </si>
  <si>
    <t>IM1499</t>
  </si>
  <si>
    <t>EXAUSTOR CENTRÍFUGO ALTA PRESSÃO COM CAPACIDADE DE 35 M³/MIN - 1,47 KW</t>
  </si>
  <si>
    <t>IM0790</t>
  </si>
  <si>
    <t>CARROCERIA DE MADEIRA COM CAPACIDADE DE 15 T</t>
  </si>
  <si>
    <t>IM1573</t>
  </si>
  <si>
    <t>FITA VEDA ROSCA, EM PTFE, ROLO DE 18 MM X 10 M (L X C)</t>
  </si>
  <si>
    <t>IM1620</t>
  </si>
  <si>
    <t>FURADEIRA DE IMPACTO DE 12,5 MM - 0,80 KW</t>
  </si>
  <si>
    <t>IM2242</t>
  </si>
  <si>
    <t>MÁQUINA DE SOLDA ELÉTRICA TRANSFORMADORA 250 A - 9,20 KW</t>
  </si>
  <si>
    <t>IM1279</t>
  </si>
  <si>
    <t>DETECTOR DE GASES COM BOMBA ELÉTRICA PARA ESPAÇO CONFINADO</t>
  </si>
  <si>
    <t>IM2656</t>
  </si>
  <si>
    <t>8900103001SI403</t>
  </si>
  <si>
    <t>PREGO DE ACO POLIDO COM CABECA DUPLA 17 X 27 (2 1/2 X 11)</t>
  </si>
  <si>
    <t>IE0075</t>
  </si>
  <si>
    <t>EQUIPAMENTO DE PINTURA COM PISTOLA AIRLESS - 0,90 KW</t>
  </si>
  <si>
    <t>IM0793</t>
  </si>
  <si>
    <t>CARROCERIA DE MADEIRA COM CAPACIDADE DE 7 T</t>
  </si>
  <si>
    <t>8900103002SCM1920</t>
  </si>
  <si>
    <t>DUTO FLEXÍVEL DE POLIÉSTER ALUMINIZADO SEM ISOLAMENTO PARA EXAUSTÃO - D = 263 MM</t>
  </si>
  <si>
    <t>COTADO</t>
  </si>
  <si>
    <t>LICITADO</t>
  </si>
  <si>
    <t>ENGESAN</t>
  </si>
  <si>
    <t>fob - ajustado com alecio e fabricio na viabilidade</t>
  </si>
  <si>
    <t>LOCACAO DE CONTAINER 2,30 X 6,00 M, ALT. 2,50 M, PARA ESCRITORIO, SEM DIVISORIAS INTERNAS E SEM SANITARIO (NAO INCLUI OBILIZACAO/DESMOBILIZACAO)</t>
  </si>
  <si>
    <t>sistema</t>
  </si>
  <si>
    <t>HIDROTAM</t>
  </si>
  <si>
    <t>INAPI</t>
  </si>
  <si>
    <t>Anderson</t>
  </si>
  <si>
    <t>Denilson</t>
  </si>
  <si>
    <t>Diego Magrilho</t>
  </si>
  <si>
    <t>61 99204-4968</t>
  </si>
  <si>
    <t>61 99883-5018</t>
  </si>
  <si>
    <t>62 9536-8677</t>
  </si>
  <si>
    <t>Empreiteiro manual</t>
  </si>
  <si>
    <t>GUILHERME</t>
  </si>
  <si>
    <t>ANDRÉ</t>
  </si>
  <si>
    <t>CARLOS</t>
  </si>
  <si>
    <t>LIFE</t>
  </si>
  <si>
    <t>MARTINS AMBIENTAL</t>
  </si>
  <si>
    <t>61 8611-2330</t>
  </si>
  <si>
    <t>61 8624-4800</t>
  </si>
  <si>
    <t>31 3621-0566 / 31 9122-7827</t>
  </si>
  <si>
    <t>61 3703-8070 / 61 9651-5320</t>
  </si>
  <si>
    <t>FRETE</t>
  </si>
  <si>
    <t>m3/km</t>
  </si>
  <si>
    <t>ESCAVADEIRA</t>
  </si>
  <si>
    <t>RETROESCAVADEIRA</t>
  </si>
  <si>
    <t>CAMINHÃO BASCULANTE TRUCADO</t>
  </si>
  <si>
    <t>BLINDADO</t>
  </si>
  <si>
    <t>disel e alimentação meu</t>
  </si>
  <si>
    <t>PLASMONTEO</t>
  </si>
  <si>
    <t>ITAMAR</t>
  </si>
  <si>
    <t>ADAILTON</t>
  </si>
  <si>
    <t>11 96912-7387</t>
  </si>
  <si>
    <t>61 9418-0358</t>
  </si>
  <si>
    <t>61 9189-9036 / 61 8114-6902</t>
  </si>
  <si>
    <t>luva</t>
  </si>
  <si>
    <t>PEAD BRASIL</t>
  </si>
  <si>
    <t>FGS</t>
  </si>
  <si>
    <t>ASPERBRASS</t>
  </si>
  <si>
    <t>EFFORT</t>
  </si>
  <si>
    <t>CORR PLASTIK</t>
  </si>
  <si>
    <t>HUB ONE</t>
  </si>
  <si>
    <t>POLIERG</t>
  </si>
  <si>
    <t>CIMFLEX</t>
  </si>
  <si>
    <t>11 4617-8000</t>
  </si>
  <si>
    <t>anderson</t>
  </si>
  <si>
    <t>eduardo teixeira</t>
  </si>
  <si>
    <t>e-mail</t>
  </si>
  <si>
    <t>elieser</t>
  </si>
  <si>
    <t>19 97140-2835</t>
  </si>
  <si>
    <t>11 2219-7700</t>
  </si>
  <si>
    <t>44 9137-9599</t>
  </si>
  <si>
    <t>PIRINEUS</t>
  </si>
  <si>
    <t>BELA VISTA</t>
  </si>
  <si>
    <t>TERRA PARA ATERRO</t>
  </si>
  <si>
    <t>CARLA/AREIAS BRASILIA</t>
  </si>
  <si>
    <t>61 9245-3308</t>
  </si>
  <si>
    <t>61 8135-0230 / 61 3485-4086</t>
  </si>
  <si>
    <t>61 98248-9085</t>
  </si>
  <si>
    <t>61 9382-1247</t>
  </si>
  <si>
    <t>cif ou fob?</t>
  </si>
  <si>
    <t>AVK</t>
  </si>
  <si>
    <t>PHS</t>
  </si>
  <si>
    <t>NIVETEC</t>
  </si>
  <si>
    <t>DIGITROL</t>
  </si>
  <si>
    <t>11 2627-6610</t>
  </si>
  <si>
    <t>11 98745-0811</t>
  </si>
  <si>
    <t>MEHTA</t>
  </si>
  <si>
    <t>SANEMIX</t>
  </si>
  <si>
    <t>61 9338-9629 / 61 3262-1111</t>
  </si>
  <si>
    <t>BOTA FORA RCC</t>
  </si>
  <si>
    <t>61 3213-0153</t>
  </si>
  <si>
    <t>61 99365-4651</t>
  </si>
  <si>
    <t>ATACADO DA MADEIRA</t>
  </si>
  <si>
    <t>NORTE SUL</t>
  </si>
  <si>
    <t>61 9903-5669</t>
  </si>
  <si>
    <t>frete</t>
  </si>
  <si>
    <t>fob</t>
  </si>
  <si>
    <t>% Acum</t>
  </si>
  <si>
    <r>
      <rPr>
        <sz val="10"/>
        <rFont val="Arial"/>
        <charset val="134"/>
      </rPr>
      <t>SP0778: ADMINISTRAÇÃO LOCAL DA IMPLANTAÇÃO DA SUBADUTORA DE ÁGUA TRATADA SOBRADINHO I
192 - SAT.SB1.192</t>
    </r>
  </si>
  <si>
    <r>
      <rPr>
        <sz val="10"/>
        <rFont val="Arial"/>
        <charset val="134"/>
      </rPr>
      <t>TRANSPORTE COM CAMINHÃO BASCULANTE DE 14 M³, EM VIA URBANA PAVIMENTADA, DMT ATÉ 30 KM
(UNIDADE: M3XKM). AF_07/2020</t>
    </r>
  </si>
  <si>
    <r>
      <rPr>
        <sz val="10"/>
        <rFont val="Arial"/>
        <charset val="134"/>
      </rPr>
      <t>ESCORAMENTO DE VALA, TIPO PONTALETEAMENTO, COM PROFUNDIDADE DE 1,5 A
3,0 M, LARGURA MENOR QUE 1,5 M. AF_08/2020</t>
    </r>
  </si>
  <si>
    <r>
      <rPr>
        <sz val="10"/>
        <rFont val="Arial"/>
        <charset val="134"/>
      </rPr>
      <t>TELHAMENTO COM TELHA METÁLICA TERMOACÚSTICA E = 30 MM, COM ATÉ 2 ÁGUAS,
INCLUSO IÇAMENTO. AF_07/2019</t>
    </r>
  </si>
  <si>
    <r>
      <rPr>
        <sz val="10"/>
        <rFont val="Arial"/>
        <charset val="134"/>
      </rPr>
      <t>FORMAS PLANAS PARA ESTRUTURA EM CHAPA DE MADEIRA COMPENSADA DE 12 MM, 2
REAPROVEITAMENTOS, INCLUSIVE DESFORMA</t>
    </r>
  </si>
  <si>
    <r>
      <rPr>
        <sz val="10"/>
        <rFont val="Arial"/>
        <charset val="134"/>
      </rPr>
      <t>LASTRO COM MATERIAL GRANULAR (PEDRA BRITADA N.2), APLICADO EM PISOS OU LAJES
SOBRE SOLO, ESPESSURA DE *10 CM*. AF_01/2024</t>
    </r>
  </si>
  <si>
    <r>
      <rPr>
        <sz val="10"/>
        <rFont val="Arial"/>
        <charset val="134"/>
      </rPr>
      <t>REATERRO MECANIZADO DE VALA COM RETROESCAVADEIRA (CAPACIDADE DA CAÇAMBA DA RETRO: 0,26 M³/POTÊNCIA: 88 HP), LARGURA 0,8 A 1,5 M, PROFUNDIDADE 1,5 A 3,0 M, COM SOLO (SEM SUBSTITUIÇÃO) DE 1ª CATEGORIA E COMPACTADOR DE SOLOS DE PERCUSSÃO.
AF_08/2023</t>
    </r>
  </si>
  <si>
    <r>
      <rPr>
        <sz val="10"/>
        <rFont val="Arial"/>
        <charset val="134"/>
      </rPr>
      <t>ESCAVAÇÃO MECANIZADA DE VALA COM PROF. MAIOR QUE 1,5 M ATÉ 3,0 M (MÉDIA MONTANTE E JUSANTE/UMA COMPOSIÇÃO POR TRECHO),COM ESCAVADEIRA (1,2 M3),LARG. DE 1,5 M A 2,5 M, EM SOLO DE 1A CATEGORIA, LOCAIS COM BAIXO NÍVEL
DE INTERFERÊNCIA. AF_09/2024</t>
    </r>
  </si>
  <si>
    <r>
      <rPr>
        <sz val="10"/>
        <rFont val="Arial"/>
        <charset val="134"/>
      </rPr>
      <t>PEÇA RETANGULAR PRÉ-MOLDADA, VOLUME DE CONCRETO DE 10 A 30 LITROS, TAXA DE AÇO
APROXIMADA DE 30KG/M³. AF_03/2024</t>
    </r>
  </si>
  <si>
    <r>
      <rPr>
        <sz val="10"/>
        <rFont val="Arial"/>
        <charset val="134"/>
      </rPr>
      <t>TRANSPORTE COM CAMINHÃO BASCULANTE DE 14 M³, EM VIA URBANA PAVIMENTADA, ADICIONAL PARA DMT EXCEDENTE A 30 KM (UNIDADE: M3XKM).
AF_07/2020</t>
    </r>
  </si>
  <si>
    <r>
      <rPr>
        <sz val="10"/>
        <rFont val="Arial"/>
        <charset val="134"/>
      </rPr>
      <t>CARGA, MANOBRA E DESCARGA DE ENTULHO EM CAMINHÃO BASCULANTE 6 M³ - CARGA COM ESCAVADEIRA HIDRÁULICA (CAÇAMBA DE 0,80 M³ / 111 HP) E DESCARGA LIVRE (UNIDADE: T).
AF_07/2020</t>
    </r>
  </si>
  <si>
    <r>
      <rPr>
        <sz val="10"/>
        <rFont val="Arial"/>
        <charset val="134"/>
      </rPr>
      <t>JUNTA DE DESMONTAGEM TRAVADA AXIALMENTE (CLASSE DE PRESSÃO: 16 KGF/CM² / DIÂMETRO DA
SEÇÃO: 600 MM)</t>
    </r>
  </si>
  <si>
    <r>
      <rPr>
        <sz val="10"/>
        <rFont val="Arial"/>
        <charset val="134"/>
      </rPr>
      <t>FORNECIMENTO E INSTALAÇÃO DE PLACA DE OBRA COM CHAPA GALVANIZADA E ESTRUTURA DE
MADEIRA. AF_03/2022_PS</t>
    </r>
  </si>
  <si>
    <r>
      <rPr>
        <sz val="10"/>
        <rFont val="Arial"/>
        <charset val="134"/>
      </rPr>
      <t>TRANSPORTE COM CAMINHÃO BASCULANTE DE 6 M³, EM VIA URBANA PAVIMENTADA, DMT ATÉ 30 KM
(UNIDADE: M3XKM). AF_07/2020</t>
    </r>
  </si>
  <si>
    <r>
      <rPr>
        <sz val="10"/>
        <rFont val="Arial"/>
        <charset val="134"/>
      </rPr>
      <t>ESCORAMENTO DE VALA, TIPO PONTALETEAMENTO, COM PROFUNDIDADE DE 3,0 A
4,5 M, LARGURA MENOR QUE 1,5 M. AF_08/2020</t>
    </r>
  </si>
  <si>
    <r>
      <rPr>
        <sz val="10"/>
        <rFont val="Arial"/>
        <charset val="134"/>
      </rPr>
      <t>FORNECIMENTO E ASSENTAMENTO DE PORTÃO PARA VEÍCULOS PADRÃO CAESB, COM ESTRUTURA
EM TUBO E TELAS EM ARAME GALVANIZADO</t>
    </r>
  </si>
  <si>
    <r>
      <rPr>
        <sz val="10"/>
        <rFont val="Arial"/>
        <charset val="134"/>
      </rPr>
      <t>JUNTA DE DESMONTAGEM TRAVADA AXIALMENTE (CLASSE DE PRESSÃO: 10 KGF/CM² / DIÂMETRO DA
SEÇÃO: 200 MM)</t>
    </r>
  </si>
  <si>
    <r>
      <rPr>
        <sz val="10"/>
        <rFont val="Arial"/>
        <charset val="134"/>
      </rPr>
      <t>TUBO DE PVC CORRUGADO RÍGIDO PERFURADO, DN 100 MM, PARA DRENO - FORNECIMENTO E
ASSENTAMENTO. AF_07/2021</t>
    </r>
  </si>
  <si>
    <r>
      <rPr>
        <sz val="10"/>
        <rFont val="Arial"/>
        <charset val="134"/>
      </rPr>
      <t>CAIXA D´ÁGUA EM POLIÉSTER REFORÇADO COM FIBRA DE VIDRO, 10000 LITROS - FORNECIMENTO E
INSTALAÇÃO. AF_06/2021</t>
    </r>
  </si>
  <si>
    <r>
      <rPr>
        <sz val="10"/>
        <rFont val="Arial"/>
        <charset val="134"/>
      </rPr>
      <t>ESCAVAÇÃO MECANIZADA DE VALA COM PROF. MAIOR QUE 1,5 M ATÉ 3,0 M (MÉDIA MONTANTE E JUSANTE/UMA COMPOSIÇÃO POR TRECHO),COM ESCAVADEIRA (1,2 M3),LARG. DE 1,5 M A 2,5 M, EM SOLO DE 2A CATEGORIA, LOCAIS COM BAIXO NÍVEL
DE INTERFERÊNCIA. AF_09/2024</t>
    </r>
  </si>
  <si>
    <r>
      <rPr>
        <sz val="10"/>
        <rFont val="Arial"/>
        <charset val="134"/>
      </rPr>
      <t>CARGA, MANOBRA E DESCARGA DE ENTULHO EM CAMINHÃO BASCULANTE 14 M³ - CARGA COM ESCAVADEIRA HIDRÁULICA (CAÇAMBA DE 0,80 M³ / 111 HP) E DESCARGA LIVRE (UNIDADE: M3).
AF_07/2020</t>
    </r>
  </si>
  <si>
    <r>
      <rPr>
        <sz val="10"/>
        <rFont val="Arial"/>
        <charset val="134"/>
      </rPr>
      <t>ESCAVAÇÃO MANUAL DE VALAS EM SOLO MOLE, PROFUNDIDADE MAIOR QUE 1,50 A 3,00 M.
(AF_04/2021)</t>
    </r>
  </si>
  <si>
    <r>
      <rPr>
        <sz val="10"/>
        <rFont val="Arial"/>
        <charset val="134"/>
      </rPr>
      <t>PLACA MODULADA EM AÇO Nº 18 GALVANIZADO COM PELÍCULA RETRORREFLETIVA TIPO III + III -
CONFECÇÃO</t>
    </r>
  </si>
  <si>
    <r>
      <rPr>
        <sz val="10"/>
        <rFont val="Arial"/>
        <charset val="134"/>
      </rPr>
      <t>LOCAÇÃO E NIVELAMENTO DE REDES DE ÁGUA, COM ELABORAÇÃO DE NOTA DE SERVIÇOS E
LEVANTAMENTO NORMAIS</t>
    </r>
  </si>
  <si>
    <r>
      <rPr>
        <sz val="10"/>
        <rFont val="Arial"/>
        <charset val="134"/>
      </rPr>
      <t>FORNECIMENTO E ASSENTAMENTO DE ESTACA TESTEMUNHO EM CONCRETO ARMADO PRÉ-MOLDADO, FCK = 25 MPA DE 0,10X0,10X1,50 M, CRAVADO NO SOLO ATÉ 1,00 M, PINTURA (ALTURA 0,50 M) COM TINTA ACRÍLICA, LOGOTIPOS E
INSCRIÇÕES</t>
    </r>
  </si>
  <si>
    <r>
      <rPr>
        <sz val="10"/>
        <rFont val="Arial"/>
        <charset val="134"/>
      </rPr>
      <t>ESCORAMENTO DE VALA, TIPO CONTÍNUO, COM PROFUNDIDADE DE 3,0 A 4,5 M, LARGURA MAIOR OU
IGUAL A 1,5 E MENOR QUE 2,5 M. AF_08/2020</t>
    </r>
  </si>
  <si>
    <r>
      <rPr>
        <sz val="10"/>
        <rFont val="Arial"/>
        <charset val="134"/>
      </rPr>
      <t>LOCAÇÃO CONVENCIONAL DE OBRA, UTILIZANDO GABARITO DE TÁBUAS CORRIDAS PONTALETADAS A
CADA 2,00M - 2 UTILIZAÇÕES. AF_03/2024</t>
    </r>
  </si>
  <si>
    <r>
      <rPr>
        <sz val="10"/>
        <rFont val="Arial"/>
        <charset val="134"/>
      </rPr>
      <t>REATERRO MECANIZADO DE VALA COM ESCAVADEIRA HIDRÁULICA (CAPACIDADE DA CAÇAMBA: 0,8 M³/POTÊNCIA: 111 HP), LARGURA ATÉ 1,5 M, PROFUNDIDADE DE 1,5 A 3,0 M, COM SOLO (SEM SUBSTITUIÇÃO) DE 1ª CATEGORIA, COM COMPACTADOR DE SOLOS DE PERCUSSÃO.
AF_08/2023</t>
    </r>
  </si>
  <si>
    <r>
      <rPr>
        <sz val="10"/>
        <rFont val="Arial"/>
        <charset val="134"/>
      </rPr>
      <t>ESCAVAÇÃO MECANIZADA DE VALA COM PROF. MAIOR QUE 1,5 M ATÉ 3,0 M (MÉDIA MONTANTE E JUSANTE/UMA COMPOSIÇÃO POR TRECHO),COM ESCAVADEIRA (1,2 M3), LARG. DE 1,5 M A 2,5 M, EM SOLO MOLE, LOCAIS COM BAIXO NÍVEL DE
INTERFERÊNCIA. AF_09/2024</t>
    </r>
  </si>
  <si>
    <r>
      <rPr>
        <sz val="10"/>
        <rFont val="Arial"/>
        <charset val="134"/>
      </rPr>
      <t>LANÇAMENTO COM USO DE BOMBA, ADENSAMENTO E ACABAMENTO DE CONCRETO EM ESTRUTURAS.
AF_02/2022</t>
    </r>
  </si>
  <si>
    <r>
      <rPr>
        <sz val="10"/>
        <rFont val="Arial"/>
        <charset val="134"/>
      </rPr>
      <t>REATERRO MECANIZADO DE VALA COM ESCAVADEIRA HIDRÁULICA (CAPACIDADE DA CAÇAMBA: 0,8 M³/POTÊNCIA: 111 HP), LARGURA ATÉ 1,5 M, PROFUNDIDADE DE 3,0 A 6,0 M, COM SOLO (SEM SUBSTITUIÇÃO) DE 1ª CATEGORIA, COM COMPACTADOR DE SOLOS DE PERCUSSÃO.
AF_08/2023</t>
    </r>
  </si>
  <si>
    <r>
      <rPr>
        <sz val="10"/>
        <rFont val="Arial"/>
        <charset val="134"/>
      </rPr>
      <t>REATERRO MECANIZADO DE VALA COM ESCAVADEIRA HIDRÁULICA (CAPACIDADE DA CAÇAMBA: 0,8 M³/POTÊNCIA: 111 HP), LARGURA 1,5 A 2,5 M, PROFUNDIDADE 3,0 A 6,0 M, COM SOLO (SEM SUBSTITUIÇÃO) DE 1ª CATEGORIA, COM COMPACTADOR DE SOLOS DE PERCUSSÃO.
AF_08/2023</t>
    </r>
  </si>
  <si>
    <r>
      <rPr>
        <sz val="10"/>
        <rFont val="Arial"/>
        <charset val="134"/>
      </rPr>
      <t>INSTALAÇÃO E DESINSTALAÇÃO MECANIZADA DE CONTÊINER OU MÓDULO HABITÁVEL DE USOS
DIVERSOS. AF_03/2024</t>
    </r>
  </si>
  <si>
    <r>
      <rPr>
        <sz val="10"/>
        <rFont val="Arial"/>
        <charset val="134"/>
      </rPr>
      <t>EXECUÇÃO DE JUNTA SOLDADA POR TERMOFUSÃO, DE TUBO OU CONEXÃO EM PEAD LISO PARA REDE DE ÁGUA OU ESGOTO, DIÂMETRO DE 400 MM (NÃO INCLUI O FORNECIMENTO DE TUBO E CONEXÃO).
AF_12/2021</t>
    </r>
  </si>
  <si>
    <r>
      <rPr>
        <sz val="10"/>
        <rFont val="Arial"/>
        <charset val="134"/>
      </rPr>
      <t>ESCAVAÇÃO MECANIZADA DE VALA COM PROF. MAIOR QUE 3,0 M ATÉ 4,5 M (MÉDIA MONTANTE E JUSANTE/UMA COMPOSIÇÃO POR TRECHO), ESCAVADEIRA (1,2 M3), LARG. DE 1,5 M A 2,5 M, EM SOLO DE 1A CATEGORIA, LOCAIS COM BAIXO NÍVEL
DE INTERFERÊNCIA. AF_09/2024</t>
    </r>
  </si>
  <si>
    <r>
      <rPr>
        <sz val="10"/>
        <rFont val="Arial"/>
        <charset val="134"/>
      </rPr>
      <t>ESCAVAÇÃO MANUAL DE VALAS EM SOLO COM ÁGUA, PROFUNDIDADE MAIOR QUE 3,00 A 4,50 M.
(AF_04/2021)</t>
    </r>
  </si>
  <si>
    <r>
      <rPr>
        <sz val="10"/>
        <rFont val="Arial"/>
        <charset val="134"/>
      </rPr>
      <t>TUBO PVC, SÉRIE R, ÁGUA PLUVIAL, DN 150 MM, FORNECIDO E INSTALADO EM RAMAL DE
ENCAMINHAMENTO. AF_06/2022</t>
    </r>
  </si>
  <si>
    <r>
      <rPr>
        <sz val="10"/>
        <rFont val="Arial"/>
        <charset val="134"/>
      </rPr>
      <t>ESTRUTURA DE CONCRETO ARMADO PARA APOIO E FIXAÇÃO DO PORTÃO METÁLICO DA CERCA DE CONCRETO, COMPOSTO POR 02 (DOIS) PILARES (COM FORMATO RETANGULAR E TRIANGULAR) COM ALTURA DE 2,05M, FIXADOS NA VIGA SUPERIOR DE CONCRETO PRÉ-MOLDADO, CINTA INFERIOR DE CONCRETO SIMPLES E BLOCO DE CONCRETO
ARMADO.</t>
    </r>
  </si>
  <si>
    <r>
      <rPr>
        <sz val="10"/>
        <rFont val="Arial"/>
        <charset val="134"/>
      </rPr>
      <t>ESCAVAÇÃO MECANIZADA DE VALA COM PROF. MAIOR QUE 3,0 M ATÉ 4,5 M (MÉDIA MONTANTE E JUSANTE/UMA COMPOSIÇÃO POR TRECHO), ESCAVADEIRA (1,2 M3), LARG. DE 1,5 M A 2,5 M, EM SOLO MOLE, LOCAIS COM BAIXO NÍVEL DE
INTERFERÊNCIA. AF_09/2024</t>
    </r>
  </si>
  <si>
    <r>
      <rPr>
        <sz val="10"/>
        <rFont val="Arial"/>
        <charset val="134"/>
      </rPr>
      <t>ASSENTAMENTO DE TAMPA METÁLICA BIARTICULADA, FERRO FUNDIDO, DIMENSÕES
*1200* X *980* MM (NÃO INCLUI FORNECIMENTO).</t>
    </r>
  </si>
  <si>
    <r>
      <rPr>
        <sz val="10"/>
        <rFont val="Arial"/>
        <charset val="134"/>
      </rPr>
      <t>DEMOLIÇÃO DE PISO DE CONCRETO SIMPLES, DE FORMA MANUAL, SEM REAPROVEITAMENTO.
AF_09/2023</t>
    </r>
  </si>
  <si>
    <r>
      <rPr>
        <sz val="10"/>
        <rFont val="Arial"/>
        <charset val="134"/>
      </rPr>
      <t>LASTRO DE AREIA LAVADA DE RIO COM FORNECIMENTO DO MATERIAL, TRANSPORTE E
LANÇAMENTO</t>
    </r>
  </si>
  <si>
    <r>
      <rPr>
        <sz val="10"/>
        <rFont val="Arial"/>
        <charset val="134"/>
      </rPr>
      <t>PREPARO DE FUNDO DE VALA COM LARGURA MENOR QUE 1,5 M (ACERTO DO SOLO NATURAL).
AF_08/2020</t>
    </r>
  </si>
  <si>
    <r>
      <rPr>
        <sz val="10"/>
        <rFont val="Arial"/>
        <charset val="134"/>
      </rPr>
      <t>MANÔMETRO 0 A 200 PSI (0 A 14 KGF/CM2), D = 50MM
- FORNECIMENTO E INSTALAÇÃO. AF_10/2020</t>
    </r>
  </si>
  <si>
    <r>
      <rPr>
        <sz val="10"/>
        <rFont val="Arial"/>
        <charset val="134"/>
      </rPr>
      <t>REATERRO MECANIZADO DE VALA COM ESCAVADEIRA HIDRÁULICA (CAPACIDADE DA CAÇAMBA: 0,8 M³/POTÊNCIA: 111 HP), LARGURA DE 1,5 A 2,5 M, PROFUNDIDADE ATÉ 1,5 M, COM SOLO (SEM SUBSTITUIÇÃO) DE 1ª CATEGORIA, COM COMPACTADOR DE SOLOS DE PERCUSSÃO.
AF_08/2023</t>
    </r>
  </si>
  <si>
    <r>
      <rPr>
        <sz val="10"/>
        <rFont val="Arial"/>
        <charset val="134"/>
      </rPr>
      <t>EXECUÇÃO DE JUNTA SOLDADA POR TERMOFUSÃO, DE TUBO OU CONEXÃO EM PEAD LISO PARA REDE DE ÁGUA OU ESGOTO, DIÂMETRO DE 160 MM (NÃO INCLUI O FORNECIMENTO DE TUBO E CONEXÃO).
AF_12/2021</t>
    </r>
  </si>
  <si>
    <r>
      <rPr>
        <sz val="10"/>
        <rFont val="Arial"/>
        <charset val="134"/>
      </rPr>
      <t>TORNEIRA DE BOIA PARA CAIXA D'ÁGUA, ROSCÁVEL, 1 1/2" - FORNECIMENTO E INSTALAÇÃO.
AF_08/2021</t>
    </r>
  </si>
  <si>
    <r>
      <rPr>
        <sz val="10"/>
        <rFont val="Arial"/>
        <charset val="134"/>
      </rPr>
      <t>REATERRO MANUAL DE VALAS, COM COMPACTADOR DE SOLOS DE PERCUSSÃO.
AF_08/2023</t>
    </r>
  </si>
  <si>
    <r>
      <rPr>
        <sz val="10"/>
        <rFont val="Arial"/>
        <charset val="134"/>
      </rPr>
      <t>TUBO, PVC, SOLDÁVEL, DE 50MM, INSTALADO EM RAMAL DE DISTRIBUIÇÃO DE ÁGUA -
FORNECIMENTO E INSTALAÇÃO. AF_06/2022</t>
    </r>
  </si>
  <si>
    <r>
      <rPr>
        <sz val="10"/>
        <rFont val="Arial"/>
        <charset val="134"/>
      </rPr>
      <t>BLOCO DE CONCRETO ARMADO (30X40X60 CM) PARA FIXAÇÃO DO PILAR (MOURÃO) DE CONCRETO
DO PORTÃO DA CERCA DE CONCRETO. AF. 06/2017</t>
    </r>
  </si>
  <si>
    <r>
      <rPr>
        <sz val="10"/>
        <rFont val="Arial"/>
        <charset val="134"/>
      </rPr>
      <t>CAIXA EM CONCRETO PRÉ-MOLDADO PARA ABRIGO DE HIDRÔMETRO COM DN 20 MM - FORNECIMENTO
E INSTALAÇÃO. AF_03/2024</t>
    </r>
  </si>
  <si>
    <r>
      <rPr>
        <sz val="10"/>
        <rFont val="Arial"/>
        <charset val="134"/>
      </rPr>
      <t>HIDRÔMETRO UNIJATO COM CORPO EM COBRE (CLASSE: B / DIÂMETRO NOMINAL: 3/4" OU 20 MM /
VAZÃO MÁXIMA: 1,5 M³/H / COMPRIMENTO: 115 MM)</t>
    </r>
  </si>
  <si>
    <r>
      <rPr>
        <sz val="10"/>
        <rFont val="Arial"/>
        <charset val="134"/>
      </rPr>
      <t>CARGA, MANOBRA E DESCARGA DE ENTULHO EM CAMINHÃO BASCULANTE 6 M³ - CARGA COM ESCAVADEIRA HIDRÁULICA (CAÇAMBA DE 0,80 M³ / 111 HP) E DESCARGA LIVRE (UNIDADE: M3).
AF_07/2020</t>
    </r>
  </si>
  <si>
    <r>
      <rPr>
        <sz val="10"/>
        <rFont val="Arial"/>
        <charset val="134"/>
      </rPr>
      <t>TRANSPORTE COM CAMINHÃO BASCULANTE DE 6 M³, EM VIA URBANA PAVIMENTADA, ADICIONAL PARA DMT EXCEDENTE A 30 KM (UNIDADE: M3XKM).
AF_07/2020</t>
    </r>
  </si>
  <si>
    <r>
      <rPr>
        <sz val="10"/>
        <rFont val="Arial"/>
        <charset val="134"/>
      </rPr>
      <t>ASSENTAMENTO DE TUBO DE FERRO FUNDIDO PARA REDE DE ÁGUA, DN 150 MM, JUNTA ELÁSTICA, INSTALADO EM LOCAL COM NÍVEL BAIXO DE INTERFERÊNCIAS (NÃO INCLUI FORNECIMENTO).
AF_05/2024</t>
    </r>
  </si>
  <si>
    <r>
      <rPr>
        <sz val="10"/>
        <rFont val="Arial"/>
        <charset val="134"/>
      </rPr>
      <t>ASSENTAMENTO DE TUBO DE FERRO FUNDIDO PARA REDE DE ÁGUA, DN 600 MM, JUNTA ELÁSTICA, INSTALADO EM LOCAL COM NÍVEL BAIXO DE INTERFERÊNCIAS (NÃO INCLUI FORNECIMENTO).
AF_05/2024</t>
    </r>
  </si>
  <si>
    <r>
      <rPr>
        <sz val="10"/>
        <rFont val="Arial"/>
        <charset val="134"/>
      </rPr>
      <t>ASSENTAMENTO DE CONEXÃO COM 2 ACESSOS, EM PEAD LISO PARA REDE DE ÁGUA OU ESGOTO, DIÂMETRO DE 90 MM, JUNTA SOLDADA (NÃO INCLUI O FORNECIMENTO E EXECUÇÃO DE SOLDA).
AF_12/2021</t>
    </r>
  </si>
  <si>
    <r>
      <rPr>
        <sz val="10"/>
        <rFont val="Arial"/>
        <charset val="134"/>
      </rPr>
      <t>ASSENTAMENTO DE TUBO DE FERRO FUNDIDO PARA REDE DE ÁGUA, DN 200 MM, JUNTA ELÁSTICA, INSTALADO EM LOCAL COM NÍVEL BAIXO DE INTERFERÊNCIAS (NÃO INCLUI FORNECIMENTO).
AF_05/2024</t>
    </r>
  </si>
  <si>
    <r>
      <rPr>
        <sz val="10"/>
        <rFont val="Arial"/>
        <charset val="134"/>
      </rPr>
      <t>ESCAVAÇÃO MECANIZADA DE VALA COM PROF. ATÉ 1,5 M (MÉDIA MONTANTE E JUSANTE/UMA COMPOSIÇÃO POR TRECHO), ESCAVADEIRA (0,8 M3), LARG. DE 1,5 M A 2,5 M, EM SOLO DE 1A CATEGORIA, LOCAIS COM BAIXO NÍVEL DE
INTERFERÊNCIA. AF_09/2024</t>
    </r>
  </si>
  <si>
    <r>
      <rPr>
        <sz val="10"/>
        <rFont val="Arial"/>
        <charset val="134"/>
      </rPr>
      <t>ESCAVAÇÃO MECANIZADA DE VALA COM PROF. ATÉ 1,5 M (MÉDIA MONTANTE E JUSANTE/UMA COMPOSIÇÃO POR TRECHO), ESCAVADEIRA (0,8 M3), LARG. DE 1,5 M A 2,5 M, EM SOLO DE 2A CATEGORIA, LOCAIS COM BAIXO NÍVEL DE
INTERFERÊNCIA. AF_09/2024</t>
    </r>
  </si>
  <si>
    <t>Origem</t>
  </si>
  <si>
    <t>Índice/Qtd</t>
  </si>
  <si>
    <t>R$ Unit.</t>
  </si>
  <si>
    <t>R$ Total.</t>
  </si>
  <si>
    <t>Indice x Quantidade</t>
  </si>
  <si>
    <t>001</t>
  </si>
  <si>
    <t>002</t>
  </si>
  <si>
    <t>003</t>
  </si>
  <si>
    <t>0173003001001</t>
  </si>
  <si>
    <t>CA0782</t>
  </si>
  <si>
    <t>004</t>
  </si>
  <si>
    <t>005</t>
  </si>
  <si>
    <t>006</t>
  </si>
  <si>
    <t>007</t>
  </si>
  <si>
    <t>008</t>
  </si>
  <si>
    <t>009</t>
  </si>
  <si>
    <t>010</t>
  </si>
  <si>
    <t>011</t>
  </si>
  <si>
    <t>012</t>
  </si>
  <si>
    <t>1251003008004</t>
  </si>
  <si>
    <t>CA1073</t>
  </si>
  <si>
    <t>INFRAESTRUTURA BÁSICA PARA FISCALIZAÇÃO INCLUINDO NO MÍNIMO OS ITENS A SEGUIR: MÓVEIS E EQUIPAMENTOS  (DUAS MESAS, QUATRO CADEIRAS, UM PURIFICADOR DE ÁGUA, UM APARELHO DE AR CONDICIONADO 7500 BTUS, UM NOTEBOOK INTEL CORE I7, 12GB, SSD 256GB, TELA COM RESOLUÇÃO MÍNIMA 1920X1080P, WINDOWS 10 OU VERSÕES SUPERIORES, COM PACOTE
MICROSOFT OFFICE 360 E ACESSO À INTERNET).</t>
  </si>
  <si>
    <t>013</t>
  </si>
  <si>
    <t>014</t>
  </si>
  <si>
    <t>015</t>
  </si>
  <si>
    <t>016</t>
  </si>
  <si>
    <t>017</t>
  </si>
  <si>
    <t>018</t>
  </si>
  <si>
    <t>019</t>
  </si>
  <si>
    <t>020</t>
  </si>
  <si>
    <t>021</t>
  </si>
  <si>
    <t>022</t>
  </si>
  <si>
    <t>VÁLVULA DE FLUXO ANULAR FLANGEADA DE FERRO FUNDIDO DÚCTIL COM CUNHA DE BORRACHA E ACIONAMENTO POR ATUADOR ELÉTRICO - TEMPO DE</t>
  </si>
  <si>
    <t>FECHAMENTO: 180S (CLASSE DE PRESSÃO: 10 KGF/CM² / DIÂMETRO DA SEÇÃO: 200 MM).</t>
  </si>
  <si>
    <t>023</t>
  </si>
  <si>
    <t>024</t>
  </si>
  <si>
    <t>025</t>
  </si>
  <si>
    <t>026</t>
  </si>
  <si>
    <t>027</t>
  </si>
  <si>
    <t>028</t>
  </si>
  <si>
    <t>029</t>
  </si>
  <si>
    <t>030</t>
  </si>
  <si>
    <t>031</t>
  </si>
  <si>
    <t>032</t>
  </si>
  <si>
    <t>033</t>
  </si>
  <si>
    <t>034</t>
  </si>
  <si>
    <t>035</t>
  </si>
  <si>
    <t>036</t>
  </si>
  <si>
    <t>037</t>
  </si>
  <si>
    <t>038</t>
  </si>
  <si>
    <t>039</t>
  </si>
  <si>
    <t>040</t>
  </si>
  <si>
    <t>041</t>
  </si>
  <si>
    <t>042</t>
  </si>
  <si>
    <t>043</t>
  </si>
  <si>
    <t>044</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</si>
  <si>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</si>
  <si>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</si>
  <si>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</si>
  <si>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</si>
  <si>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</si>
  <si>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</si>
  <si>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</si>
  <si>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</si>
  <si>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</si>
  <si>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</si>
  <si>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</si>
  <si>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</si>
  <si>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</si>
  <si>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</si>
  <si>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</si>
  <si>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</si>
  <si>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</si>
  <si>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</si>
  <si>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</si>
  <si>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</si>
  <si>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</si>
  <si>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</si>
  <si>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</si>
  <si>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</si>
  <si>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</si>
  <si>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</si>
  <si>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</si>
  <si>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</si>
  <si>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</si>
  <si>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</si>
  <si>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</si>
  <si>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</si>
  <si>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</si>
  <si>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</si>
  <si>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</si>
  <si>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</si>
  <si>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</si>
  <si>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</si>
  <si>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</si>
  <si>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</si>
  <si>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</si>
  <si>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</si>
  <si>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</si>
  <si>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</si>
  <si>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</si>
  <si>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</si>
  <si>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</si>
  <si>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</si>
  <si>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</si>
  <si>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</si>
  <si>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</si>
  <si>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</si>
  <si>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</si>
  <si>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</si>
  <si>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099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</si>
  <si>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</si>
  <si>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</si>
  <si>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</si>
  <si>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</si>
  <si>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</si>
  <si>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</si>
  <si>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</si>
  <si>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</si>
  <si>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</si>
  <si>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</si>
  <si>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</si>
  <si>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</si>
  <si>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</si>
  <si>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</si>
  <si>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</si>
  <si>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</si>
  <si>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</si>
  <si>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</si>
  <si>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</si>
  <si>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</si>
  <si>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</si>
  <si>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</si>
  <si>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</si>
  <si>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</si>
  <si>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</si>
  <si>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</si>
  <si>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</si>
  <si>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173006009021</t>
  </si>
  <si>
    <t>SP0778: ADMINISTRAÇÃO LOCAL DA IMPLANTAÇÃO DA SUBADUTORA DE ÁGUA TRATADA SOBRADINHO I 192 -</t>
  </si>
  <si>
    <t>SAT.SB1.192</t>
  </si>
  <si>
    <t>127</t>
  </si>
  <si>
    <t>128</t>
  </si>
  <si>
    <t>129</t>
  </si>
  <si>
    <t>130</t>
  </si>
  <si>
    <t>131</t>
  </si>
  <si>
    <t>CB2088</t>
  </si>
  <si>
    <t>132</t>
  </si>
  <si>
    <t>CA3234</t>
  </si>
  <si>
    <t>133</t>
  </si>
  <si>
    <t>134</t>
  </si>
  <si>
    <t>8001008020005</t>
  </si>
  <si>
    <t>CA0188</t>
  </si>
  <si>
    <t>EXAMES - HORISTA (COLETADO CAIXA - ENCARGOS</t>
  </si>
  <si>
    <t>COMPLEMENTARES)</t>
  </si>
  <si>
    <t>135</t>
  </si>
  <si>
    <t>8001008020020</t>
  </si>
  <si>
    <t>CA0820</t>
  </si>
  <si>
    <t>136</t>
  </si>
  <si>
    <t>CA3239</t>
  </si>
  <si>
    <t>137</t>
  </si>
  <si>
    <t>8001008010002</t>
  </si>
  <si>
    <t>CA0179</t>
  </si>
  <si>
    <t>138</t>
  </si>
  <si>
    <t>139</t>
  </si>
  <si>
    <t>CB1186</t>
  </si>
  <si>
    <t>140</t>
  </si>
  <si>
    <t>CB1640</t>
  </si>
  <si>
    <t>141</t>
  </si>
  <si>
    <t>CA0589</t>
  </si>
  <si>
    <t>142</t>
  </si>
  <si>
    <t>8001508020021</t>
  </si>
  <si>
    <t>CA0924</t>
  </si>
  <si>
    <t>143</t>
  </si>
  <si>
    <t>8001508040044</t>
  </si>
  <si>
    <t>CA0923</t>
  </si>
  <si>
    <t>144</t>
  </si>
  <si>
    <t>145</t>
  </si>
  <si>
    <t>CA3544</t>
  </si>
  <si>
    <t>146</t>
  </si>
  <si>
    <t>CA3550</t>
  </si>
  <si>
    <t>147</t>
  </si>
  <si>
    <t>CA3538</t>
  </si>
  <si>
    <t>ATERRO MECANIZADO DE VALA COM ESCAVADEIRA</t>
  </si>
  <si>
    <t>HIDRÁULICA (CAPACIDADE DA CAÇAMBA: 0,8 M³/POTÊNCIA: 111 HP), LARGURA ATÉ 2,5 M, PROFUNDIDADE DE 3,0 A 6,0 M, COM SOLO ARGILO-ARENOSO. AF_08/2023</t>
  </si>
  <si>
    <t>148</t>
  </si>
  <si>
    <t>CA3714</t>
  </si>
  <si>
    <t>149</t>
  </si>
  <si>
    <t>CA3693</t>
  </si>
  <si>
    <t>150</t>
  </si>
  <si>
    <t>CA3691</t>
  </si>
  <si>
    <t>151</t>
  </si>
  <si>
    <t>CA3707</t>
  </si>
  <si>
    <t>152</t>
  </si>
  <si>
    <t>CA3689</t>
  </si>
  <si>
    <t>153</t>
  </si>
  <si>
    <t>CA3737</t>
  </si>
  <si>
    <t>154</t>
  </si>
  <si>
    <t>CB1638</t>
  </si>
  <si>
    <t>155</t>
  </si>
  <si>
    <t>CA3464</t>
  </si>
  <si>
    <t>156</t>
  </si>
  <si>
    <t>8002008020011</t>
  </si>
  <si>
    <t>CA0206</t>
  </si>
  <si>
    <t>157</t>
  </si>
  <si>
    <t>8002008020009</t>
  </si>
  <si>
    <t>CA0835</t>
  </si>
  <si>
    <t>158</t>
  </si>
  <si>
    <t>8002008020010</t>
  </si>
  <si>
    <t>CA0773</t>
  </si>
  <si>
    <t>EPI - FAMILIA SERVENTE - HORISTA (ENCARGOS</t>
  </si>
  <si>
    <t>COMPLEMENTARES - COLETADO CAIXA)</t>
  </si>
  <si>
    <t>159</t>
  </si>
  <si>
    <t>CB3755</t>
  </si>
  <si>
    <t>160</t>
  </si>
  <si>
    <t>CB5420</t>
  </si>
  <si>
    <t>161</t>
  </si>
  <si>
    <t>CB5396</t>
  </si>
  <si>
    <t>162</t>
  </si>
  <si>
    <t>CB5400</t>
  </si>
  <si>
    <t>163</t>
  </si>
  <si>
    <t>CB5386</t>
  </si>
  <si>
    <t>164</t>
  </si>
  <si>
    <t>CB5424</t>
  </si>
  <si>
    <t>165</t>
  </si>
  <si>
    <t>CB3757</t>
  </si>
  <si>
    <t>166</t>
  </si>
  <si>
    <t>CB5425</t>
  </si>
  <si>
    <t>167</t>
  </si>
  <si>
    <t>CB5401</t>
  </si>
  <si>
    <t>168</t>
  </si>
  <si>
    <t>CA3529</t>
  </si>
  <si>
    <t>169</t>
  </si>
  <si>
    <t>CA3523</t>
  </si>
  <si>
    <t>REATERRO MECANIZADO DE VALA COM ESCAVADEIRA HIDRÁULICA (CAPACIDADE DA CAÇAMBA: 0,8 M³/POTÊNCIA: 111 HP), LARGURA 1,5 A 2,5 M, PROFUNDIDADE 3,0 A 6,0 M, COM SOLO (SEM SUBSTITUIÇÃO) DE 1ª CATEGORIA, COM COMPACTADOR DE SOLOS DE PERCUSSÃO.</t>
  </si>
  <si>
    <t>AF_08/2023</t>
  </si>
  <si>
    <t>170</t>
  </si>
  <si>
    <t>CA3515</t>
  </si>
  <si>
    <t>171</t>
  </si>
  <si>
    <t>CA3520</t>
  </si>
  <si>
    <t>172</t>
  </si>
  <si>
    <t>CA3517</t>
  </si>
  <si>
    <t>173</t>
  </si>
  <si>
    <t>CA3534</t>
  </si>
  <si>
    <t>174</t>
  </si>
  <si>
    <t>CA3763</t>
  </si>
  <si>
    <t>175</t>
  </si>
  <si>
    <t>CA3778</t>
  </si>
  <si>
    <t>176</t>
  </si>
  <si>
    <t>CA3785</t>
  </si>
  <si>
    <t>177</t>
  </si>
  <si>
    <t>CA3786</t>
  </si>
  <si>
    <t>178</t>
  </si>
  <si>
    <t>CA3666</t>
  </si>
  <si>
    <t>179</t>
  </si>
  <si>
    <t>CA3753</t>
  </si>
  <si>
    <t>180</t>
  </si>
  <si>
    <t>181</t>
  </si>
  <si>
    <t>CA4063</t>
  </si>
  <si>
    <t>182</t>
  </si>
  <si>
    <t>CA4016</t>
  </si>
  <si>
    <t>183</t>
  </si>
  <si>
    <t>CA4003</t>
  </si>
  <si>
    <t>184</t>
  </si>
  <si>
    <t>CA4002</t>
  </si>
  <si>
    <t>185</t>
  </si>
  <si>
    <t>CA4005</t>
  </si>
  <si>
    <t>186</t>
  </si>
  <si>
    <t>CA4004</t>
  </si>
  <si>
    <t>187</t>
  </si>
  <si>
    <t>CB5215</t>
  </si>
  <si>
    <t>188</t>
  </si>
  <si>
    <t>CB5207</t>
  </si>
  <si>
    <t>189</t>
  </si>
  <si>
    <t>CA9735</t>
  </si>
  <si>
    <t>190</t>
  </si>
  <si>
    <t>191</t>
  </si>
  <si>
    <t>CA9916</t>
  </si>
  <si>
    <t>192</t>
  </si>
  <si>
    <t>193</t>
  </si>
  <si>
    <t>CB6044</t>
  </si>
  <si>
    <t>194</t>
  </si>
  <si>
    <t>CA4409</t>
  </si>
  <si>
    <t>195</t>
  </si>
  <si>
    <t>CA4410</t>
  </si>
  <si>
    <t>196</t>
  </si>
  <si>
    <t>CA4407</t>
  </si>
  <si>
    <t>197</t>
  </si>
  <si>
    <t>CA4408</t>
  </si>
  <si>
    <t>198</t>
  </si>
  <si>
    <t>8004008065024</t>
  </si>
  <si>
    <t>CB3127</t>
  </si>
  <si>
    <t>199</t>
  </si>
  <si>
    <t>CA0603</t>
  </si>
  <si>
    <t>200</t>
  </si>
  <si>
    <t>CB5467</t>
  </si>
  <si>
    <t>201</t>
  </si>
  <si>
    <t>8004008025010</t>
  </si>
  <si>
    <t>CA0312</t>
  </si>
  <si>
    <t>202</t>
  </si>
  <si>
    <t>CA4461</t>
  </si>
  <si>
    <t>203</t>
  </si>
  <si>
    <t>CB5027</t>
  </si>
  <si>
    <t>204</t>
  </si>
  <si>
    <t>CB4595</t>
  </si>
  <si>
    <t>205</t>
  </si>
  <si>
    <t>8004008020001</t>
  </si>
  <si>
    <t>CA0300</t>
  </si>
  <si>
    <t>206</t>
  </si>
  <si>
    <t>CB4776</t>
  </si>
  <si>
    <t>207</t>
  </si>
  <si>
    <t>208</t>
  </si>
  <si>
    <t>CB1915</t>
  </si>
  <si>
    <t>209</t>
  </si>
  <si>
    <t>CB1924</t>
  </si>
  <si>
    <t>FERRAMENTAS - FAMILIA OPERADOR ESCAVADEIRA - HORISTA (ENCARGOS COMPLEMENTARES - COLETADO</t>
  </si>
  <si>
    <t>CAIXA)</t>
  </si>
  <si>
    <t>210</t>
  </si>
  <si>
    <t>CB1913</t>
  </si>
  <si>
    <t>211</t>
  </si>
  <si>
    <t>CA4877</t>
  </si>
  <si>
    <t>212</t>
  </si>
  <si>
    <t>CA4879</t>
  </si>
  <si>
    <t>213</t>
  </si>
  <si>
    <t>CA4881</t>
  </si>
  <si>
    <t>CAMINHAO TOCO, PESO BRUTO TOTAL 16000 KG, CARGA UTIL MAXIMA 11030 KG, DISTANCIA ENTRE EIXOS 5,41 M, POTENCIA 185 CV (INCLUI CABINE E CHASSI, NAO INCLUI</t>
  </si>
  <si>
    <t>CARROCERIA)</t>
  </si>
  <si>
    <t>214</t>
  </si>
  <si>
    <t>CA4885</t>
  </si>
  <si>
    <t>215</t>
  </si>
  <si>
    <t>CA4886</t>
  </si>
  <si>
    <t>216</t>
  </si>
  <si>
    <t>CA4876</t>
  </si>
  <si>
    <t>217</t>
  </si>
  <si>
    <t>CA4900</t>
  </si>
  <si>
    <t>218</t>
  </si>
  <si>
    <t>CA4902</t>
  </si>
  <si>
    <t>219</t>
  </si>
  <si>
    <t>CA5004</t>
  </si>
  <si>
    <t>220</t>
  </si>
  <si>
    <t>CA5005</t>
  </si>
  <si>
    <t>221</t>
  </si>
  <si>
    <t>CA4863</t>
  </si>
  <si>
    <t>222</t>
  </si>
  <si>
    <t>CA4867</t>
  </si>
  <si>
    <t>223</t>
  </si>
  <si>
    <t>CA5015</t>
  </si>
  <si>
    <t>224</t>
  </si>
  <si>
    <t>CA4870</t>
  </si>
  <si>
    <t>225</t>
  </si>
  <si>
    <t>8004508283066</t>
  </si>
  <si>
    <t>CB3177</t>
  </si>
  <si>
    <t>226</t>
  </si>
  <si>
    <t>8004508283005</t>
  </si>
  <si>
    <t>CA9372</t>
  </si>
  <si>
    <t>227</t>
  </si>
  <si>
    <t>8004508130031</t>
  </si>
  <si>
    <t>CB3197</t>
  </si>
  <si>
    <t>228</t>
  </si>
  <si>
    <t>8004508130018</t>
  </si>
  <si>
    <t>CB3208</t>
  </si>
  <si>
    <t>229</t>
  </si>
  <si>
    <t>8004508135033</t>
  </si>
  <si>
    <t>CA9375</t>
  </si>
  <si>
    <t>230</t>
  </si>
  <si>
    <t>8004508135038</t>
  </si>
  <si>
    <t>CB3171</t>
  </si>
  <si>
    <t>231</t>
  </si>
  <si>
    <t>CA4814</t>
  </si>
  <si>
    <t>232</t>
  </si>
  <si>
    <t>233</t>
  </si>
  <si>
    <t>CA5136</t>
  </si>
  <si>
    <t>234</t>
  </si>
  <si>
    <t>8005008010081</t>
  </si>
  <si>
    <t>CA9301</t>
  </si>
  <si>
    <t>235</t>
  </si>
  <si>
    <t>CB4429</t>
  </si>
  <si>
    <t>236</t>
  </si>
  <si>
    <t>8005008010085</t>
  </si>
  <si>
    <t>CB1417</t>
  </si>
  <si>
    <t>237</t>
  </si>
  <si>
    <t>CA5295</t>
  </si>
  <si>
    <t>238</t>
  </si>
  <si>
    <t>CB5038</t>
  </si>
  <si>
    <t>239</t>
  </si>
  <si>
    <t>240</t>
  </si>
  <si>
    <t>8005508100001</t>
  </si>
  <si>
    <t>CA0879</t>
  </si>
  <si>
    <t>241</t>
  </si>
  <si>
    <t>CA5346</t>
  </si>
  <si>
    <t>242</t>
  </si>
  <si>
    <t>CA5345</t>
  </si>
  <si>
    <t>243</t>
  </si>
  <si>
    <t>244</t>
  </si>
  <si>
    <t>CA5646</t>
  </si>
  <si>
    <t>245</t>
  </si>
  <si>
    <t>CA5614</t>
  </si>
  <si>
    <t>246</t>
  </si>
  <si>
    <t>247</t>
  </si>
  <si>
    <t>CA6040</t>
  </si>
  <si>
    <t>248</t>
  </si>
  <si>
    <t>CA6367</t>
  </si>
  <si>
    <t>249</t>
  </si>
  <si>
    <t>250</t>
  </si>
  <si>
    <t>CB4801</t>
  </si>
  <si>
    <t>251</t>
  </si>
  <si>
    <t>CB4806</t>
  </si>
  <si>
    <t>ARAME RECOZIDO 16 BWG, D = 1,65 MM (0,016 KG/M) OU 18</t>
  </si>
  <si>
    <t>BWG, D = 1,25 MM (0,01 KG/M)</t>
  </si>
  <si>
    <t>252</t>
  </si>
  <si>
    <t>CB5699</t>
  </si>
  <si>
    <t>253</t>
  </si>
  <si>
    <t>254</t>
  </si>
  <si>
    <t>CA7079</t>
  </si>
  <si>
    <t>255</t>
  </si>
  <si>
    <t>CB1218</t>
  </si>
  <si>
    <t>256</t>
  </si>
  <si>
    <t>CA0984</t>
  </si>
  <si>
    <t>257</t>
  </si>
  <si>
    <t>CA0843</t>
  </si>
  <si>
    <t>258</t>
  </si>
  <si>
    <t>CB5563</t>
  </si>
  <si>
    <t>259</t>
  </si>
  <si>
    <t>CA7081</t>
  </si>
  <si>
    <t>260</t>
  </si>
  <si>
    <t>CA7083</t>
  </si>
  <si>
    <t>261</t>
  </si>
  <si>
    <t>CA0853</t>
  </si>
  <si>
    <t>262</t>
  </si>
  <si>
    <t>CA7072</t>
  </si>
  <si>
    <t>263</t>
  </si>
  <si>
    <t>264</t>
  </si>
  <si>
    <t>CA7259</t>
  </si>
  <si>
    <t>265</t>
  </si>
  <si>
    <t>CA0977</t>
  </si>
  <si>
    <t>266</t>
  </si>
  <si>
    <t>CB5237</t>
  </si>
  <si>
    <t>267</t>
  </si>
  <si>
    <t>CA8585</t>
  </si>
  <si>
    <t>268</t>
  </si>
  <si>
    <t>CB5774</t>
  </si>
  <si>
    <t>269</t>
  </si>
  <si>
    <t>270</t>
  </si>
  <si>
    <t>271</t>
  </si>
  <si>
    <t>272</t>
  </si>
  <si>
    <t>CB1227</t>
  </si>
  <si>
    <t>273</t>
  </si>
  <si>
    <t>CB1229</t>
  </si>
  <si>
    <t>274</t>
  </si>
  <si>
    <t>CB1228</t>
  </si>
  <si>
    <t>275</t>
  </si>
  <si>
    <t>CB1230</t>
  </si>
  <si>
    <t>276</t>
  </si>
  <si>
    <t>CB2503</t>
  </si>
  <si>
    <t>277</t>
  </si>
  <si>
    <t>CB2501</t>
  </si>
  <si>
    <t>278</t>
  </si>
  <si>
    <t>CB2502</t>
  </si>
  <si>
    <t>SEGURO - HORISTA (COLETADO CAIXA - ENCARGOS</t>
  </si>
  <si>
    <t>279</t>
  </si>
  <si>
    <t>280</t>
  </si>
  <si>
    <t>8101008010056</t>
  </si>
  <si>
    <t>CB1685</t>
  </si>
  <si>
    <t>281</t>
  </si>
  <si>
    <t>282</t>
  </si>
  <si>
    <t>283</t>
  </si>
  <si>
    <t>284</t>
  </si>
  <si>
    <t>285</t>
  </si>
  <si>
    <t>286</t>
  </si>
  <si>
    <t>287</t>
  </si>
  <si>
    <t>288</t>
  </si>
  <si>
    <t>289</t>
  </si>
  <si>
    <t>290</t>
  </si>
  <si>
    <t>291</t>
  </si>
  <si>
    <t>CA1928</t>
  </si>
  <si>
    <t>292</t>
  </si>
  <si>
    <t>CA2399</t>
  </si>
  <si>
    <t>Item: 003</t>
  </si>
  <si>
    <t>Serviço: RECURSOS MATERIAIS PARA ADMINISTRAÇÃO LOCAL (MATERIAIS DE CONSUMO, ÁGUA, ENERGIA ELÉTRICA E COMUNICAÇÃO) - TIPO 2</t>
  </si>
  <si>
    <t>Unidade: MES</t>
  </si>
  <si>
    <t>Custo Unitário</t>
  </si>
  <si>
    <t>Custo Total</t>
  </si>
  <si>
    <t>0127000123002 - SALÁRIO MÍNIMO NACIONAL 2025 SEM ENCARGOS SOCIAIS</t>
  </si>
  <si>
    <t>Total + Encargos</t>
  </si>
  <si>
    <t>Preço de Custo</t>
  </si>
  <si>
    <t>Bonificação e despesas indiretas(%)</t>
  </si>
  <si>
    <t>Preço de Venda</t>
  </si>
  <si>
    <t>Item: 012</t>
  </si>
  <si>
    <t>Serviço: INFRAESTRUTURA BÁSICA PARA FISCALIZAÇÃO INCLUINDO NO MÍNIMO OS ITENS A SEGUIR: MÓVEIS E EQUIPAMENTOS  (DUAS MESAS, QUATRO CADEIRAS, UM PURIFICADOR DE ÁGUA, UM APARELHO DE AR CONDICIONADO 7500 BTUS, UM NOTEBOOK INTEL CORE I7, 12GB, SSD 256GB, TELA COM RESOLUÇÃO MÍNIMA 1920X1080P, WINDOWS 10 OU VERSÕES SUPERIORES, COM PACOTE MICROSOFT OFFICE 360 E ACESSO À INTERNET).</t>
  </si>
  <si>
    <t>Materiais</t>
  </si>
  <si>
    <t>2202005001SI424 - AR CONDICIONADO SPLIT INVERTER, HI-WALL (PAREDE), 9000 BTU/H, CICLO FRIO, 60HZ, CLASSIFICACAO A (SELO PROCEL), GAS HFC, CONTROLE S/FIO</t>
  </si>
  <si>
    <t>1252003001007 - CADEIRA DE ESCRITÓRIO VOLANTE GIRATÓRIA</t>
  </si>
  <si>
    <t>1255503002002 - MESA PARA ESCRITÓRIO (1,20X0,60M)</t>
  </si>
  <si>
    <t>2208105001007 - NOTEBOOK INTEL CORE I7, 12GB, SSD 256GB, TELA COM RESOLUÇÃO MÍNIMA 1920X1080P, WINDOWS 10 OU VERSÕES SUPERIORES</t>
  </si>
  <si>
    <t>0134410001001 - PACOTE DE INTERNET FIBRA COM, NO MÍNIMO, 1 GB</t>
  </si>
  <si>
    <t>0105003004001 - PURIFICADOR DE ÁGUA</t>
  </si>
  <si>
    <t>Item: 126</t>
  </si>
  <si>
    <t>Serviço: SP0778: ADMINISTRAÇÃO LOCAL DA IMPLANTAÇÃO DA SUBADUTORA DE ÁGUA TRATADA SOBRADINHO I 192 - SAT.SB1.192</t>
  </si>
  <si>
    <t>Unidade: UN</t>
  </si>
  <si>
    <t>0127000200SI100534 - TECNICO DE EDIFICACOES COM ENCARGOS COMPLEMENTARES</t>
  </si>
  <si>
    <t>0127000200SI100321 - TÉCNICO EM SEGURANÇA DO TRABALHO COM ENCARGOS COMPLEMENTARES</t>
  </si>
  <si>
    <t>0127000200SI100289 - VIGIA DIURNO COM ENCARGOS COMPLEMENTARES</t>
  </si>
  <si>
    <t>0127000056005 - VIGIA NOTURNO COM ENCARGOS COMPLEMENTARES</t>
  </si>
  <si>
    <t>0127000200SI93563 - ALMOXARIFE COM ENCARGOS COMPLEMENTARES</t>
  </si>
  <si>
    <t>0127000200SI101388 - AUXILIAR DE SERVIÇOS GERAIS COM ENCARGOS COMPLEMENTARES</t>
  </si>
  <si>
    <t>0127000200SI93572 - ENCARREGADO GERAL DE OBRAS COM ENCARGOS COMPLEMENTARES</t>
  </si>
  <si>
    <t>0127000200SI93567 - ENGENHEIRO CIVIL DE OBRA PLENO COM ENCARGOS COMPLEMENTARES</t>
  </si>
  <si>
    <t>Item: 128</t>
  </si>
  <si>
    <t>Serviço: PINTURA DE FUNDO COM TINTA ANTICORROSIVA À BASE DE EPÓXI POLIAMIDA DE DOIS COMPONENTES COM PISTOLA AIRLESS, UMA DEMÃO, ESPESSURA DE 100 µM - EM ESPAÇO CONFINADO</t>
  </si>
  <si>
    <t>Unidade: M2</t>
  </si>
  <si>
    <t>8900103002SCM3520 - TINTA ANTICORROSIVA À BASE DE RESINA EPÓXI POLIAMIDA BICOMPONENTE</t>
  </si>
  <si>
    <t>8900103002SCM1920 - DUTO FLEXÍVEL DE POLIÉSTER ALUMINIZADO SEM ISOLAMENTO PARA EXAUSTÃO - D = 263 MM</t>
  </si>
  <si>
    <t>0127000200SI88243 - AJUDANTE ESPECIALIZADO COM ENCARGOS COMPLEMENTARES</t>
  </si>
  <si>
    <t>0127000200SI88310 - PINTOR COM ENCARGOS COMPLEMENTARES</t>
  </si>
  <si>
    <t>8002008099SC5914655 - CARGA, MANOBRA E DESCARGA DE MATERIAIS DIVERSOS EM CAMINHÃO CARROCERIA DE 15 T - CARGA E DESCARGA MANUAIS</t>
  </si>
  <si>
    <t>2202019100SCE9263 - TRIPÉ COM GUINCHO PARA ESPAÇO CONFINADO</t>
  </si>
  <si>
    <t>2202019100SCE9267 - EXAUSTOR CENTRÍFUGO ALTA PRESSÃO COM CAPACIDADE DE 35 M³/MIN - 1,47 KW</t>
  </si>
  <si>
    <t>2202019100SCE9264 - RESPIRADOR PURIFICADOR DE AR MOTORIZADO</t>
  </si>
  <si>
    <t>2202019100SCE9260 - DETECTOR DE GASES COM BOMBA ELÉTRICA PARA ESPAÇO CONFINADO</t>
  </si>
  <si>
    <t>2202019100SCE9261 - EQUIPAMENTO DE PINTURA COM PISTOLA AIRLESS - 0,90 KW</t>
  </si>
  <si>
    <t>Item: 131</t>
  </si>
  <si>
    <t>Serviço: INSTALAÇÃO E DESINSTALAÇÃO MECANIZADA DE CONTÊINER OU MÓDULO HABITÁVEL DE USOS DIVERSOS. AF_03/2024</t>
  </si>
  <si>
    <t>0127000200SI88239 - AJUDANTE DE CARPINTEIRO COM ENCARGOS COMPLEMENTARES</t>
  </si>
  <si>
    <t>0127000200SI88262 - CARPINTEIRO DE FORMAS COM ENCARGOS COMPLEMENTARES</t>
  </si>
  <si>
    <t>2202019100SI5928 - GUINDAUTO HIDRÁULICO, CAPACIDADE MÁXIMA DE CARGA 6200 KG, MOMENTO MÁXIMO DE CARGA 11,7 TM, ALCANCE MÁXIMO HORIZONTAL 9,70 M, INCLUSIVE CAMINHÃO TOCO PBT 16.000 KG, POTÊNCIA DE 189 CV - CHP DIURNO. AF_06/2014</t>
  </si>
  <si>
    <t>2202019200SI5930 - GUINDAUTO HIDRÁULICO, CAPACIDADE MÁXIMA DE CARGA 6200 KG, MOMENTO MÁXIMO DE CARGA 11,7 TM, ALCANCE MÁXIMO HORIZONTAL 9,70 M, INCLUSIVE CAMINHÃO TOCO PBT 16.000 KG, POTÊNCIA DE 189 CV - CHI DIURNO. AF_06/2014</t>
  </si>
  <si>
    <t>Item: 132</t>
  </si>
  <si>
    <t>Serviço: TAPUME COM TELHA METÁLICA. AF_03/2024</t>
  </si>
  <si>
    <t>8900103001SI449 - PONTALETE *7,5 X 7,5* CM EM PINUS, MISTA OU EQUIVALENTE DA REGIAO - BRUTA</t>
  </si>
  <si>
    <t>8900103001SI506 - PREGO DE ACO POLIDO COM CABECA 18 X 27 (2 1/2 X 10)</t>
  </si>
  <si>
    <t>8900103001SI619 - TABUA *2,5 X 15 CM EM PINUS, MISTA OU EQUIVALENTE DA REGIAO - BRUTA</t>
  </si>
  <si>
    <t>8900103001SI724 - TELHA TRAPEZOIDAL EM ACO ZINCADO, SEM PINTURA, ALTURA DE APROXIMADAMENTE 40 MM, ESPESSURA DE 0,50 MM E LARGURA UTIL DE 980 MM</t>
  </si>
  <si>
    <t>2202019100SI91692 - SERRA CIRCULAR DE BANCADA COM MOTOR ELÉTRICO POTÊNCIA DE 5HP, COM COIFA PARA DISCO 10 - CHP DIURNO. AF_08/2015</t>
  </si>
  <si>
    <t>2202019200SI91693 - SERRA CIRCULAR DE BANCADA COM MOTOR ELÉTRICO POTÊNCIA DE 5HP, COM COIFA PARA DISCO 10 - CHI DIURNO. AF_08/2015</t>
  </si>
  <si>
    <t>8004008020SI94974 - CONCRETO MAGRO PARA LASTRO, TRAÇO 1:4,5:4,5 (EM MASSA SECA DE CIMENTO/ AREIA MÉDIA/ BRITA 1) - PREPARO MANUAL. AF_05/2021</t>
  </si>
  <si>
    <t>Item: 134</t>
  </si>
  <si>
    <t>Serviço: CADASTRO DE CANALIZAÇÕES CIRCULARES</t>
  </si>
  <si>
    <t>Unidade: M</t>
  </si>
  <si>
    <t>2202010001SI725 - LOCACAO DE NIVEL OPTICO, COM PRECISAO DE 0,7 MM, AUMENTO DE 32X</t>
  </si>
  <si>
    <t>2202010001SI724 - LOCACAO DE TEODOLITO ELETRONICO, PRECISAO ANGULAR DE 5 A 7 SEGUNDOS, INCLUINDO TRIPE</t>
  </si>
  <si>
    <t>2700103001019 - PLOTAGEM/IMPRESSÃO TRAÇO - COLORIDA A4</t>
  </si>
  <si>
    <t>2280019006001 - FURGÃO LEVE, GASOLINA, POTÊNCIA 70 HP (51 KW), CAPACIDADE DE CARGA ÚTIL 0,6 T_ALIMENTAÇÃO A GASOLINA _(62,00KW-G-SMO) #AF_01/2024</t>
  </si>
  <si>
    <t>0127000200SI88253 - AUXILIAR DE TOPÓGRAFO COM ENCARGOS COMPLEMENTARES</t>
  </si>
  <si>
    <t>0127000200SI88288 - NIVELADOR COM ENCARGOS COMPLEMENTARES</t>
  </si>
  <si>
    <t>0127000200SI90775 - DESENHISTA PROJETISTA COM ENCARGOS COMPLEMENTARES</t>
  </si>
  <si>
    <t>0127000200SI90781 - TOPOGRAFO COM ENCARGOS COMPLEMENTARES</t>
  </si>
  <si>
    <t>Item: 135</t>
  </si>
  <si>
    <t>Serviço: FORNECIMENTO E ASSENTAMENTO DE ESTACA TESTEMUNHO EM CONCRETO ARMADO PRÉ-MOLDADO, FCK = 25 MPA DE 0,10X0,10X1,50 M, CRAVADO NO SOLO ATÉ 1,00 M, PINTURA (ALTURA 0,50 M) COM TINTA ACRÍLICA, LOGOTIPOS E INSCRIÇÕES</t>
  </si>
  <si>
    <t>8900103001SI356 - TINTA LATEX ACRILICA ECONOMICA, COR BRANCA</t>
  </si>
  <si>
    <t>8001008020030 - CONFECÇÃO DE ESTACA TESTEMUNHO EM CONCRETO ARMADO PRÉ-MOLDADO, FCK = 25 MPA DE 0,10 X 0,10 X 1,50 M</t>
  </si>
  <si>
    <t>2202019100SCE9093 - VEÍCULO LEVE - 53 KW (SEM MOTORISTA)</t>
  </si>
  <si>
    <t>8002008099SI100948 - TRANSPORTE COM CAMINHÃO CARROCERIA 9T, EM VIA URBANA PAVIMENTADA, ADICIONAL PARA DMT EXCEDENTE A 30 KM (UNIDADE: TXKM). AF_07/2020</t>
  </si>
  <si>
    <t>8002008099SC5914654 - CARGA, MANOBRA E DESCARGA DE MATERIAIS DIVERSOS EM CAMINHÃO CARROCERIA DE 9 T - CARGA E DESCARGA MANUAIS</t>
  </si>
  <si>
    <t>0127000049035 - AUXILIAR DE TOPÓGRAFO COM ENCARGOS COMPLEMENTARES - AF_CAESB</t>
  </si>
  <si>
    <t>Item: 136</t>
  </si>
  <si>
    <t>Serviço: LOCAÇÃO CONVENCIONAL DE OBRA, UTILIZANDO GABARITO DE TÁBUAS CORRIDAS PONTALETADAS A CADA 2,00M -  2 UTILIZAÇÕES. AF_03/2024</t>
  </si>
  <si>
    <t>8900103001SI443 - CAIBRO NAO APARELHADO *6 X 6* CM, EM MACARANDUBA/MASSARANDUBA, ANGELIM OU EQUIVALENTE DA REGIAO - BRUTA</t>
  </si>
  <si>
    <t>8900103001SI506 - PREGO DE ACO POLIDO COM CABECA 17 X 21 (2 X 11)</t>
  </si>
  <si>
    <t>8900103001SI441 - SARRAFO NAO APARELHADO *2,5 X 7* CM, EM MACARANDUBA/MASSARANDUBA, ANGELIM, PEROBA-ROSA OU EQUIVALENTE DA REGIAO - BRUTA</t>
  </si>
  <si>
    <t>8900103001SI105 - TABUA *2,5 X 23* CM EM PINUS, MISTA OU EQUIVALENTE DA REGIAO - BRUTA</t>
  </si>
  <si>
    <t>8900103001SI735 - TINTA LATEX ACRILICA PREMIUM, COR BRANCO FOSCO</t>
  </si>
  <si>
    <t>Item: 137</t>
  </si>
  <si>
    <t>Serviço: LOCAÇÃO E NIVELAMENTO DE REDES DE ÁGUA, COM ELABORAÇÃO DE NOTA DE SERVIÇOS E LEVANTAMENTO NORMAIS</t>
  </si>
  <si>
    <t>Item: 139</t>
  </si>
  <si>
    <t>Serviço: DEMOLIÇÃO DE CONCRETO ARMADO COM MARTELETE E CORTE OXIACETILENO</t>
  </si>
  <si>
    <t>Unidade: M3</t>
  </si>
  <si>
    <t>8900103002SCM13 - PONTEIRO PARA MARTELETE - D = 22 MM E C = 1,00 M</t>
  </si>
  <si>
    <t>0127000200SI88316 - SERVENTE COM ENCARGOS COMPLEMENTARES</t>
  </si>
  <si>
    <t>2202019100SCE9071 - TRANSPORTADOR MANUAL CARRINHO DE MÃO COM CAPACIDADE DE 80 L</t>
  </si>
  <si>
    <t>2202019100SCE9527 - MARTELETE PERFURADOR/ROMPEDOR A AR COMPRIMIDO DE 25 KG PARA ROCHA COM CAPACIDADE DE 2.040 GPM</t>
  </si>
  <si>
    <t>2202019100SCE9629 - COMPRESSOR DE AR PORTÁTIL DE 185,95 L/S (394 PCM) - 81,50 KW</t>
  </si>
  <si>
    <t>8001508040SC1416201 - CORTE DE BARRAS DE AÇO CA-50 COM MAÇARICO OXIACETILENO</t>
  </si>
  <si>
    <t>cm²</t>
  </si>
  <si>
    <t>8002008099SC5915433 - CARGA, MANOBRA E DESCARGA DE MATERIAL DEMOLIDO EM CAMINHÃO BASCULANTE DE 6 M³ - CARGA MANUAL E DESCARGA LIVRE</t>
  </si>
  <si>
    <t>Item: 140</t>
  </si>
  <si>
    <t>Serviço: DEMOLIÇÃO DE PISO DE CONCRETO SIMPLES, DE FORMA MANUAL, SEM REAPROVEITAMENTO. AF_09/2023</t>
  </si>
  <si>
    <t>0127000200SI88309 - PEDREIRO COM ENCARGOS COMPLEMENTARES</t>
  </si>
  <si>
    <t>Item: 141</t>
  </si>
  <si>
    <t>Serviço: ISOLAMENTO DE OBRA COM TELA PLÁSTICA E ESTRUTURA DE MADEIRA PONTALETEADA - COM TELA DE ISOLAMENTO/SINALIZAÇÃO LARANJA MEDINDO 1,20 X 50M NO FORMATO RETANGULAR. REV 06/2017</t>
  </si>
  <si>
    <t>8900103001SI450 - SARRAFO *2,5 X 10* CM EM PINUS, MISTA OU EQUIVALENTE DA REGIAO - BRUTA</t>
  </si>
  <si>
    <t>8900103001SI375 - TELA PLASTICA LARANJA, TIPO TAPUME PARA SINALIZACAO, MALHA RETANGULAR, ROLO 1.20 X 50 M (L X C)</t>
  </si>
  <si>
    <t>Item: 142</t>
  </si>
  <si>
    <t>Serviço: PASSADICOS COM TABUAS DE MADEIRA PARA VEICULOS</t>
  </si>
  <si>
    <t>8900103001SI618 - TABUA NAO APARELHADA *2,5 X 30* CM, EM MACARANDUBA/MASSARANDUBA, ANGELIM OU EQUIVALENTE DA REGIAO - BRUTA</t>
  </si>
  <si>
    <t>Item: 143</t>
  </si>
  <si>
    <t>Serviço: REMOÇÃO DE MEIO-FIO COM APROVEITAMENTO DO MATERIAL</t>
  </si>
  <si>
    <t>Item: 145</t>
  </si>
  <si>
    <t>Serviço: ATERRO MECANIZADO DE VALA COM ESCAVADEIRA HIDRÁULICA (CAPACIDADE DA CAÇAMBA: 0,8 M³/POTÊNCIA: 111 HP), LARGURA ATÉ 2,5 M, PROFUNDIDADE DE 1,5 A 3,0 M, COM AREIA PARA ATERRO. AF_08/2023</t>
  </si>
  <si>
    <t>8900103001SI368 - AREIA PARA ATERRO - POSTO JAZIDA/FORNECEDOR (RETIRADO NA JAZIDA, SEM TRANSPORTE)</t>
  </si>
  <si>
    <t>2202019100SI5631 - ESCAVADEIRA HIDRÁULICA SOBRE ESTEIRAS, CAÇAMBA 0,80 M3, PESO OPERACIONAL 17 T, POTENCIA BRUTA 111 HP - CHP DIURNO. AF_06/2014</t>
  </si>
  <si>
    <t>2202019100SI5901 - CAMINHÃO PIPA 10.000 L TRUCADO, PESO BRUTO TOTAL 23.000 KG, CARGA ÚTIL MÁXIMA 15.935 KG, DISTÂNCIA ENTRE EIXOS 4,8 M, POTÊNCIA 230 CV, INCLUSIVE TANQUE DE AÇO PARA TRANSPORTE DE ÁGUA - CHP DIURNO. AF_06/2014</t>
  </si>
  <si>
    <t>2202019100SI91533 - COMPACTADOR DE SOLOS DE PERCUSSÃO (SOQUETE) COM MOTOR A GASOLINA 4 TEMPOS, POTÊNCIA 4 CV - CHP DIURNO. AF_08/2015</t>
  </si>
  <si>
    <t>2202019200SI5632 - ESCAVADEIRA HIDRÁULICA SOBRE ESTEIRAS, CAÇAMBA 0,80 M3, PESO OPERACIONAL 17 T, POTENCIA BRUTA 111 HP - CHI DIURNO. AF_06/2014</t>
  </si>
  <si>
    <t>2202019200SI5903 - CAMINHÃO PIPA 10.000 L TRUCADO, PESO BRUTO TOTAL 23.000 KG, CARGA ÚTIL MÁXIMA 15.935 KG, DISTÂNCIA ENTRE EIXOS 4,8 M, POTÊNCIA 230 CV, INCLUSIVE TANQUE DE AÇO PARA TRANSPORTE DE ÁGUA - CHI DIURNO. AF_06/2014</t>
  </si>
  <si>
    <t>Item: 146</t>
  </si>
  <si>
    <t>Serviço: ATERRO MECANIZADO DE VALA COM ESCAVADEIRA HIDRÁULICA (CAPACIDADE DA CAÇAMBA: 0,8 M³/POTÊNCIA: 111 HP), LARGURA ATÉ 2,5 M, PROFUNDIDADE DE 3,0 A 6,0 M, COM AREIA PARA ATERRO. AF_08/2023</t>
  </si>
  <si>
    <t>Item: 147</t>
  </si>
  <si>
    <t>Serviço: ATERRO MECANIZADO DE VALA COM ESCAVADEIRA HIDRÁULICA (CAPACIDADE DA CAÇAMBA: 0,8 M³/POTÊNCIA: 111 HP), LARGURA ATÉ 2,5 M, PROFUNDIDADE DE 3,0 A 6,0 M, COM SOLO ARGILO-ARENOSO. AF_08/2023</t>
  </si>
  <si>
    <t>8900103001SI607 - ARGILA, ARGILA VERMELHA OU ARGILA ARENOSA (RETIRADA NA JAZIDA, SEM TRANSPORTE)</t>
  </si>
  <si>
    <t>Item: 148</t>
  </si>
  <si>
    <t>Serviço: CARGA DE MISTURA ASFÁLTICA EM CAMINHÃO BASCULANTE 18 M³ (UNIDADE: T). AF_07/2020</t>
  </si>
  <si>
    <t>Unidade: T</t>
  </si>
  <si>
    <t>2202019100SI89883 - CAMINHÃO BASCULANTE 18 M3, COM CAVALO MECÂNICO DE CAPACIDADE MÁXIMA DE TRAÇÃO COMBINADO DE 45000 KG, POTÊNCIA 330 CV, INCLUSIVE SEMIREBOQUE COM CAÇAMBA METÁLICA - CHP DIURNO. AF_12/2014</t>
  </si>
  <si>
    <t>2202019200SI89884 - CAMINHÃO BASCULANTE 18 M3, COM CAVALO MECÂNICO DE CAPACIDADE MÁXIMA DE TRAÇÃO COMBINADO DE 45000 KG, POTÊNCIA 330 CV, INCLUSIVE SEMIREBOQUE COM CAÇAMBA METÁLICA - CHI DIURNO. AF_12/2014</t>
  </si>
  <si>
    <t>Item: 149</t>
  </si>
  <si>
    <t>Serviço: CARGA, MANOBRA E DESCARGA DE ENTULHO EM CAMINHÃO BASCULANTE 14 M³ - CARGA COM ESCAVADEIRA HIDRÁULICA  (CAÇAMBA DE 0,80 M³ / 111 HP) E DESCARGA LIVRE (UNIDADE: M3). AF_07/2020</t>
  </si>
  <si>
    <t>2202019100SI89876 - CAMINHÃO BASCULANTE 14 M3, COM CAVALO MECÂNICO DE CAPACIDADE MÁXIMA DE TRAÇÃO COMBINADO DE 36000 KG, POTÊNCIA 286 CV, INCLUSIVE SEMIREBOQUE COM CAÇAMBA METÁLICA - CHP DIURNO. AF_12/2014</t>
  </si>
  <si>
    <t>2202019200SI89877 - CAMINHÃO BASCULANTE 14 M3, COM CAVALO MECÂNICO DE CAPACIDADE MÁXIMA DE TRAÇÃO COMBINADO DE 36000 KG, POTÊNCIA 286 CV, INCLUSIVE SEMIREBOQUE COM CAÇAMBA METÁLICA - CHI DIURNO. AF_12/2014</t>
  </si>
  <si>
    <t>Item: 150</t>
  </si>
  <si>
    <t>Serviço: CARGA, MANOBRA E DESCARGA DE ENTULHO EM CAMINHÃO BASCULANTE 6 M³ - CARGA COM ESCAVADEIRA HIDRÁULICA  (CAÇAMBA DE 0,80 M³ / 111 HP) E DESCARGA LIVRE (UNIDADE: M3). AF_07/2020</t>
  </si>
  <si>
    <t>2202019100SI67826 - CAMINHÃO BASCULANTE 6 M3 TOCO, PESO BRUTO TOTAL 16.000 KG, CARGA ÚTIL MÁXIMA 11.130 KG, DISTÂNCIA ENTRE EIXOS 5,36 M, POTÊNCIA 185 CV, INCLUSIVE CAÇAMBA METÁLICA - CHP DIURNO. AF_06/2014</t>
  </si>
  <si>
    <t>2202019200SI67827 - CAMINHÃO BASCULANTE 6 M3 TOCO, PESO BRUTO TOTAL 16.000 KG, CARGA ÚTIL MÁXIMA 11.130 KG, DISTÂNCIA ENTRE EIXOS 5,36 M, POTÊNCIA 185 CV, INCLUSIVE CAÇAMBA METÁLICA - CHI DIURNO. AF_06/2014</t>
  </si>
  <si>
    <t>Item: 151</t>
  </si>
  <si>
    <t>Serviço: CARGA, MANOBRA E DESCARGA DE ENTULHO EM CAMINHÃO BASCULANTE 6 M³ - CARGA COM ESCAVADEIRA HIDRÁULICA  (CAÇAMBA DE 0,80 M³ / 111 HP) E DESCARGA LIVRE (UNIDADE: T). AF_07/2020</t>
  </si>
  <si>
    <t>Item: 152</t>
  </si>
  <si>
    <t>Serviço: CARGA, MANOBRA E DESCARGA DE SOLOS E MATERIAIS GRANULARES EM CAMINHÃO BASCULANTE 14 M³ - CARGA COM ESCAVADEIRA HIDRÁULICA (CAÇAMBA DE 1,20 M³ / 155 HP) E DESCARGA LIVRE (UNIDADE: M3). AF_07/2020</t>
  </si>
  <si>
    <t>2202019100SI88907 - ESCAVADEIRA HIDRÁULICA SOBRE ESTEIRAS, CAÇAMBA 1,20 M3, PESO OPERACIONAL 21 T, POTÊNCIA BRUTA 155 HP - CHP DIURNO. AF_06/2014</t>
  </si>
  <si>
    <t>2202019200SI88908 - ESCAVADEIRA HIDRÁULICA SOBRE ESTEIRAS, CAÇAMBA 1,20 M3, PESO OPERACIONAL 21 T, POTÊNCIA BRUTA 155 HP - CHI DIURNO. AF_06/2014</t>
  </si>
  <si>
    <t>Item: 153</t>
  </si>
  <si>
    <t>Serviço: CARGA, MANOBRA E DESCARGA DE TUBOS METÁLICOS, DN 500 MM, EM CAMINHÃO CARROCERIA COM GUINDAUTO (MUNCK) 11,7 TM. AF_07/2020</t>
  </si>
  <si>
    <t>Item: 154</t>
  </si>
  <si>
    <t>Serviço: COMPACTAÇÃO DE VALAS COM ROLO COMPRESSOR. AF_08/2023</t>
  </si>
  <si>
    <t>2202019100SI73436 - ROLO COMPACTADOR VIBRATÓRIO PÉ DE CARNEIRO PARA SOLOS, POTÊNCIA 80 HP, PESO OPERACIONAL SEM/COM LASTRO 7,4 / 8,8 T, LARGURA DE TRABALHO 1,68 M - CHP DIURNO. AF_02/2016</t>
  </si>
  <si>
    <t>2202019200SI93244 - ROLO COMPACTADOR VIBRATÓRIO PÉ DE CARNEIRO PARA SOLOS, POTÊNCIA 80 HP, PESO OPERACIONAL SEM/COM LASTRO 7,4 / 8,8 T, LARGURA DE TRABALHO 1,68 M - CHI DIURNO. AF_02/2016</t>
  </si>
  <si>
    <t>Item: 155</t>
  </si>
  <si>
    <t>Serviço: DESMONTE DE MATERIAL DE 3ª CATEGORIA (BLOCOS DE ROCHAS OU MATACOS), COM MARTELETE PNEUMÁTICO MANUAL - EXCLUSIVE CARGA E TRANSPORTE. AF_03/2021</t>
  </si>
  <si>
    <t>2202019100SI5795 - MARTELETE OU ROMPEDOR PNEUMÁTICO MANUAL, 28 KG, COM SILENCIADOR - CHP DIURNO. AF_07/2016</t>
  </si>
  <si>
    <t>2202019100SI5953 - COMPRESSOR DE AR REBOCÁVEL, VAZÃO 189 PCM, PRESSÃO EFETIVA DE TRABALHO 102 PSI, MOTOR DIESEL, POTÊNCIA 63 CV - CHP DIURNO. AF_06/2015</t>
  </si>
  <si>
    <t>2202019200SI5952 - MARTELETE OU ROMPEDOR PNEUMÁTICO MANUAL, 28 KG, COM SILENCIADOR - CHI DIURNO. AF_07/2016</t>
  </si>
  <si>
    <t>2202019200SI5954 - COMPRESSOR DE AR REBOCÁVEL, VAZÃO 189 PCM, PRESSÃO EFETIVA DE TRABALHO 102 PSI, MOTOR DIESEL, POTÊNCIA 63 CV - CHI DIURNO. AF_06/2015</t>
  </si>
  <si>
    <t>Item: 156</t>
  </si>
  <si>
    <t>Serviço: ESCAVAÇÃO MANUAL DE VALAS EM SOLO COM ÁGUA, PROFUNDIDADE MAIOR QUE 3,00 A 4,50 M. (AF_04/2021)</t>
  </si>
  <si>
    <t>Item: 157</t>
  </si>
  <si>
    <t>Serviço: ESCAVAÇÃO MANUAL DE VALAS EM SOLO MOLE, PROFUNDIDADE ATÉ 1,50 M</t>
  </si>
  <si>
    <t>Item: 158</t>
  </si>
  <si>
    <t>Serviço: ESCAVAÇÃO MANUAL DE VALAS EM SOLO MOLE, PROFUNDIDADE MAIOR QUE 1,50 A 3,00 M. (AF_04/2021)</t>
  </si>
  <si>
    <t>Item: 159</t>
  </si>
  <si>
    <t>Serviço: ESCAVAÇÃO MECANIZADA DE VALA COM PROF. ATÉ 1,5 M (MÉDIA MONTANTE E JUSANTE/UMA COMPOSIÇÃO POR TRECHO), ESCAVADEIRA (0,8 M3), LARG. DE 1,5 M A 2,5 M, EM SOLO DE 1A CATEGORIA, LOCAIS COM BAIXO NÍVEL DE INTERFERÊNCIA. AF_09/2024</t>
  </si>
  <si>
    <t>Item: 160</t>
  </si>
  <si>
    <t>Serviço: ESCAVAÇÃO MECANIZADA DE VALA COM PROF. ATÉ 1,5 M (MÉDIA MONTANTE E JUSANTE/UMA COMPOSIÇÃO POR TRECHO), ESCAVADEIRA (0,8 M3), LARG. DE 1,5 M A 2,5 M, EM SOLO DE 2A CATEGORIA, LOCAIS COM BAIXO NÍVEL DE INTERFERÊNCIA. AF_09/2024</t>
  </si>
  <si>
    <t>Item: 161</t>
  </si>
  <si>
    <t>Serviço: ESCAVAÇÃO MECANIZADA DE VALA COM PROF. ATÉ 1,5 M (MÉDIA MONTANTE E JUSANTE/UMA COMPOSIÇÃO POR TRECHO), ESCAVADEIRA (0,8 M3), LARG. DE 1,5 M A 2,5 M, EM SOLO MOLE, LOCAIS COM BAIXO NÍVEL DE INTERFERÊNCIA. AF_09/2024</t>
  </si>
  <si>
    <t>Item: 162</t>
  </si>
  <si>
    <t>Serviço: ESCAVAÇÃO MECANIZADA DE VALA COM PROF. MAIOR QUE 1,5 M ATÉ 3,0 M (MÉDIA MONTANTE E JUSANTE/UMA COMPOSIÇÃO POR TRECHO),COM ESCAVADEIRA (1,2 M3), LARG. DE 1,5 M A 2,5 M, EM SOLO MOLE, LOCAIS COM BAIXO NÍVEL DE INTERFERÊNCIA. AF_09/2024</t>
  </si>
  <si>
    <t>Item: 163</t>
  </si>
  <si>
    <t>Serviço: ESCAVAÇÃO MECANIZADA DE VALA COM PROF. MAIOR QUE 1,5 M ATÉ 3,0 M (MÉDIA MONTANTE E JUSANTE/UMA COMPOSIÇÃO POR TRECHO),COM ESCAVADEIRA (1,2 M3),LARG. DE 1,5 M A 2,5 M, EM SOLO DE 1A CATEGORIA, LOCAIS COM BAIXO NÍVEL DE INTERFERÊNCIA. AF_09/2024</t>
  </si>
  <si>
    <t>Item: 164</t>
  </si>
  <si>
    <t>Serviço: ESCAVAÇÃO MECANIZADA DE VALA COM PROF. MAIOR QUE 1,5 M ATÉ 3,0 M (MÉDIA MONTANTE E JUSANTE/UMA COMPOSIÇÃO POR TRECHO),COM ESCAVADEIRA (1,2 M3),LARG. DE 1,5 M A 2,5 M, EM SOLO DE 2A CATEGORIA, LOCAIS COM BAIXO NÍVEL DE INTERFERÊNCIA. AF_09/2024</t>
  </si>
  <si>
    <t>Item: 165</t>
  </si>
  <si>
    <t>Serviço: ESCAVAÇÃO MECANIZADA DE VALA COM PROF. MAIOR QUE 3,0 M ATÉ 4,5 M (MÉDIA MONTANTE E JUSANTE/UMA COMPOSIÇÃO POR TRECHO), ESCAVADEIRA (1,2 M3), LARG. DE 1,5 M A 2,5 M, EM SOLO DE 1A CATEGORIA, LOCAIS COM BAIXO NÍVEL DE INTERFERÊNCIA. AF_09/2024</t>
  </si>
  <si>
    <t>Item: 166</t>
  </si>
  <si>
    <t>Serviço: ESCAVAÇÃO MECANIZADA DE VALA COM PROF. MAIOR QUE 3,0 M ATÉ 4,5 M (MÉDIA MONTANTE E JUSANTE/UMA COMPOSIÇÃO POR TRECHO), ESCAVADEIRA (1,2 M3), LARG. DE 1,5 M A 2,5 M, EM SOLO DE 2A CATEGORIA, LOCAIS COM BAIXO NÍVEL DE INTERFERÊNCIA. AF_09/2024</t>
  </si>
  <si>
    <t>Item: 167</t>
  </si>
  <si>
    <t>Serviço: ESCAVAÇÃO MECANIZADA DE VALA COM PROF. MAIOR QUE 3,0 M ATÉ 4,5 M (MÉDIA MONTANTE E JUSANTE/UMA COMPOSIÇÃO POR TRECHO), ESCAVADEIRA (1,2 M3), LARG. DE 1,5 M A 2,5 M, EM SOLO MOLE, LOCAIS COM BAIXO NÍVEL DE INTERFERÊNCIA. AF_09/2024</t>
  </si>
  <si>
    <t>Item: 168</t>
  </si>
  <si>
    <t>Serviço: REATERRO MANUAL DE VALAS, COM COMPACTADOR DE SOLOS DE PERCUSSÃO. AF_08/2023</t>
  </si>
  <si>
    <t>Item: 169</t>
  </si>
  <si>
    <t>Serviço: REATERRO MECANIZADO DE VALA COM ESCAVADEIRA HIDRÁULICA (CAPACIDADE DA CAÇAMBA: 0,8 M³/POTÊNCIA: 111 HP), LARGURA 1,5 A 2,5 M, PROFUNDIDADE 3,0 A 6,0 M, COM SOLO (SEM SUBSTITUIÇÃO) DE 1ª CATEGORIA, COM COMPACTADOR DE SOLOS DE PERCUSSÃO. AF_08/2023</t>
  </si>
  <si>
    <t>Item: 170</t>
  </si>
  <si>
    <t>Serviço: REATERRO MECANIZADO DE VALA COM ESCAVADEIRA HIDRÁULICA (CAPACIDADE DA CAÇAMBA: 0,8 M³/POTÊNCIA: 111 HP), LARGURA ATÉ 1,5 M, PROFUNDIDADE DE 1,5 A 3,0 M, COM SOLO (SEM SUBSTITUIÇÃO) DE 1ª CATEGORIA, COM COMPACTADOR DE SOLOS DE PERCUSSÃO. AF_08/2023</t>
  </si>
  <si>
    <t>Item: 171</t>
  </si>
  <si>
    <t>Serviço: REATERRO MECANIZADO DE VALA COM ESCAVADEIRA HIDRÁULICA (CAPACIDADE DA CAÇAMBA: 0,8 M³/POTÊNCIA: 111 HP), LARGURA ATÉ 1,5 M, PROFUNDIDADE DE 3,0 A 6,0 M, COM SOLO (SEM SUBSTITUIÇÃO) DE 1ª CATEGORIA, COM COMPACTADOR DE SOLOS DE PERCUSSÃO. AF_08/2023</t>
  </si>
  <si>
    <t>Item: 172</t>
  </si>
  <si>
    <t>Serviço: REATERRO MECANIZADO DE VALA COM ESCAVADEIRA HIDRÁULICA (CAPACIDADE DA CAÇAMBA: 0,8 M³/POTÊNCIA: 111 HP), LARGURA DE 1,5 A 2,5 M, PROFUNDIDADE ATÉ 1,5 M, COM SOLO (SEM SUBSTITUIÇÃO) DE 1ª CATEGORIA, COM COMPACTADOR DE SOLOS DE PERCUSSÃO. AF_08/2023</t>
  </si>
  <si>
    <t>Item: 173</t>
  </si>
  <si>
    <t>Serviço: REATERRO MECANIZADO DE VALA COM RETROESCAVADEIRA (CAPACIDADE DA CAÇAMBA   DA RETRO: 0,26 M³/POTÊNCIA: 88 HP), LARGURA 0,8 A 1,5 M, PROFUNDIDADE 1,5 A 3,0 M, COM SOLO (SEM SUBSTITUIÇÃO) DE 1ª CATEGORIA E COMPACTADOR DE SOLOS DE PERCUSSÃO. AF_08/2023</t>
  </si>
  <si>
    <t>2202019100SI5678 - RETROESCAVADEIRA SOBRE RODAS COM CARREGADEIRA, TRAÇÃO 4X4, POTÊNCIA LÍQ. 88 HP, CAÇAMBA CARREG. CAP. MÍN. 1 M3, CAÇAMBA RETRO CAP. 0,26 M3, PESO OPERACIONAL MÍN. 6.674 KG, PROFUNDIDADE ESCAVAÇÃO MÁX. 4,37 M - CHP DIURNO. AF_06/2014</t>
  </si>
  <si>
    <t>2202019200SI5679 - RETROESCAVADEIRA SOBRE RODAS COM CARREGADEIRA, TRAÇÃO 4X4, POTÊNCIA LÍQ. 88 HP, CAÇAMBA CARREG. CAP. MÍN. 1 M3, CAÇAMBA RETRO CAP. 0,26 M3, PESO OPERACIONAL MÍN. 6.674 KG, PROFUNDIDADE ESCAVAÇÃO MÁX. 4,37 M - CHI DIURNO. AF_06/2014</t>
  </si>
  <si>
    <t>Item: 174</t>
  </si>
  <si>
    <t>Serviço: TRANSPORTE COM CAMINHÃO BASCULANTE DE 14 M³, EM VIA URBANA PAVIMENTADA, ADICIONAL PARA DMT EXCEDENTE A 30 KM (UNIDADE: M3XKM). AF_07/2020</t>
  </si>
  <si>
    <t>Unidade: M3XKM</t>
  </si>
  <si>
    <t>Item: 175</t>
  </si>
  <si>
    <t>Serviço: TRANSPORTE COM CAMINHÃO BASCULANTE DE 14 M³, EM VIA URBANA PAVIMENTADA, DMT ATÉ 30 KM (UNIDADE: M3XKM). AF_07/2020</t>
  </si>
  <si>
    <t>Item: 176</t>
  </si>
  <si>
    <t>Serviço: TRANSPORTE COM CAMINHÃO BASCULANTE DE 6 M³, EM VIA URBANA PAVIMENTADA, ADICIONAL PARA DMT EXCEDENTE A 30 KM (UNIDADE: M3XKM). AF_07/2020</t>
  </si>
  <si>
    <t>Item: 177</t>
  </si>
  <si>
    <t>Serviço: TRANSPORTE COM CAMINHÃO BASCULANTE DE 6 M³, EM VIA URBANA PAVIMENTADA, DMT ATÉ 30 KM (UNIDADE: M3XKM). AF_07/2020</t>
  </si>
  <si>
    <t>Item: 178</t>
  </si>
  <si>
    <t>Serviço: TRANSPORTE COM CAMINHÃO CARROCERIA COM GUINDAUTO (MUNCK),  MOMENTO MÁXIMO DE CARGA 11,7 TM, EM VIA URBANA PAVIMENTADA, DMT ATÉ 30KM (UNIDADE: TXKM). AF_07/2020</t>
  </si>
  <si>
    <t>Unidade: TXKM</t>
  </si>
  <si>
    <t>Item: 179</t>
  </si>
  <si>
    <t>Serviço: TRANSPORTE COM CAMINHÃO TANQUE DE TRANSPORTE DE MATERIAL ASFÁLTICO DE 30000 L, EM VIA URBANA PAVIMENTADA, DMT ATÉ 30KM (UNIDADE: TXKM). AF_07/2020</t>
  </si>
  <si>
    <t>2202019100SI91645 - CAMINHÃO DE TRANSPORTE DE MATERIAL ASFÁLTICO 30.000 L, COM CAVALO MECÂNICO DE CAPACIDADE MÁXIMA DE TRAÇÃO COMBINADO DE 66.000 KG, POTÊNCIA 360 CV, INCLUSIVE TANQUE DE ASFALTO COM SERPENTINA - CHP DIURNO. AF_08/2015</t>
  </si>
  <si>
    <t>2202019200SI91646 - CAMINHÃO DE TRANSPORTE DE MATERIAL ASFÁLTICO 30.000 L, COM CAVALO MECÂNICO DE CAPACIDADE MÁXIMA DE TRAÇÃO COMBINADO DE 66.000 KG, POTÊNCIA 360 CV, INCLUSIVE TANQUE DE ASFALTO COM SERPENTINA - CHI DIURNO. AF_08/2015</t>
  </si>
  <si>
    <t>Item: 181</t>
  </si>
  <si>
    <t>Serviço: ENCHIMENTO DE BRITA PARA DRENO, LANÇAMENTO MANUAL. AF_07/2021</t>
  </si>
  <si>
    <t>8900103001SI471 - PEDRA BRITADA N. 2 (19 A 38 MM) POSTO PEDREIRA/FORNECEDOR, SEM FRETE</t>
  </si>
  <si>
    <t>Item: 182</t>
  </si>
  <si>
    <t>Serviço: ESCORAMENTO DE VALA, TIPO CONTÍNUO, COM PROFUNDIDADE DE 3,0 A 4,5 M, LARGURA MAIOR OU IGUAL A 1,5 E MENOR QUE 2,5 M. AF_08/2020</t>
  </si>
  <si>
    <t>8900103001SI211 - MOURAO ROLICO DE MADEIRA TRATADA, D = 8 A 11 CM, H = 2,20 M, EM EUCALIPTO OU EQUIVALENTE DA REGIAO (PARA CERCA)</t>
  </si>
  <si>
    <t>8900103001SI447 - VIGA NAO APARELHADA *6 X 16* CM, EM MACARANDUBA/MASSARANDUBA, ANGELIM OU EQUIVALENTE DA REGIAO - BRUTA</t>
  </si>
  <si>
    <t>Item: 183</t>
  </si>
  <si>
    <t>Serviço: ESCORAMENTO DE VALA, TIPO PONTALETEAMENTO, COM PROFUNDIDADE DE 1,5 A 3,0 M, LARGURA MAIOR OU IGUAL A 1,5 M E MENOR QUE 2,5 M. AF_08/2020</t>
  </si>
  <si>
    <t>Item: 184</t>
  </si>
  <si>
    <t>Serviço: ESCORAMENTO DE VALA, TIPO PONTALETEAMENTO, COM PROFUNDIDADE DE 1,5 A 3,0 M, LARGURA MENOR QUE 1,5 M. AF_08/2020</t>
  </si>
  <si>
    <t>Item: 185</t>
  </si>
  <si>
    <t>Serviço: ESCORAMENTO DE VALA, TIPO PONTALETEAMENTO, COM PROFUNDIDADE DE 3,0 A 4,5 M, LARGURA MAIOR OU IGUAL A 1,5 M E MENOR QUE 2,5 M. AF_08/2020</t>
  </si>
  <si>
    <t>Item: 186</t>
  </si>
  <si>
    <t>Serviço: ESCORAMENTO DE VALA, TIPO PONTALETEAMENTO, COM PROFUNDIDADE DE 3,0 A 4,5 M, LARGURA MENOR QUE 1,5 M. AF_08/2020</t>
  </si>
  <si>
    <t>Item: 187</t>
  </si>
  <si>
    <t>Serviço: PREPARO DE FUNDO DE VALA COM LARGURA MAIOR OU IGUAL A 1,5 M E MENOR QUE 2,5 M, COM CAMADA DE AREIA, LANÇAMENTO MECANIZADO. AF_08/2020</t>
  </si>
  <si>
    <t>8900103001SI370 - AREIA MEDIA - POSTO JAZIDA/FORNECEDOR (RETIRADO NA JAZIDA, SEM TRANSPORTE)</t>
  </si>
  <si>
    <t>2202019200SI91534 - COMPACTADOR DE SOLOS DE PERCUSSÃO (SOQUETE) COM MOTOR A GASOLINA 4 TEMPOS, POTÊNCIA 4 CV - CHI DIURNO. AF_08/2015</t>
  </si>
  <si>
    <t>Item: 188</t>
  </si>
  <si>
    <t>Serviço: PREPARO DE FUNDO DE VALA COM LARGURA MENOR QUE 1,5 M (ACERTO DO SOLO NATURAL). AF_08/2020</t>
  </si>
  <si>
    <t>Item: 189</t>
  </si>
  <si>
    <t>Serviço: TUBO DE PVC CORRUGADO RÍGIDO PERFURADO, DN 100 MM, PARA DRENO - FORNECIMENTO E ASSENTAMENTO. AF_07/2021</t>
  </si>
  <si>
    <t>8900103001SI443 - TUBO PVC, RIGIDO, CORRUGADO, PERFURADO DN 100 MM, PARA DRENAGEM, SISTEMA IRRIGACAO</t>
  </si>
  <si>
    <t>Item: 191</t>
  </si>
  <si>
    <t>Serviço: ESGOTAMENTO DE VALA COM BOMBA SUBMERSÍVEL. AF_12/2022</t>
  </si>
  <si>
    <t>Unidade: H</t>
  </si>
  <si>
    <t>0127000200SI88264 - ELETRICISTA COM ENCARGOS COMPLEMENTARES</t>
  </si>
  <si>
    <t>2202019100SI89021 - BOMBA SUBMERSÍVEL ELÉTRICA TRIFÁSICA, POTÊNCIA 2,96 HP, Ø ROTOR 144 MM SEMI-ABERTO, BOCAL DE SAÍDA Ø 2, HM/Q = 2 MCA / 38,8 M3/H A 28 MCA / 5 M3/H - CHP DIURNO. AF_06/2014</t>
  </si>
  <si>
    <t>2202019200SI89022 - BOMBA SUBMERSÍVEL ELÉTRICA TRIFÁSICA, POTÊNCIA 2,96 HP, Ø ROTOR 144 MM SEMI-ABERTO, BOCAL DE SAÍDA Ø 2, HM/Q = 2 MCA / 38,8 M3/H A 28 MCA / 5 M3/H - CHI DIURNO. AF_06/2014</t>
  </si>
  <si>
    <t>Item: 193</t>
  </si>
  <si>
    <t>Serviço: ALVENARIA ESTRUTURAL DE BLOCOS CERÂMICOS 14X19X29, (ESPESSURA DE 14 CM), UTILIZANDO PALHETA E ARGAMASSA DE ASSENTAMENTO COM PREPARO MANUAL. AF_03/2023</t>
  </si>
  <si>
    <t>8900103001SI345 - BLOCO ESTRUTURAL CERAMICO DE 14 X 19 X 29 CM (L X A X C) E 6,0 MPA</t>
  </si>
  <si>
    <t>8900103001SI346 - CANALETA ESTRUTURAL CERAMICA DE 14 X 19 X 29 CM (L X A X C) E 6,0 MPA</t>
  </si>
  <si>
    <t>8900103001SI347 - MEIO BLOCO ESTRUTURAL CERAMICO DE 14 X 19 X 14 CM (L X A X C) E 6,0 MPA</t>
  </si>
  <si>
    <t>8006508010SI87367 - ARGAMASSA TRAÇO 1:1:6 (EM VOLUME DE CIMENTO, CAL E AREIA MÉDIA ÚMIDA) PARA EMBOÇO/MASSA ÚNICA/ASSENTAMENTO DE ALVENARIA DE VEDAÇÃO, PREPARO MANUAL. AF_08/2019</t>
  </si>
  <si>
    <t>Item: 194</t>
  </si>
  <si>
    <t>Serviço: ARMAÇÃO DE ESTRUTURAS DIVERSAS DE CONCRETO ARMADO, EXCETO VIGAS, PILARES, LAJES E FUNDAÇÕES, UTILIZANDO AÇO CA-50 DE 10,0 MM - MONTAGEM. AF_06/2022</t>
  </si>
  <si>
    <t>Unidade: KG</t>
  </si>
  <si>
    <t>8900103001SI431 - ARAME RECOZIDO 16 BWG, D = 1,65 MM (0,016 KG/M) OU 18 BWG, D = 1,25 MM (0,01 KG/M)</t>
  </si>
  <si>
    <t>8900103001SI390 - ESPACADOR / DISTANCIADOR CIRCULAR COM ENTRADA LATERAL, EM PLASTICO, PARA VERGALHAO *4,2 A 12,5* MM, COBRIMENTO 20 MM</t>
  </si>
  <si>
    <t>0127000200SI88238 - AJUDANTE DE ARMADOR COM ENCARGOS COMPLEMENTARES</t>
  </si>
  <si>
    <t>0127000200SI88245 - ARMADOR COM ENCARGOS COMPLEMENTARES</t>
  </si>
  <si>
    <t>8004008030SI92803 - CORTE E DOBRA DE AÇO CA-50, DIÂMETRO DE 10,0 MM. AF_06/2022</t>
  </si>
  <si>
    <t>Item: 195</t>
  </si>
  <si>
    <t>Serviço: ARMAÇÃO DE ESTRUTURAS DIVERSAS DE CONCRETO ARMADO, EXCETO VIGAS, PILARES, LAJES E FUNDAÇÕES, UTILIZANDO AÇO CA-50 DE 12,5 MM - MONTAGEM. AF_06/2022</t>
  </si>
  <si>
    <t>8004008030SI92804 - CORTE E DOBRA DE AÇO CA-50, DIÂMETRO DE 12,5 MM. AF_06/2022</t>
  </si>
  <si>
    <t>Item: 196</t>
  </si>
  <si>
    <t>Serviço: ARMAÇÃO DE ESTRUTURAS DIVERSAS DE CONCRETO ARMADO, EXCETO VIGAS, PILARES, LAJES E FUNDAÇÕES, UTILIZANDO AÇO CA-50 DE 6,3 MM - MONTAGEM. AF_06/2022</t>
  </si>
  <si>
    <t>8004008030SI92801 - CORTE E DOBRA DE AÇO CA-50, DIÂMETRO DE 6,3 MM. AF_06/2022</t>
  </si>
  <si>
    <t>Item: 197</t>
  </si>
  <si>
    <t>Serviço: ARMAÇÃO DE ESTRUTURAS DIVERSAS DE CONCRETO ARMADO, EXCETO VIGAS, PILARES, LAJES E FUNDAÇÕES, UTILIZANDO AÇO CA-50 DE 8,0 MM - MONTAGEM. AF_06/2022</t>
  </si>
  <si>
    <t>8004008030SI92802 - CORTE E DOBRA DE AÇO CA-50, DIÂMETRO DE 8,0 MM. AF_06/2022</t>
  </si>
  <si>
    <t>Item: 198</t>
  </si>
  <si>
    <t>Serviço: ASSENTAMENTO DE TAMPA METÁLICA BIARTICULADA, FERRO FUNDIDO, DIMENSÕES *1200* X *980* MM (NÃO INCLUI FORNECIMENTO).</t>
  </si>
  <si>
    <t>8006508010SI88628 - ARGAMASSA TRAÇO 1:3 (EM VOLUME DE CIMENTO E AREIA MÉDIA ÚMIDA), PREPARO MECÂNICO COM BETONEIRA 400 L. AF_08/2019</t>
  </si>
  <si>
    <t>Item: 199</t>
  </si>
  <si>
    <t>Serviço: BLOCO DE CONCRETO ARMADO (30X40X60 CM) PARA FIXAÇÃO DO PILAR (MOURÃO) DE CONCRETO DO PORTÃO DA CERCA DE CONCRETO. AF. 06/2017</t>
  </si>
  <si>
    <t>8004008040003 - PREPARO, LANÇAMENTO E ADENSAMENTO DE CONCRETO VIRADO EM OBRA FCK &gt; 15,0 MPA</t>
  </si>
  <si>
    <t>8004008030SI92915 - ARMAÇÃO DE ESTRUTURAS DIVERSAS DE CONCRETO ARMADO, EXCETO VIGAS, PILARES, LAJES E FUNDAÇÕES, UTILIZANDO AÇO CA-60 DE 5,0 MM - MONTAGEM. AF_06/2022</t>
  </si>
  <si>
    <t>8099908001SC4805750 - ESCAVAÇÃO MANUAL EM MATERIAL DE 1ª CATEGORIA NA PROFUNDIDADE DE ATÉ 1 M</t>
  </si>
  <si>
    <t>8004008020SI96621 - LASTRO COM MATERIAL GRANULAR, APLICAÇÃO EM BLOCOS DE COROAMENTO, ESPESSURA DE *5 CM*. AF_01/2024</t>
  </si>
  <si>
    <t>8008508038SI100206 - TRANSPORTE HORIZONTAL COM JERICA DE 90 L, DE MASSA/ GRANEL (UNIDADE: M3XKM). AF_07/2019</t>
  </si>
  <si>
    <t>8002508020SI101616 - PREPARO DE FUNDO DE VALA COM LARGURA MENOR QUE 1,5 M (ACERTO DO SOLO NATURAL). AF_08/2020</t>
  </si>
  <si>
    <t>Item: 200</t>
  </si>
  <si>
    <t>Serviço: EXECUÇÃO DE PISO DE CONCRETO, COM ACABAMENTO SUPERFICIAL, ESPESSURA DE 15 CM, FCK = 30 MPA, COM USO DE FORMAS EM MADEIRA SERRADA. AF_09/2021</t>
  </si>
  <si>
    <t>8004008020SI96624 - LASTRO COM MATERIAL GRANULAR (PEDRA BRITADA N.2), APLICADO EM PISOS OU LAJES SOBRE SOLO, ESPESSURA DE *10 CM*. AF_01/2024</t>
  </si>
  <si>
    <t>8002008040SI97083 - COMPACTAÇÃO MECÂNICA DE SOLO PARA EXECUÇÃO DE RADIER, PISO DE CONCRETO OU LAJE SOBRE SOLO, COM COMPACTADOR DE SOLOS A PERCUSSÃO. AF_09/2021</t>
  </si>
  <si>
    <t>8004008025SI97086 - FABRICAÇÃO, MONTAGEM E DESMONTAGEM DE FORMA PARA RADIER, PISO DE CONCRETO OU LAJE SOBRE SOLO, EM MADEIRA SERRADA, 4 UTILIZAÇÕES. AF_09/2021</t>
  </si>
  <si>
    <t>8006508030SI97087 - CAMADA SEPARADORA PARA EXECUÇÃO DE RADIER, PISO DE CONCRETO OU LAJE SOBRE SOLO, EM LONA PLÁSTICA. AF_09/2021</t>
  </si>
  <si>
    <t>8004008030SI97092 - ARMAÇÃO PARA EXECUÇÃO DE RADIER, PISO DE CONCRETO OU LAJE SOBRE SOLO, COM USO DE TELA Q-196. AF_09/2021</t>
  </si>
  <si>
    <t>8004008028SI97096 - CONCRETAGEM DE RADIER, PISO DE CONCRETO OU LAJE SOBRE SOLO, FCK 30 MPA - LANÇAMENTO, ADENSAMENTO E ACABAMENTO. AF_09/2021</t>
  </si>
  <si>
    <t>8006508030SI97097 - ACABAMENTO POLIDO PARA PISO DE CONCRETO ARMADO OU LAJE SOBRE SOLO DE ALTA RESISTÊNCIA. AF_09/2021</t>
  </si>
  <si>
    <t>Item: 201</t>
  </si>
  <si>
    <t>Serviço: FORMAS PLANAS PARA ESTRUTURA EM CHAPA DE MADEIRA COMPENSADA DE 12 MM, 2 REAPROVEITAMENTOS, INCLUSIVE DESFORMA</t>
  </si>
  <si>
    <t>8900103001SI436 - CHAPA/PAINEL DE MADEIRA COMPENSADA RESINADA (MADEIRITE RESINADO ROSA) PARA FORMA DE CONCRETO, DE 2200 X 1100 MM, E = 8 A 12 MM</t>
  </si>
  <si>
    <t>8900103001SI269 - DESMOLDANTE PROTETOR PARA FORMAS DE MADEIRA, DE BASE OLEOSA EMULSIONADA EM AGUA</t>
  </si>
  <si>
    <t>8900103001SI621 - TABUA *2,5 X 30 CM EM PINUS, MISTA OU EQUIVALENTE DA REGIAO - BRUTA</t>
  </si>
  <si>
    <t>Item: 202</t>
  </si>
  <si>
    <t>Serviço: LANÇAMENTO COM USO DE BOMBA, ADENSAMENTO E ACABAMENTO DE CONCRETO EM ESTRUTURAS. AF_02/2022</t>
  </si>
  <si>
    <t>2202019100SI90586 - VIBRADOR DE IMERSÃO, DIÂMETRO DE PONTEIRA 45MM, MOTOR ELÉTRICO TRIFÁSICO POTÊNCIA DE 2 CV - CHP DIURNO. AF_06/2015</t>
  </si>
  <si>
    <t>2202019200SI90587 - VIBRADOR DE IMERSÃO, DIÂMETRO DE PONTEIRA 45MM, MOTOR ELÉTRICO TRIFÁSICO POTÊNCIA DE 2 CV - CHI DIURNO. AF_06/2015</t>
  </si>
  <si>
    <t>Item: 203</t>
  </si>
  <si>
    <t>Serviço: LASTRO COM MATERIAL GRANULAR (PEDRA BRITADA N.1 E PEDRA BRITADA N.2), APLICADO EM PISOS OU LAJES SOBRE SOLO, ESPESSURA DE *10 CM*. AF_01/2024</t>
  </si>
  <si>
    <t>8900103001SI472 - PEDRA BRITADA N. 1 (9,5 A 19 MM) POSTO PEDREIRA/FORNECEDOR, SEM FRETE</t>
  </si>
  <si>
    <t>2202019100SI91277 - PLACA VIBRATÓRIA REVERSÍVEL COM MOTOR 4 TEMPOS A GASOLINA, FORÇA CENTRÍFUGA DE 25 KN (2500 KGF), POTÊNCIA 5,5 CV - CHP DIURNO. AF_08/2015</t>
  </si>
  <si>
    <t>2202019200SI91278 - PLACA VIBRATÓRIA REVERSÍVEL COM MOTOR 4 TEMPOS A GASOLINA, FORÇA CENTRÍFUGA DE 25 KN (2500 KGF), POTÊNCIA 5,5 CV - CHI DIURNO. AF_08/2015</t>
  </si>
  <si>
    <t>Item: 204</t>
  </si>
  <si>
    <t>Serviço: LASTRO COM MATERIAL GRANULAR (PEDRA BRITADA N.2), APLICADO EM PISOS OU LAJES SOBRE SOLO, ESPESSURA DE *10 CM*. AF_01/2024</t>
  </si>
  <si>
    <t>Item: 205</t>
  </si>
  <si>
    <t>Serviço: LASTRO DE AREIA LAVADA DE RIO COM FORNECIMENTO DO MATERIAL, TRANSPORTE E LANÇAMENTO</t>
  </si>
  <si>
    <t>8900103001SI367 - AREIA GROSSA - POSTO JAZIDA/FORNECEDOR (RETIRADO NA JAZIDA, SEM TRANSPORTE)</t>
  </si>
  <si>
    <t>Item: 206</t>
  </si>
  <si>
    <t>Serviço: PEÇA RETANGULAR PRÉ-MOLDADA, VOLUME DE CONCRETO DE 10 A 30 LITROS, TAXA DE AÇO APROXIMADA DE 30KG/M³. AF_03/2024</t>
  </si>
  <si>
    <t>8900103001SI135 - CHAPA/PAINEL DE MADEIRA COMPENSADA RESINADA (MADEIRITE RESINADO ROSA) PARA FORMA DE CONCRETO, DE 2200 X 1100 MM, E = 17 MM</t>
  </si>
  <si>
    <t>8900103001SI202 - PREGO DE ACO POLIDO COM CABECA 15 X 15 (1 1/4 X 13)</t>
  </si>
  <si>
    <t>8900103001SI451 - SARRAFO *2,5 X 7,5* CM EM PINUS, MISTA OU EQUIVALENTE DA REGIAO - BRUTA</t>
  </si>
  <si>
    <t>0127000200SI88261 - CARPINTEIRO DE ESQUADRIA COM ENCARGOS COMPLEMENTARES</t>
  </si>
  <si>
    <t>8004008030SI92767 - ARMAÇÃO DE LAJE DE ESTRUTURA CONVENCIONAL DE CONCRETO ARMADO UTILIZANDO AÇO CA-60 DE 4,2 MM - MONTAGEM. AF_06/2022</t>
  </si>
  <si>
    <t>8004008040SI94971 - CONCRETO FCK = 25MPA, TRAÇO 1:2,3:2,7 (EM MASSA SECA DE CIMENTO/ AREIA MÉDIA/ BRITA 1) - PREPARO MECÂNICO COM BETONEIRA 600 L. AF_05/2021</t>
  </si>
  <si>
    <t>Item: 208</t>
  </si>
  <si>
    <t>Serviço: ASSENTAMENTO DE CONEXÃO COM 2 ACESSOS, EM PEAD LISO PARA REDE DE ÁGUA OU ESGOTO, DIÂMETRO DE 160 MM, JUNTA SOLDADA (NÃO INCLUI O FORNECIMENTO E EXECUÇÃO DE SOLDA). AF_12/2021</t>
  </si>
  <si>
    <t>0127000200SI88246 - ASSENTADOR DE TUBOS COM ENCARGOS COMPLEMENTARES</t>
  </si>
  <si>
    <t>Item: 209</t>
  </si>
  <si>
    <t>Serviço: ASSENTAMENTO DE CONEXÃO COM 2 ACESSOS, EM PEAD LISO PARA REDE DE ÁGUA OU ESGOTO, DIÂMETRO DE 400 MM, JUNTA SOLDADA (NÃO INCLUI O FORNECIMENTO E EXECUÇÃO DE SOLDA). AF_12/2021</t>
  </si>
  <si>
    <t>Item: 210</t>
  </si>
  <si>
    <t>Serviço: ASSENTAMENTO DE CONEXÃO COM 2 ACESSOS, EM PEAD LISO PARA REDE DE ÁGUA OU ESGOTO, DIÂMETRO DE 90 MM, JUNTA SOLDADA</t>
  </si>
  <si>
    <t>Item: 211</t>
  </si>
  <si>
    <t>Serviço: ASSENTAMENTO DE CONEXÃO COM 2 ACESSOS, FERRO FUNDIDO PARA REDE DE ÁGUA, DN  100 MM, JUNTA FLANGEADA (NÃO INCLUI O FORNECIMENTO). AF_09/2021</t>
  </si>
  <si>
    <t>0127000200SI88248 - AUXILIAR DE ENCANADOR OU BOMBEIRO HIDRÁULICO COM ENCARGOS COMPLEMENTARES</t>
  </si>
  <si>
    <t>0127000200SI88267 - ENCANADOR OU BOMBEIRO HIDRÁULICO COM ENCARGOS COMPLEMENTARES</t>
  </si>
  <si>
    <t>Item: 212</t>
  </si>
  <si>
    <t>Serviço: ASSENTAMENTO DE CONEXÃO COM 2 ACESSOS, FERRO FUNDIDO PARA REDE DE ÁGUA, DN  200 MM, JUNTA FLANGEADA (NÃO INCLUI O FORNECIMENTO). AF_09/2021</t>
  </si>
  <si>
    <t>Item: 213</t>
  </si>
  <si>
    <t>Serviço: ASSENTAMENTO DE CONEXÃO COM 2 ACESSOS, FERRO FUNDIDO PARA REDE DE ÁGUA, DN  250 MM, JUNTA FLANGEADA (NÃO INCLUI O FORNECIMENTO). AF_09/2021</t>
  </si>
  <si>
    <t>Item: 214</t>
  </si>
  <si>
    <t>Serviço: ASSENTAMENTO DE CONEXÃO COM 2 ACESSOS, FERRO FUNDIDO PARA REDE DE ÁGUA, DN  400 MM, JUNTA FLANGEADA (NÃO INCLUI O FORNECIMENTO). AF_09/2021</t>
  </si>
  <si>
    <t>Item: 215</t>
  </si>
  <si>
    <t>Serviço: ASSENTAMENTO DE CONEXÃO COM 2 ACESSOS, FERRO FUNDIDO PARA REDE DE ÁGUA, DN  600 MM, JUNTA FLANGEADA (NÃO INCLUI O FORNECIMENTO). AF_09/2021</t>
  </si>
  <si>
    <t>Item: 216</t>
  </si>
  <si>
    <t>Serviço: ASSENTAMENTO DE CONEXÃO COM 2 ACESSOS, FERRO FUNDIDO PARA REDE DE ÁGUA, DN  80 MM, JUNTA FLANGEADA (NÃO INCLUI O FORNECIMENTO). AF_09/2021</t>
  </si>
  <si>
    <t>Item: 217</t>
  </si>
  <si>
    <t>Serviço: ASSENTAMENTO DE CONEXÃO COM 3 ACESSOS, FERRO FUNDIDO PARA REDE DE ÁGUA, DN  400 MM, JUNTA FLANGEADA (NÃO INCLUI O FORNECIMENTO). AF_09/2021</t>
  </si>
  <si>
    <t>Item: 218</t>
  </si>
  <si>
    <t>Serviço: ASSENTAMENTO DE CONEXÃO COM 3 ACESSOS, FERRO FUNDIDO PARA REDE DE ÁGUA, DN  600 MM, JUNTA FLANGEADA (NÃO INCLUI O FORNECIMENTO). AF_09/2021</t>
  </si>
  <si>
    <t>Item: 219</t>
  </si>
  <si>
    <t>Serviço: ASSENTAMENTO DE TUBO DE FERRO FUNDIDO PARA REDE DE ÁGUA, DN 150 MM, JUNTA ELÁSTICA, INSTALADO EM LOCAL COM NÍVEL BAIXO DE INTERFERÊNCIAS (NÃO INCLUI FORNECIMENTO). AF_05/2024</t>
  </si>
  <si>
    <t>8900103001SI200 - PASTA LUBRIFICANTE PARA TUBOS E CONEXOES COM JUNTA ELASTICA, EMBALAGEM DE *400* GR (USO EM PVC, ACO, POLIETILENO E OUTROS)</t>
  </si>
  <si>
    <t>Item: 220</t>
  </si>
  <si>
    <t>Serviço: ASSENTAMENTO DE TUBO DE FERRO FUNDIDO PARA REDE DE ÁGUA, DN 200 MM, JUNTA ELÁSTICA, INSTALADO EM LOCAL COM NÍVEL BAIXO DE INTERFERÊNCIAS (NÃO INCLUI FORNECIMENTO). AF_05/2024</t>
  </si>
  <si>
    <t>Item: 221</t>
  </si>
  <si>
    <t>Serviço: ASSENTAMENTO DE TUBO DE FERRO FUNDIDO PARA REDE DE ÁGUA, DN 200 MM, JUNTA FLANGEADA (NÃO INCLUI O FORNECIMENTO). AF_09/2021</t>
  </si>
  <si>
    <t>Item: 222</t>
  </si>
  <si>
    <t>Serviço: ASSENTAMENTO DE TUBO DE FERRO FUNDIDO PARA REDE DE ÁGUA, DN 400 MM, JUNTA FLANGEADA (NÃO INCLUI O FORNECIMENTO). AF_09/2021</t>
  </si>
  <si>
    <t>Item: 223</t>
  </si>
  <si>
    <t>Serviço: ASSENTAMENTO DE TUBO DE FERRO FUNDIDO PARA REDE DE ÁGUA, DN 600 MM, JUNTA ELÁSTICA, INSTALADO EM LOCAL COM NÍVEL BAIXO DE INTERFERÊNCIAS (NÃO INCLUI FORNECIMENTO). AF_05/2024</t>
  </si>
  <si>
    <t>Item: 224</t>
  </si>
  <si>
    <t>Serviço: ASSENTAMENTO DE TUBO DE FERRO FUNDIDO PARA REDE DE ÁGUA, DN 600 MM, JUNTA FLANGEADA (NÃO INCLUI O FORNECIMENTO). AF_09/2021</t>
  </si>
  <si>
    <t>Item: 225</t>
  </si>
  <si>
    <t>Serviço: ASSENTAMENTO DE TUBO PEAD LISO PARA REDE DE ÁGUA OU ESGOTO, DIÂMETRO DE 560 MM, JUNTA SOLDADA (NÃO INCLUI A EXECUÇÃO DE SOLDA) - EXCLUSO FORNECIMENTO DE TUBO</t>
  </si>
  <si>
    <t>Item: 226</t>
  </si>
  <si>
    <t>Serviço: ASSENTAMENTO DE TUBO PEAD LISO PARA REDE DE ÁGUA OU ESGOTO, DIÂMETRO DE 63 MM, JUNTA SOLDADA (NÃO INCLUI A EXECUÇÃO DE SOLDA) - EXCLUSO FORNECIMENTO DE TUBO</t>
  </si>
  <si>
    <t>Item: 227</t>
  </si>
  <si>
    <t>Serviço: EXECUÇÃO DE JUNTA SOLDADA POR ELETROFUSÃO, DE TUBO OU CONEXÃO EM PEAD LISO PARA REDE DE ÁGUA OU ESGOTO, DIÂMETRO DE 560 MM (NÃO INCLUI O FORNECIMENTO DE TUBO E CONEXÃO). AF_12/2021</t>
  </si>
  <si>
    <t>2202019100SI93421 - GRUPO GERADOR REBOCÁVEL, POTÊNCIA 66 KVA, MOTOR A DIESEL - CHP DIURNO. AF_03/2016</t>
  </si>
  <si>
    <t>2202019200SI93422 - GRUPO GERADOR REBOCÁVEL, POTÊNCIA 66 KVA, MOTOR A DIESEL - CHI DIURNO. AF_03/2016</t>
  </si>
  <si>
    <t>2207219003022 - MÁQUINA DE SOLDA POR ELETROFUSÃO, POTÊNCIA 3.500 W, TENSÃO PRIMÁRIO 230 V / 60 HZ, DIMENSÕES 285 X 200 X 360 MM_ALIMENTAÇÃO ELÉTRICA _(3,60KW-SC-SMO) #AF_01/2024</t>
  </si>
  <si>
    <t>2207219003025 - MÁQUINA DE SOLDA POR ELETROFUSÃO, POTÊNCIA 3.500 W, TENSÃO PRIMÁRIO 230 V / 60 HZ, DIMENSÕES 285 X 200 X 360 MM_ALIMENTAÇÃO ELÉTRICA _(3,60KW-SC-SMO) #AF_01/2024</t>
  </si>
  <si>
    <t>Item: 228</t>
  </si>
  <si>
    <t>Serviço: EXECUÇÃO DE JUNTA SOLDADA POR ELETROFUSÃO, DE TUBO OU CONEXÃO EM PEAD LISO PARA REDE DE ÁGUA OU ESGOTO, DIÂMETRO DE 90 MM (NÃO INCLUI O FORNECIMENTO DE TUBO E CONEXÃO). AF_12/2021</t>
  </si>
  <si>
    <t>Item: 229</t>
  </si>
  <si>
    <t>Serviço: EXECUÇÃO DE JUNTA SOLDADA POR TERMOFUSÃO, DE TUBO OU CONEXÃO EM PEAD LISO PARA REDE DE ÁGUA OU ESGOTO, DIÂMETRO DE 160 MM (NÃO INCLUI O FORNECIMENTO DE TUBO E CONEXÃO). AF_12/2021</t>
  </si>
  <si>
    <t>2207219003011 - MÁQUINA PARA SOLDAGEM DE TUBOS PLÁSTICOS POR TERMOFUSÃO, DIÂMETRO DE 90 À 315 MM_ALIMENTAÇÃO ELÉTRICA _(2,50KW-SC-SMO) #AF_01/2024</t>
  </si>
  <si>
    <t>2207219003016 - MÁQUINA PARA SOLDAGEM DE TUBOS PLÁSTICOS POR TERMOFUSÃO, DIÂMETRO DE 90 À 315 MM_ALIMENTAÇÃO ELÉTRICA _(2,50KW-SC-SMO) #AF_01/2024</t>
  </si>
  <si>
    <t>Item: 230</t>
  </si>
  <si>
    <t>Serviço: EXECUÇÃO DE JUNTA SOLDADA POR TERMOFUSÃO, DE TUBO OU CONEXÃO EM PEAD LISO PARA REDE DE ÁGUA OU ESGOTO, DIÂMETRO DE 400 MM (NÃO INCLUI O FORNECIMENTO DE TUBO E CONEXÃO). AF_12/2021</t>
  </si>
  <si>
    <t>2207219003013 - MÁQUINA PARA SOLDAGEM DE TUBOS PLÁSTICOS POR TERMOFUSÃO, DIÂMETRO DE 315 À 630 MM_ALIMENTAÇÃO ELÉTRICA _(8,00KW-SC-SMO) #AF_01/2024</t>
  </si>
  <si>
    <t>2207219003017 - MÁQUINA PARA SOLDAGEM DE TUBOS PLÁSTICOS POR TERMOFUSÃO, DIÂMETRO DE 315 À 630 MM_ALIMENTAÇÃO ELÉTRICA _(8,00KW-SC-SMO) #AF_01/2024</t>
  </si>
  <si>
    <t>Item: 231</t>
  </si>
  <si>
    <t>Serviço: TUBO DE CONCRETO PARA REDES COLETORAS DE ÁGUAS PLUVIAIS, DIÂMETRO DE 500 MM, JUNTA RÍGIDA, INSTALADO EM LOCAL COM BAIXO NÍVEL DE INTERFERÊNCIAS - FORNECIMENTO E ASSENTAMENTO. AF_03/2024</t>
  </si>
  <si>
    <t>8900103001SI771 - TUBO DE CONCRETO ARMADO, PRE MOLDADO PARA AGUAS PLUVIAIS, CLASSE PA-1, COM ENCAIXE PONTA E BOLSA, DIAMETRO NOMINAL DE 500 MM</t>
  </si>
  <si>
    <t>8006508010SI88629 - ARGAMASSA TRAÇO 1:3 (EM VOLUME DE CIMENTO E AREIA MÉDIA ÚMIDA), PREPARO MANUAL. AF_08/2019</t>
  </si>
  <si>
    <t>Item: 233</t>
  </si>
  <si>
    <t>Serviço: ESPALHAMENTO DE MATERIAL COM TRATOR DE ESTEIRAS. AF_09/2024</t>
  </si>
  <si>
    <t>2202019100SI5851 - TRATOR DE ESTEIRAS, POTÊNCIA 150 HP, PESO OPERACIONAL 16,7 T, COM RODA MOTRIZ ELEVADA E LÂMINA 3,18 M3 - CHP DIURNO. AF_06/2014</t>
  </si>
  <si>
    <t>2202019200SI5853 - TRATOR DE ESTEIRAS, POTÊNCIA 150 HP, PESO OPERACIONAL 16,7 T, COM RODA MOTRIZ ELEVADA E LÂMINA 3,18 M3 - CHI DIURNO. AF_06/2014</t>
  </si>
  <si>
    <t>Item: 234</t>
  </si>
  <si>
    <t>Serviço: EXECUÇÃO DE IMPRIMAÇÃO COM ASFALTO DILUÍDO CM-30. AF_11/2019 (ATUALIZADO CAESB)</t>
  </si>
  <si>
    <t>0206503003003 - ASFALTO DILUIDO DE PETROLEO CM-30 (COLETADO CAESB NA ANP - REGIÃO CENTRO-OESTE - ACRESCIDO DE ICMS)</t>
  </si>
  <si>
    <t>2202019100SI5839 - VASSOURA MECÂNICA REBOCÁVEL COM ESCOVA CILÍNDRICA, LARGURA ÚTIL DE VARRIMENTO DE 2,44 M - CHP DIURNO. AF_06/2014</t>
  </si>
  <si>
    <t>2202019100SI83362 - ESPARGIDOR DE ASFALTO PRESSURIZADO, TANQUE 6 M3 COM ISOLAÇÃO TÉRMICA, AQUECIDO COM 2 MAÇARICOS, COM BARRA ESPARGIDORA 3,60 M, MONTADO SOBRE CAMINHÃO  TOCO, PBT 14.300 KG, POTÊNCIA 185 CV - CHP DIURNO. AF_05/2023</t>
  </si>
  <si>
    <t>2202019100SI89035 - TRATOR DE PNEUS, POTÊNCIA 85 CV, TRAÇÃO 4X4, PESO COM LASTRO DE 4.675 KG - CHP DIURNO. AF_06/2014</t>
  </si>
  <si>
    <t>2202019200SI5841 - VASSOURA MECÂNICA REBOCÁVEL COM ESCOVA CILÍNDRICA, LARGURA ÚTIL DE VARRIMENTO DE 2,44 M - CHI DIURNO. AF_06/2014</t>
  </si>
  <si>
    <t>2202019200SI89036 - TRATOR DE PNEUS, POTÊNCIA 85 CV, TRAÇÃO 4X4, PESO COM LASTRO DE 4.675 KG - CHI DIURNO. AF_06/2014</t>
  </si>
  <si>
    <t>2202019200SI91486 - ESPARGIDOR DE ASFALTO PRESSURIZADO, TANQUE 6 M3 COM ISOLAÇÃO TÉRMICA, AQUECIDO COM 2 MAÇARICOS, COM BARRA ESPARGIDORA 3,60 M, MONTADO SOBRE CAMINHÃO  TOCO, PBT 14.300 KG, POTÊNCIA 185 CV - CHI DIURNO. AF_05/2023</t>
  </si>
  <si>
    <t>Item: 235</t>
  </si>
  <si>
    <t>Serviço: EXECUÇÃO DE PASSEIO (CALÇADA) OU PISO DE CONCRETO COM CONCRETO MOLDADO IN LOCO, FEITO EM OBRA, ACABAMENTO CONVENCIONAL, ESPESSURA 8 CM, ARMADO. AF_08/2022</t>
  </si>
  <si>
    <t>8900103001SI715 - TELA DE ACO SOLDADA NERVURADA, CA-60, Q-196, (3,11 KG/M2), DIAMETRO DO FIO = 5,0 MM, LARGURA = 2,45 M, ESPACAMENTO DA MALHA = 10 X 10 CM</t>
  </si>
  <si>
    <t>8004008040SI94964 - CONCRETO FCK = 20MPA, TRAÇO 1:2,7:3 (EM MASSA SECA DE CIMENTO/ AREIA MÉDIA/ BRITA 1) - PREPARO MECÂNICO COM BETONEIRA 400 L. AF_05/2021</t>
  </si>
  <si>
    <t>Item: 236</t>
  </si>
  <si>
    <t>Serviço: EXECUÇÃO DE PINTURA DE LIGAÇÃO COM EMULSÃO ASFÁLTICA RR-2C.</t>
  </si>
  <si>
    <t>0206503006006 - EMULSAO ASFALTICA CATIONICA RR-2C PARA USO EM PAVIMENTACAO ASFALTICA (COLETADO CAIXA NA ANP ACRESCIDO DE ICMS)</t>
  </si>
  <si>
    <t>Item: 237</t>
  </si>
  <si>
    <t>Serviço: RECOMPOSIÇÃO DE REVESTIMENTO EM CONCRETO ASFÁLTICO (AQUISIÇÃO EM USINA), PARA O FECHAMENTO DE VALAS - INCLUSO DEMOLIÇÃO DO PAVIMENTO. AF_12/2020</t>
  </si>
  <si>
    <t>8900103001SI151 - CONCRETO BETUMINOSO USINADO A QUENTE (CBUQ) PARA PAVIMENTACAO ASFALTICA, PADRAO DNIT, FAIXA C, COM CAP 50/70 - AQUISICAO POSTO USINA</t>
  </si>
  <si>
    <t>2202019100SI5867 - ROLO COMPACTADOR VIBRATÓRIO TANDEM AÇO LISO, POTÊNCIA 58 HP, PESO SEM/COM LASTRO 6,5 / 9,4 T, LARGURA DE TRABALHO 1,2 M - CHP DIURNO. AF_06/2014</t>
  </si>
  <si>
    <t>2202019200SI5869 - ROLO COMPACTADOR VIBRATÓRIO TANDEM AÇO LISO, POTÊNCIA 58 HP, PESO SEM/COM LASTRO 6,5 / 9,4 T, LARGURA DE TRABALHO 1,2 M - CHI DIURNO. AF_06/2014</t>
  </si>
  <si>
    <t>8001508040SI97636 - DEMOLIÇÃO PARCIAL DE PAVIMENTO ASFÁLTICO, DE FORMA MECANIZADA, SEM REAPROVEITAMENTO. AF_09/2023</t>
  </si>
  <si>
    <t>Item: 238</t>
  </si>
  <si>
    <t>Serviço: REGULARIZAÇÃO DE SUPERFÍCIES COM MOTONIVELADORA. AF_09/2024</t>
  </si>
  <si>
    <t>2202019100SI5932 - MOTONIVELADORA POTÊNCIA BÁSICA LÍQUIDA (PRIMEIRA MARCHA) 125 HP, PESO BRUTO 13032 KG, LARGURA DA LÂMINA DE 3,7 M - CHP DIURNO. AF_06/2014</t>
  </si>
  <si>
    <t>2202019200SI5934 - MOTONIVELADORA POTÊNCIA BÁSICA LÍQUIDA (PRIMEIRA MARCHA) 125 HP, PESO BRUTO 13032 KG, LARGURA DA LÂMINA DE 3,7 M - CHI DIURNO. AF_06/2014</t>
  </si>
  <si>
    <t>Item: 240</t>
  </si>
  <si>
    <t>Serviço: ASSENTAMENTO DE HIDRÔMETRO DE 1,50 M3/HORA</t>
  </si>
  <si>
    <t>8900103001SI314 - FITA VEDA ROSCA, EM PTFE, ROLO DE 18 MM X 50 M (L X C)</t>
  </si>
  <si>
    <t>Item: 241</t>
  </si>
  <si>
    <t>Serviço: CAIXA EM CONCRETO PRÉ-MOLDADO PARA ABRIGO DE HIDRÔMETRO COM DN 20 MM - FORNECIMENTO E INSTALAÇÃO. AF_03/2024</t>
  </si>
  <si>
    <t>8900103001SI118 - CAIXA PARA HIDROMETRO CONCRETO PRE MOLDADO, *0,24 M X 0,45 M X 0,30* M (L X C X A)</t>
  </si>
  <si>
    <t>Item: 242</t>
  </si>
  <si>
    <t>Serviço: KIT CAVALETE PARA MEDIÇÃO DE ÁGUA - ENTRADA INDIVIDUALIZADA, EM PVC 25 MM (3/4), PARA 1 MEDIDOR - FORNECIMENTO E INSTALAÇÃO (EXCLUSIVE HIDRÔMETRO). AF_03/2024</t>
  </si>
  <si>
    <t>8900103001SI65 - ADAPTADOR PVC SOLDAVEL CURTO COM BOLSA E ROSCA, 25 MM X 3/4, PARA AGUA FRIA</t>
  </si>
  <si>
    <t>8900103001SI122 - ADESIVO PLASTICO PARA PVC, FRASCO COM *850* GR</t>
  </si>
  <si>
    <t>8900103001SI813 - BUCHA DE REDUCAO DE PVC, SOLDAVEL, LONGA, COM 50 X 25 MM, PARA AGUA FRIA PREDIAL</t>
  </si>
  <si>
    <t>8900103001SI352 - JOELHO PVC, SOLDAVEL, 90 GRAUS, 25 MM, COR MARROM, PARA AGUA FRIA PREDIAL</t>
  </si>
  <si>
    <t>8900103001SI354 - JOELHO PVC, SOLDAVEL, 90 GRAUS, 50 MM, COR MARROM, PARA AGUA FRIA PREDIAL</t>
  </si>
  <si>
    <t>8900103001SI383 - LIXA D'AGUA EM FOLHA, COR PRETA, GRAO 100</t>
  </si>
  <si>
    <t>8900103001SI601 - REGISTRO GAVETA BRUTO EM LATAO FORJADO, BITOLA 3/4</t>
  </si>
  <si>
    <t>8900103001SI200 - SOLUCAO PREPARADORA / LIMPADORA PARA PVC, FRASCO COM 1000 CM3</t>
  </si>
  <si>
    <t>8900103001SI986 - TUBO PVC, SOLDAVEL, DE 25 MM, AGUA FRIA (NBR-5648)</t>
  </si>
  <si>
    <t>8900103001SI987 - TUBO PVC, SOLDAVEL, DE 50 MM, AGUA FRIA (NBR-5648)</t>
  </si>
  <si>
    <t>Item: 244</t>
  </si>
  <si>
    <t>Serviço: TELHAMENTO COM TELHA METÁLICA TERMOACÚSTICA E = 30 MM, COM ATÉ 2 ÁGUAS, INCLUSO IÇAMENTO. AF_07/2019</t>
  </si>
  <si>
    <t>8900103001SI110 - HASTE RETA PARA GANCHO DE FERRO GALVANIZADO, COM ROSCA 1/4 X 30 CM PARA FIXACAO DE TELHA METALICA, INCLUI PORCA E ARRUELAS DE VEDACAO</t>
  </si>
  <si>
    <t>8900103001SI407 - TELHA GALVALUME COM ISOLAMENTO TERMOACUSTICO EM ESPUMA RIGIDA DE POLIURETANO (PU) INJETADO, ESPESSURA DE 30 MM, DENSIDADE DE 35 KG/M3, REVESTIMENTO EM TELHA TRAPEZOIDAL NAS DUAS FACES COM ESPESSURA DE 0,50 MM CADA, ACABAMENTO NATURAL (NAO INCLUI ACESSORIOS DE FIXACAO)</t>
  </si>
  <si>
    <t>0127000200SI88323 - TELHADISTA COM ENCARGOS COMPLEMENTARES</t>
  </si>
  <si>
    <t>2202019100SI93281 - GUINCHO ELÉTRICO DE COLUNA, CAPACIDADE 400 KG, COM MOTO FREIO, MOTOR TRIFÁSICO DE 1,25 CV - CHP DIURNO. AF_03/2016</t>
  </si>
  <si>
    <t>2202019200SI93282 - GUINCHO ELÉTRICO DE COLUNA, CAPACIDADE 400 KG, COM MOTO FREIO, MOTOR TRIFÁSICO DE 1,25 CV - CHI DIURNO. AF_03/2016</t>
  </si>
  <si>
    <t>Item: 245</t>
  </si>
  <si>
    <t>Serviço: TRAMA DE AÇO COMPOSTA POR TERÇAS PARA TELHADOS DE ATÉ 2 ÁGUAS PARA TELHA ONDULADA DE FIBROCIMENTO, METÁLICA, PLÁSTICA OU TERMOACÚSTICA, INCLUSO TRANSPORTE VERTICAL. AF_07/2019</t>
  </si>
  <si>
    <t>8900103001SI405 - PARAFUSO, COMUM, ASTM A307, SEXTAVADO, DIAMETRO 1/2 (12,7 MM), COMPRIMENTO 1 (25,4 MM)</t>
  </si>
  <si>
    <t>8900103001SI430 - PERFIL U ENRIJECIDO, EM CHAPA DOBRADA DE ACO LAMINADO, E = 3,75 MM, H = 200 MM, L = 75 MM (9,94 KG/M)</t>
  </si>
  <si>
    <t>0127000200SI88278 - MONTADOR DE ESTRUTURA METÁLICA COM ENCARGOS COMPLEMENTARES</t>
  </si>
  <si>
    <t>Item: 247</t>
  </si>
  <si>
    <t>Serviço: EMBOÇO, EM ARGAMASSA TRAÇO 1:2:8, PREPARO MECÂNICO, APLICADO MANUALMENTE EM PAREDES INTERNAS DE AMBIENTES COM ÁREA MAIOR QUE 10M², E = 17,5MM, COM TALISCAS. AF_03/2024</t>
  </si>
  <si>
    <t>8006508010SI87292 - ARGAMASSA TRAÇO 1:2:8 (EM VOLUME DE CIMENTO, CAL E AREIA MÉDIA ÚMIDA) PARA EMBOÇO/MASSA ÚNICA/ASSENTAMENTO DE ALVENARIA DE VEDAÇÃO, PREPARO MECÂNICO COM BETONEIRA 400 L. AF_08/2019</t>
  </si>
  <si>
    <t>Item: 248</t>
  </si>
  <si>
    <t>Serviço: IMPERMEABILIZAÇÃO DE SUPERFÍCIE COM EMULSÃO ASFÁLTICA, 2 DEMÃOS. AF_09/2023</t>
  </si>
  <si>
    <t>8900103001SI626 - MANTA LIQUIDA DE BASE ASFALTICA MODIFICADA COM A ADICAO DE ELASTOMEROS DILUIDOS EM SOLVENTE ORGANICO, APLICACAO A FRIO (MEMBRANA DE EMULSAO ASFALTICA PARA IMPERMEABILIZACAO FLEXIVEL)</t>
  </si>
  <si>
    <t>0127000200SI88270 - IMPERMEABILIZADOR COM ENCARGOS COMPLEMENTARES</t>
  </si>
  <si>
    <t>Item: 250</t>
  </si>
  <si>
    <t>Serviço: FILTRO ANAERÓBIO CIRCULAR, EM CONCRETO PRÉ-MOLDADO, DIÂMETRO INTERNO = 1,88 M, ALTURA INTERNA = 1,50 M, VOLUME ÚTIL: 3331,1 L (PARA 19 CONTRIBUINTES). AF_12/2020_PA</t>
  </si>
  <si>
    <t>8900103001SI125 - ANEL EM CONCRETO ARMADO, LISO, PARA FOSSAS SEPTICAS E SUMIDOUROS, SEM FUNDO, DIAMETRO INTERNO DE 2,00 M E ALTURA DE 0,50 M</t>
  </si>
  <si>
    <t>8900103001SI125 - ANEL EM CONCRETO ARMADO, LISO, PARA POCOS DE INSPECAO, SEM FUNDO, DIAMETRO INTERNO DE 0,60 M E ALTURA DE 0,50 M</t>
  </si>
  <si>
    <t>8900103001SI472 - PEDRA BRITADA N. 0, OU PEDRISCO (4,8 A 9,5 MM) POSTO PEDREIRA/FORNECEDOR, SEM FRETE</t>
  </si>
  <si>
    <t>8004008095SI97738 - PEÇA CIRCULAR PRÉ-MOLDADA, VOLUME DE CONCRETO DE 10 A 30 LITROS, TAXA DE FIBRA DE POLIPROPILENO APROXIMADA DE 6 KG/M³. AF_03/2024_PS</t>
  </si>
  <si>
    <t>8004008095SI97740 - PEÇA CIRCULAR PRÉ-MOLDADA, VOLUME DE CONCRETO ACIMA DE 100 LITROS, TAXA DE AÇO APROXIMADA DE 30KG/M³. AF_03/2024</t>
  </si>
  <si>
    <t>8002508020SI101624 - PREPARO DE FUNDO DE VALA COM LARGURA MAIOR OU IGUAL A 1,5 M E MENOR QUE 2,5 M, COM CAMADA DE BRITA, LANÇAMENTO MECANIZADO. AF_08/2020</t>
  </si>
  <si>
    <t>Item: 251</t>
  </si>
  <si>
    <t>Serviço: SUMIDOURO CIRCULAR, EM CONCRETO PRÉ-MOLDADO, DIÂMETRO INTERNO = 2,88 M, ALTURA INTERNA = 3,0 M, ÁREA DE INFILTRAÇÃO: 31,4 M² (PARA 12 CONTRIBUINTES). AF_12/2020_PA</t>
  </si>
  <si>
    <t>8900103001SI434 - ANEL EM CONCRETO ARMADO, PERFURADO, PARA FOSSAS SEPTICAS E SUMIDOUROS, SEM FUNDO, DIAMETRO INTERNO DE 3,00 M E ALTURA DE 0,50 M</t>
  </si>
  <si>
    <t>8006508010SI100475 - ARGAMASSA TRAÇO 1:3 (EM VOLUME DE CIMENTO E AREIA MÉDIA ÚMIDA) COM ADIÇÃO DE IMPERMEABILIZANTE, PREPARO MECÂNICO COM BETONEIRA 400 L. AF_08/2019</t>
  </si>
  <si>
    <t>Item: 252</t>
  </si>
  <si>
    <t>Serviço: TUBO, PVC, SOLDÁVEL, DE 50MM, INSTALADO EM RAMAL DE DISTRIBUIÇÃO DE ÁGUA - FORNECIMENTO E INSTALAÇÃO. AF_06/2022</t>
  </si>
  <si>
    <t>Item: 254</t>
  </si>
  <si>
    <t>Serviço: APLICAÇÃO DE ADUBO EM SOLO. AF_07/2024</t>
  </si>
  <si>
    <t>8900103001SI312 - FERTILIZANTE NPK - 4: 14: 8</t>
  </si>
  <si>
    <t>8900103001SI381 - FERTILIZANTE ORGANICO COMPOSTO, CLASSE A</t>
  </si>
  <si>
    <t>0127000200SI88441 - JARDINEIRO COM ENCARGOS COMPLEMENTARES</t>
  </si>
  <si>
    <t>Item: 255</t>
  </si>
  <si>
    <t>Serviço: ESPALHAMENTO DE MATERIAL EM BOTA-FORA</t>
  </si>
  <si>
    <t>2202019100SCE9540 - TRATOR SOBRE ESTEIRAS COM LÂMINA - 127 KW</t>
  </si>
  <si>
    <t>Item: 256</t>
  </si>
  <si>
    <t>Serviço: ESTRUTURA DE CONCRETO ARMADO PARA APOIO E FIXAÇÃO DO PORTÃO METÁLICO DA CERCA DE CONCRETO, COMPOSTO POR 02 (DOIS) PILARES (COM FORMATO RETANGULAR E TRIANGULAR) COM ALTURA DE 2,05M, FIXADOS NA VIGA SUPERIOR DE CONCRETO PRÉ-MOLDADO, CINTA INFERIOR DE CONCRETO SIMPLES E BLOCO DE CONCRETO ARMADO.</t>
  </si>
  <si>
    <t>8004008080XX28 - PILAR DE CONCRETO ARMADO PRÉ-MOLDADO (COM FORMATO DE POLÍGONO COMPOSTO POR RETÂNGULO E TRIÂNGULO) E ALTURA TOTAL DE 2,45 M</t>
  </si>
  <si>
    <t>8004008080XX37 - BLOCO DE CONCRETO ARMADO (30X40X60 CM) PARA FIXAÇÃO DO PILAR (MOURÃO) DE CONCRETO DO PORTÃO DA CERCA DE CONCRETO. AF. 06/2017</t>
  </si>
  <si>
    <t>8004008080XX38 - VIGA SUPERIOR DE CONCRETO ARMADO (PRÉ-MOLDADO) DE 0,17X0,10X0,81CM, COM  06 (SEIS) FUROS DE Ø = 1 PARA FIXAÇÃO NOS FERROS DOS PILARES.</t>
  </si>
  <si>
    <t>8004008080XX39 - CINTA INFERIOR DE CONCRETO SIMPLES DE 20X30CM NO NÍVEL DO TERRENO, MOLDADO NO LOCAL DA CERCA.</t>
  </si>
  <si>
    <t>2202019100SI5824 - CAMINHÃO TOCO, PBT 16.000 KG, CARGA ÚTIL MÁX. 10.685 KG, DIST. ENTRE EIXOS 4,8 M, POTÊNCIA 189 CV, INCLUSIVE CARROCERIA FIXA ABERTA DE MADEIRA P/ TRANSPORTE GERAL DE CARGA SECA,</t>
  </si>
  <si>
    <t>8006508010SI87372 - ARGAMASSA TRAÇO 1:3 (EM VOLUME DE CIMENTO E AREIA MÉDIA ÚMIDA) PARA CONTRAPISO, PREPARO MANUAL. AF_08/2019</t>
  </si>
  <si>
    <t>8002008099SC5914333 - CARGA, MANOBRA E DESCARGA DE MATERIAIS DIVERSOS EM CAMINHÃO CARROCERIA DE 15 T - CARGA E DESCARGA COM CAMINHÃO GUINDAUTO DE 20 T.M</t>
  </si>
  <si>
    <t>8002008099SC5915476 - CARGA, MANOBRA E DESCARGA DE AGREGADOS OU SOLOS EM CAMINHÃO BASCULANTE DE 6 M³ - CARGA MANUAL E DESCARGA LIVRE</t>
  </si>
  <si>
    <t>Item: 257</t>
  </si>
  <si>
    <t>Serviço: FORNECIMENTO E ASSENTAMENTO DE PORTÃO PARA VEÍCULOS PADRÃO CAESB, COM ESTRUTURA EM TUBO E TELAS EM ARAME GALVANIZADO</t>
  </si>
  <si>
    <t>8900103001SI137 - CIMENTO PORTLAND COMPOSTO CP II-32</t>
  </si>
  <si>
    <t>0846003004001 - PORTÃO PARA ENTRADA DE VEÍCULO PADRÃO CAESB EM TUBO GALVANIZADO 38MM E 55MM DE DIÂMETRO COM ESPAÇAMENTO ENTRE EIXO DE 13,5CM E TELA ARTÍSTICA 3X5 FIO 12</t>
  </si>
  <si>
    <t>Item: 258</t>
  </si>
  <si>
    <t>Serviço: FORNECIMENTO E INSTALAÇÃO DE PLACA DE OBRA COM CHAPA GALVANIZADA E ESTRUTURA DE MADEIRA. AF_03/2022_PS</t>
  </si>
  <si>
    <t>8900103001SI481 - PLACA DE OBRA (PARA CONSTRUCAO CIVIL) EM CHAPA GALVANIZADA *N. 22*, ADESIVADA, DE *2,4 X 1,2* M (SEM POSTES PARA FIXACAO)</t>
  </si>
  <si>
    <t>8900103001SI506 - PREGO DE ACO POLIDO COM CABECA 10 X 10 (7/8 X 17)</t>
  </si>
  <si>
    <t>8900103001SI506 - PREGO DE ACO POLIDO COM CABECA 17 X 27 (2 1/2 X 11)</t>
  </si>
  <si>
    <t>8006508050SI102234 - PINTURA IMUNIZANTE PARA MADEIRA, 2 DEMÃOS. AF_01/2021</t>
  </si>
  <si>
    <t>Item: 259</t>
  </si>
  <si>
    <t>Serviço: LIMPEZA MANUAL DE VEGETAÇÃO EM TERRENO COM ENXADA. AF_03/2024</t>
  </si>
  <si>
    <t>Item: 260</t>
  </si>
  <si>
    <t>Serviço: LIMPEZA MECANIZADA DE CAMADA VEGETAL, VEGETAÇÃO E PEQUENAS ÁRVORES (DIÂMETRO DE TRONCO MENOR QUE 0,20 M), COM TRATOR DE ESTEIRAS. AF_03/2024</t>
  </si>
  <si>
    <t>2202019100SI89032 - TRATOR DE ESTEIRAS, POTÊNCIA 100 HP, PESO OPERACIONAL 9,4 T, COM LÂMINA 2,19 M3 - CHP DIURNO. AF_06/2014</t>
  </si>
  <si>
    <t>2202019200SI89031 - TRATOR DE ESTEIRAS, POTÊNCIA 100 HP, PESO OPERACIONAL 9,4 T, COM LÂMINA 2,19 M3 - CHI DIURNO. AF_06/2014</t>
  </si>
  <si>
    <t>Item: 261</t>
  </si>
  <si>
    <t>Serviço: PLACA MODULADA EM AÇO Nº 18 GALVANIZADO COM PELÍCULA RETRORREFLETIVA TIPO III + III - CONFECÇÃO</t>
  </si>
  <si>
    <t>8900103002SCM31 - BARRA CHATA EM AÇO GALVANIZADO</t>
  </si>
  <si>
    <t>8900103002SCM03 - CANTONEIRA EM AÇO ASTM A36 GALVANIZADO</t>
  </si>
  <si>
    <t>8900103002SCM13 - CHAPA FINA EM AÇO GALVANIZADO</t>
  </si>
  <si>
    <t>8900103002SCM32 - FITA ADESIVA ESTRUTURAL DUPLA-FACE - E = 2 MM E L = 25 MM</t>
  </si>
  <si>
    <t>8900103002SCM09 - PARAFUSO DE CABEÇA SEXTAVADA EM AÇO GALVANIZADO COM PORCA E ARRUELA DE PRESSÃO - D = 6,35 MM (1/4)</t>
  </si>
  <si>
    <t>8900103002SCM09 - PARAFUSO DE CABEÇA SEXTAVADA EM AÇO GALVANIZADO COM PORCA E ARRUELA DE PRESSÃO - D = 9,525 MM (3/8)</t>
  </si>
  <si>
    <t>8900103002SCM32 - PELÍCULA RETRORREFLETIVA TIPO III</t>
  </si>
  <si>
    <t>0127000200SI88315 - SERRALHEIRO COM ENCARGOS COMPLEMENTARES</t>
  </si>
  <si>
    <t>2202019100SCE9507 - PLOTADORA DE RECORTE COM COMPUTADOR E PROGRAMA COMPUTACIONAL</t>
  </si>
  <si>
    <t>2202019100SCE9568 - FURADEIRA DE IMPACTO DE 12,5 MM - 0,80 KW</t>
  </si>
  <si>
    <t>2202019100SCE9622 - MÁQUINA DE BANCADA UNIVERSAL PARA CORTE DE CHAPA - 1,50 KW</t>
  </si>
  <si>
    <t>2202019100SCE9623 - MÁQUINA DE BANCADA GUILHOTINA - 4,00 KW</t>
  </si>
  <si>
    <t>8008008040SC5212552 - PINTURA ELETROSTÁTICA A PÓ COM TINTA POLIÉSTER EM CHAPA DE AÇO</t>
  </si>
  <si>
    <t>8004006001SC2408057 - SOLDA ELÉTRICA DE PERFIS METÁLICOS E CHAPAS DE AÇO COM ELETRODO E60XX</t>
  </si>
  <si>
    <t>Item: 262</t>
  </si>
  <si>
    <t>Serviço: PLANTIO DE GRAMA BATATAIS EM PLACAS. AF_07/2024</t>
  </si>
  <si>
    <t>8900103001SI332 - GRAMA BATATAIS EM PLACAS, SEM PLANTIO</t>
  </si>
  <si>
    <t>Item: 264</t>
  </si>
  <si>
    <t>Serviço: CAIXA D´ÁGUA EM POLIÉSTER REFORÇADO COM FIBRA DE VIDRO, 10000 LITROS - FORNECIMENTO E INSTALAÇÃO. AF_06/2021</t>
  </si>
  <si>
    <t>8900103001SI371 - CAIXA D'AGUA / RESERVATORIO EM POLIESTER REFORCADO COM FIBRA DE VIDRO, 10000 LITROS, COM TAMPA</t>
  </si>
  <si>
    <t>2202019100SI93287 - GUINDASTE HIDRÁULICO AUTOPROPELIDO, COM LANÇA TELESCÓPICA 40 M, CAPACIDADE MÁXIMA 60 T, POTÊNCIA 260 KW - CHP DIURNO. AF_03/2016</t>
  </si>
  <si>
    <t>2202019200SI93288 - GUINDASTE HIDRÁULICO AUTOPROPELIDO, COM LANÇA TELESCÓPICA 40 M, CAPACIDADE MÁXIMA 60 T, POTÊNCIA 260 KW - CHI DIURNO. AF_03/2016</t>
  </si>
  <si>
    <t>Item: 265</t>
  </si>
  <si>
    <t>Serviço: DESENVOLVIMENTO DE PLANO DE GERENCIAMENTO DE RESÍDUOS SÓLIDOS - TIPO 2 (OBRA DE GRANDE PORTE), INCLUSIVE RELATÓRIO TÉCNICO</t>
  </si>
  <si>
    <t>0127000059024 - ENGENHEIRO AMBIENTAL SÊNIOR COM ENCARGOS COMPLEMENTARES</t>
  </si>
  <si>
    <t>Item: 266</t>
  </si>
  <si>
    <t>Serviço: MANÔMETRO 0 A 200 PSI (0 A 14 KGF/CM2), D = 50MM - FORNECIMENTO E INSTALAÇÃO. AF_10/2020</t>
  </si>
  <si>
    <t>8900103001SI314 - FITA VEDA ROSCA, EM PTFE, ROLO DE 18 MM X 10 M (L X C)</t>
  </si>
  <si>
    <t>8900103001SI128 - MANOMETRO COM CAIXA EM ACO PINTADO, ESCALA *10* KGF/CM2 (*10* BAR), DIAMETRO NOMINAL DE *63* MM, CONEXAO DE 1/4</t>
  </si>
  <si>
    <t>Item: 267</t>
  </si>
  <si>
    <t>Serviço: TORNEIRA DE BOIA PARA CAIXA D'ÁGUA, ROSCÁVEL, 1 1/2 - FORNECIMENTO E INSTALAÇÃO. AF_08/2021</t>
  </si>
  <si>
    <t>8900103001SI117 - TORNEIRA DE BOIA CONVENCIONAL PARA CAIXA D'AGUA, AGUA FRIA, 1.1/2, COM HASTE E TORNEIRA METALICOS E BALAO PLASTICO</t>
  </si>
  <si>
    <t>Item: 268</t>
  </si>
  <si>
    <t>Serviço: TUBO PVC, SÉRIE R, ÁGUA PLUVIAL, DN 150 MM, FORNECIDO E INSTALADO EM RAMAL DE ENCAMINHAMENTO. AF_06/2022</t>
  </si>
  <si>
    <t>8900103001SI984 - TUBO PVC, SERIE R, DN 150 MM, PARA ESGOTO OU AGUAS PLUVIAIS PREDIAL (NBR 5688)</t>
  </si>
  <si>
    <t>Item: 270</t>
  </si>
  <si>
    <t>Serviço: REASSENTAMENTO MANUAL DE MEIO-FIO COM MATERIAL ARRANCADO DA PISTA</t>
  </si>
  <si>
    <t>Item: 272</t>
  </si>
  <si>
    <t>Serviço: ESCAVAÇÃO MANUAL EM MATERIAL DE 1ª CATEGORIA NA PROFUNDIDADE DE 1 A 2 M</t>
  </si>
  <si>
    <t>Item: 273</t>
  </si>
  <si>
    <t>Serviço: ESCAVAÇÃO MANUAL EM MATERIAL DE 1ª CATEGORIA NA PROFUNDIDADE DE 2 A 3 M</t>
  </si>
  <si>
    <t>Item: 274</t>
  </si>
  <si>
    <t>Serviço: ESCAVAÇÃO MANUAL EM MATERIAL DE 1ª CATEGORIA NA PROFUNDIDADE DE 3 A 4 M</t>
  </si>
  <si>
    <t>Item: 275</t>
  </si>
  <si>
    <t>Serviço: ESCAVAÇÃO MANUAL EM MATERIAL DE 1ª CATEGORIA NA PROFUNDIDADE DE ATÉ 1 M</t>
  </si>
  <si>
    <t>Item: 276</t>
  </si>
  <si>
    <t>Serviço: ESCAVAÇÃO MANUAL EM MATERIAL DE 2ª CATEGORIA NA PROFUNDIDADE DE 1 A 2 M</t>
  </si>
  <si>
    <t>Item: 277</t>
  </si>
  <si>
    <t>Serviço: ESCAVAÇÃO MANUAL EM MATERIAL DE 2ª CATEGORIA NA PROFUNDIDADE DE 2 A 3 M</t>
  </si>
  <si>
    <t>Item: 278</t>
  </si>
  <si>
    <t>Serviço: ESCAVAÇÃO MANUAL EM MATERIAL DE 2ª CATEGORIA NA PROFUNDIDADE DE 3 A 4 M</t>
  </si>
  <si>
    <t>Item: 280</t>
  </si>
  <si>
    <t>Serviço: LIGAÇÃO PREDIAL PADRÃO DE ÁGUA, DIÂMETROS MAIORES QUE 32 MM</t>
  </si>
  <si>
    <t>2240019002011 - ESMERIL DE CHICOTE, ELÉTRICO, POTÊNCIA 3,0 CV (2,2 KW)_ALIMENTAÇÃO ELÉTRICA _(2,20KW-SC-SMO) #AF_01/2024</t>
  </si>
  <si>
    <t>2207019002003 - GERADOR, GASOLINA, POTÊNCIA NOMINAL DE 6,5 KVA E POTÊNCIA MÁXIMA DE 7,0 KVA_ALIMENTAÇÃO A GASOLINA _(10,00KW-G-SMO) #AF_01/2024</t>
  </si>
  <si>
    <t>2270019003011 - MÁQUINA DE SOLDA POR ELETROFUSÃO, POTÊNCIA 3.500 W, TENSÃO PRIMÁRIO 230 V / 60 HZ, DIMENSÕES 285 X 200 X 360 MM_ALIMENTAÇÃO ELÉTRICA _(3,60KW-SC-SMO) #AF_01/2024</t>
  </si>
  <si>
    <t>2280019003004 - CAMINHAO TOCO, PBT 8500 KG, CARGA UTIL MAXIMA 5600 KG, DISTANCIA ENTRE EIXOS 3,40 M INCLUSIVE CABINE SUPLEMENTAR P/4 PASSAGEIROS E CARROCERIA FIXA ABERTA DE MADEIRA P/ TRANSPORTE GERAL DE CARGA SECA_ALIMENTAÇÃO A DIESEL _(123,00KW-D-SMO) #AF_01/2024</t>
  </si>
  <si>
    <t>2240019002012 - ESMERIL DE CHICOTE, ELÉTRICO, POTÊNCIA 3,0 CV (2,2 KW)_ALIMENTAÇÃO ELÉTRICA _(2,20KW-SC-SMO) #AF_01/2024</t>
  </si>
  <si>
    <t>2207019002004 - GERADOR, GASOLINA, POTÊNCIA NOMINAL DE 6,5 KVA E POTÊNCIA MÁXIMA DE 7,0 KVA_ALIMENTAÇÃO A GASOLINA _(10,00KW-G-SMO) #AF_01/2024</t>
  </si>
  <si>
    <t>2270019003012 - MÁQUINA DE SOLDA POR ELETROFUSÃO, POTÊNCIA 3.500 W, TENSÃO PRIMÁRIO 230 V / 60 HZ, DIMENSÕES 285 X 200 X 360 MM_ALIMENTAÇÃO ELÉTRICA _(3,60KW-SC-SMO) #AF_01/2024</t>
  </si>
  <si>
    <t>2280019003005 - CAMINHAO TOCO, PBT 8500 KG, CARGA UTIL MAXIMA 5600 KG, DISTANCIA ENTRE EIXOS 3,40 M INCLUSIVE CABINE SUPLEMENTAR P/4 PASSAGEIROS E CARROCERIA FIXA ABERTA DE MADEIRA P/ TRANSPORTE GERAL DE CARGA SECA_ALIMENTAÇÃO A DIESEL _(123,00KW-D-SMO) #AF_01/2024</t>
  </si>
  <si>
    <t>2202019100SI91283 - CORTADORA DE PISO COM MOTOR 4 TEMPOS A GASOLINA, POTÊNCIA DE 13 HP, COM DISCO DE CORTE DIAMANTADO SEGMENTADO PARA CONCRETO, DIÂMETRO DE 350 MM, FURO DE 1 (14 X 1) - CHP DIURNO. AF_08/2015</t>
  </si>
  <si>
    <t>2202019100SI95264 - COMPACTADOR DE SOLOS DE PERCUSÃO (SOQUETE) COM MOTOR A GASOLINA, POTÊNCIA 3 CV - CHP DIURNO. AF_09/2016</t>
  </si>
  <si>
    <t>2202019200SI91285 - CORTADORA DE PISO COM MOTOR 4 TEMPOS A GASOLINA, POTÊNCIA DE 13 HP, COM DISCO DE CORTE DIAMANTADO SEGMENTADO PARA CONCRETO, DIÂMETRO DE 350 MM, FURO DE 1 (14 X 1) - CHI DIURNO. AF_08/2015</t>
  </si>
  <si>
    <t>2202019200SI95265 - COMPACTADOR DE SOLOS DE PERCUSÃO (SOQUETE) COM MOTOR A GASOLINA, POTÊNCIA 3 CV - CHI DIURNO. AF_09/2016</t>
  </si>
  <si>
    <t>0129000010007 - ENCANADOR OU BOMBEIRO HIDRÁULICO ( LÍDER DE EQUIPE) COM ENCARGOS COMPLEMENTARES</t>
  </si>
  <si>
    <t>Item: 291</t>
  </si>
  <si>
    <t>Serviço: GRUPO GERADOR - 113 KVA</t>
  </si>
  <si>
    <t>Unidade: CHP</t>
  </si>
  <si>
    <t>2203009001SCE9779D - Grupo gerador - 113 kVA_DEPRECIAÇÃO</t>
  </si>
  <si>
    <t>2203009001SCE9779J - Grupo gerador - 113 kVA_JUROS</t>
  </si>
  <si>
    <t>2203009001SCE9779CM - Grupo gerador - 113 kVA_MATERIAL NA OPERAÇÃO</t>
  </si>
  <si>
    <t>2203009001SCE9779M - Grupo gerador - 113 kVA_MANUTENÇÃO</t>
  </si>
  <si>
    <t>Item: 292</t>
  </si>
  <si>
    <t>Unidade: CHI</t>
  </si>
  <si>
    <t>Composição:</t>
  </si>
  <si>
    <t>0127000200SI100534</t>
  </si>
  <si>
    <t>Serviço: TECNICO DE EDIFICACOES COM ENCARGOS COMPLEMENTARES</t>
  </si>
  <si>
    <t>0128000050SI409 - TECNICO DE EDIFICACOES (MENSALISTA)</t>
  </si>
  <si>
    <t>8900103001SI434 - FERRAMENTAS - FAMILIA ALMOXARIFE - MENSALISTA (ENCARGOS COMPLEMENTARES - COLETADO CAIXA)</t>
  </si>
  <si>
    <t>8900103001SI408 - SEGURO - MENSALISTA (COLETADO CAIXA - ENCARGOS COMPLEMENTARES)</t>
  </si>
  <si>
    <t>8900103001SI434 - EPI - FAMILIA ALMOXARIFE - MENSALISTA (ENCARGOS COMPLEMENTARES - COLETADO CAIXA)</t>
  </si>
  <si>
    <t>8900103001SI408 - EXAMES - MENSALISTA (COLETADO CAIXA - ENCARGOS COMPLEMENTARES)</t>
  </si>
  <si>
    <t>0128000050SI100536 - CURSO DE CAPACITAÇÃO PARA TECNICO DE EDIFICACOES (ENCARGOS COMPLEMENTARES) - MENSALISTA</t>
  </si>
  <si>
    <t>0128000050SI100536</t>
  </si>
  <si>
    <t>Serviço: CURSO DE CAPACITAÇÃO PARA TECNICO DE EDIFICACOES (ENCARGOS COMPLEMENTARES) - MENSALISTA</t>
  </si>
  <si>
    <t>0127000200SI100321</t>
  </si>
  <si>
    <t>Serviço: TÉCNICO EM SEGURANÇA DO TRABALHO COM ENCARGOS COMPLEMENTARES</t>
  </si>
  <si>
    <t>0128000050SI409 - TECNICO EM SEGURANCA DO TRABALHO (MENSALISTA)</t>
  </si>
  <si>
    <t>0128000050SI100315 - CURSO DE CAPACITAÇÃO PARA TÉCNICO EM SEGURANÇA DO TRABALHO (ENCARGOS COMPLEMENTARES) - MENSALISTA</t>
  </si>
  <si>
    <t>0128000050SI100315</t>
  </si>
  <si>
    <t>Serviço: CURSO DE CAPACITAÇÃO PARA TÉCNICO EM SEGURANÇA DO TRABALHO (ENCARGOS COMPLEMENTARES) - MENSALISTA</t>
  </si>
  <si>
    <t>0127000200SI100289</t>
  </si>
  <si>
    <t>Serviço: VIGIA DIURNO COM ENCARGOS COMPLEMENTARES</t>
  </si>
  <si>
    <t>8900103001SI373 - TRANSPORTE - HORISTA (COLETADO CAIXA - ENCARGOS COMPLEMENTARES)</t>
  </si>
  <si>
    <t>8900103001SI373 - ALIMENTACAO - HORISTA (COLETADO CAIXA - ENCARGOS COMPLEMENTARES)</t>
  </si>
  <si>
    <t>8900103001SI373 - SEGURO - HORISTA (COLETADO CAIXA - ENCARGOS COMPLEMENTARES)</t>
  </si>
  <si>
    <t>0128000050SI343 - VIGIA DIURNO (HORISTA)</t>
  </si>
  <si>
    <t>8900103001SI434 - EPI - FAMILIA SERVENTE - HORISTA (ENCARGOS COMPLEMENTARES - COLETADO CAIXA)</t>
  </si>
  <si>
    <t>8900103001SI373 - EXAMES - HORISTA (COLETADO CAIXA - ENCARGOS COMPLEMENTARES)</t>
  </si>
  <si>
    <t>8900103001SI434 - FERRAMENTAS - FAMILIA SERVENTE - HORISTA (ENCARGOS COMPLEMENTARES - COLETADO CAIXA)</t>
  </si>
  <si>
    <t>0128000050SI100288 - CURSO DE CAPACITAÇÃO PARA VIGIA DIURNO (ENCARGOS COMPLEMENTARES) - HORISTA</t>
  </si>
  <si>
    <t>0128000050SI100288</t>
  </si>
  <si>
    <t>Serviço: CURSO DE CAPACITAÇÃO PARA VIGIA DIURNO (ENCARGOS COMPLEMENTARES) - HORISTA</t>
  </si>
  <si>
    <t>Serviço: VIGIA NOTURNO COM ENCARGOS COMPLEMENTARES</t>
  </si>
  <si>
    <t>0128000023003 - VIGIA NOTURNO, HORA EFETIVAMENTE TRABALHADA DE 22 H AS 5 H (COM ADICIONAL NOTURNO)</t>
  </si>
  <si>
    <t>0128100118026 - CURSO DE CAPACITAÇÃO PARA VIGIA NOTURNO (ENCARGOS COMPLEMENTARES) - HORISTA</t>
  </si>
  <si>
    <t>Serviço: VIGIA NOTURNO, HORA EFETIVAMENTE TRABALHADA DE 22 H AS 5 H (COM ADICIONAL NOTURNO)</t>
  </si>
  <si>
    <t>Serviço: CURSO DE CAPACITAÇÃO PARA VIGIA NOTURNO (ENCARGOS COMPLEMENTARES) - HORISTA</t>
  </si>
  <si>
    <t>0127000200SI93563</t>
  </si>
  <si>
    <t>Serviço: ALMOXARIFE COM ENCARGOS COMPLEMENTARES</t>
  </si>
  <si>
    <t>0128000050SI408 - ALMOXARIFE (MENSALISTA)</t>
  </si>
  <si>
    <t>0128000050SI95413 - CURSO DE CAPACITAÇÃO PARA ALMOXARIFE (ENCARGOS COMPLEMENTARES) - MENSALISTA</t>
  </si>
  <si>
    <t>0128000050SI95413</t>
  </si>
  <si>
    <t>Serviço: CURSO DE CAPACITAÇÃO PARA ALMOXARIFE (ENCARGOS COMPLEMENTARES) - MENSALISTA</t>
  </si>
  <si>
    <t>0127000200SI101388</t>
  </si>
  <si>
    <t>Serviço: AUXILIAR DE SERVIÇOS GERAIS COM ENCARGOS COMPLEMENTARES</t>
  </si>
  <si>
    <t>8900103001SI408 - ALIMENTACAO - MENSALISTA (COLETADO CAIXA - ENCARGOS COMPLEMENTARES)</t>
  </si>
  <si>
    <t>0128000050SI410 - AUXILIAR DE SERVICOS GERAIS (MENSALISTA)</t>
  </si>
  <si>
    <t>8900103001SI435 - EPI - FAMILIA SERVENTE - MENSALISTA (ENCARGOS COMPLEMENTARES - COLETADO CAIXA)</t>
  </si>
  <si>
    <t>8900103001SI434 - FERRAMENTAS - FAMILIA SERVENTE - MENSALISTA (ENCARGOS COMPLEMENTARES - COLETADO CAIXA)</t>
  </si>
  <si>
    <t>8900103001SI408 - TRANSPORTE - MENSALISTA (COLETADO CAIXA - ENCARGOS COMPLEMENTARES)</t>
  </si>
  <si>
    <t>0128000050SI101300 - CURSO DE CAPACITAÇÃO PARA AUXILIAR DE SERVIÇOS GERAIS (ENCARGOS COMPLEMENTARES) - MENSALISTA</t>
  </si>
  <si>
    <t>0128000050SI101300</t>
  </si>
  <si>
    <t>Serviço: CURSO DE CAPACITAÇÃO PARA AUXILIAR DE SERVIÇOS GERAIS (ENCARGOS COMPLEMENTARES) - MENSALISTA</t>
  </si>
  <si>
    <t>0127000200SI93572</t>
  </si>
  <si>
    <t>Serviço: ENCARREGADO GERAL DE OBRAS COM ENCARGOS COMPLEMENTARES</t>
  </si>
  <si>
    <t>0128000050SI408 - ENCARREGADO GERAL DE OBRAS (MENSALISTA)</t>
  </si>
  <si>
    <t>8900103001SI434 - EPI - FAMILIA ENCARREGADO GERAL - MENSALISTA (ENCARGOS COMPLEMENTARES - COLETADO CAIXA)</t>
  </si>
  <si>
    <t>8900103001SI434 - FERRAMENTAS - FAMILIA ENCARREGADO GERAL - MENSALISTA (ENCARGOS COMPLEMENTARES - COLETADO CAIXA)</t>
  </si>
  <si>
    <t>0128000050SI95422 - CURSO DE CAPACITAÇÃO PARA ENCARREGADO GERAL DE OBRAS (ENCARGOS COMPLEMENTARES) - MENSALISTA</t>
  </si>
  <si>
    <t>0128000050SI95422</t>
  </si>
  <si>
    <t>Serviço: CURSO DE CAPACITAÇÃO PARA ENCARREGADO GERAL DE OBRAS (ENCARGOS COMPLEMENTARES) - MENSALISTA</t>
  </si>
  <si>
    <t>0127000200SI93567</t>
  </si>
  <si>
    <t>Serviço: ENGENHEIRO CIVIL DE OBRA PLENO COM ENCARGOS COMPLEMENTARES</t>
  </si>
  <si>
    <t>0128000050SI408 - ENGENHEIRO CIVIL DE OBRA PLENO (MENSALISTA)</t>
  </si>
  <si>
    <t>8900103001SI434 - EPI - FAMILIA ENGENHEIRO CIVIL - MENSALISTA (ENCARGOS COMPLEMENTARES - COLETADO CAIXA)</t>
  </si>
  <si>
    <t>8900103001SI434 - FERRAMENTAS - FAMILIA ENGENHEIRO CIVIL - MENSALISTA (ENCARGOS COMPLEMENTARES - COLETADO CAIXA)</t>
  </si>
  <si>
    <t>0128000050SI95417 - CURSO DE CAPACITAÇÃO PARA ENGENHEIRO CIVIL DE OBRA PLENO (ENCARGOS COMPLEMENTARES) - MENSALISTA</t>
  </si>
  <si>
    <t>0128000050SI95417</t>
  </si>
  <si>
    <t>Serviço: CURSO DE CAPACITAÇÃO PARA ENGENHEIRO CIVIL DE OBRA PLENO (ENCARGOS COMPLEMENTARES) - MENSALISTA</t>
  </si>
  <si>
    <t>0127000200SI88243</t>
  </si>
  <si>
    <t>Serviço: AJUDANTE ESPECIALIZADO COM ENCARGOS COMPLEMENTARES</t>
  </si>
  <si>
    <t>0128000050SI242 - AJUDANTE ESPECIALIZADO (HORISTA)</t>
  </si>
  <si>
    <t>0128000050SI95313 - CURSO DE CAPACITAÇÃO PARA AJUDANTE ESPECIALIZADO (ENCARGOS COMPLEMENTARES) - HORISTA</t>
  </si>
  <si>
    <t>0128000050SI95313</t>
  </si>
  <si>
    <t>Serviço: CURSO DE CAPACITAÇÃO PARA AJUDANTE ESPECIALIZADO (ENCARGOS COMPLEMENTARES) - HORISTA</t>
  </si>
  <si>
    <t>0127000200SI88310</t>
  </si>
  <si>
    <t>Serviço: PINTOR COM ENCARGOS COMPLEMENTARES</t>
  </si>
  <si>
    <t>0128000050SI478 - PINTOR (HORISTA)</t>
  </si>
  <si>
    <t>8900103001SI434 - EPI - FAMILIA PINTOR - HORISTA (ENCARGOS COMPLEMENTARES - COLETADO CAIXA)</t>
  </si>
  <si>
    <t>8900103001SI434 - FERRAMENTAS - FAMILIA PINTOR - HORISTA (ENCARGOS COMPLEMENTARES - COLETADO CAIXA)</t>
  </si>
  <si>
    <t>0128000050SI95372 - CURSO DE CAPACITAÇÃO PARA PINTOR (ENCARGOS COMPLEMENTARES) - HORISTA</t>
  </si>
  <si>
    <t>0128000050SI95372</t>
  </si>
  <si>
    <t>Serviço: CURSO DE CAPACITAÇÃO PARA PINTOR (ENCARGOS COMPLEMENTARES) - HORISTA</t>
  </si>
  <si>
    <t>8002008099SC5914655</t>
  </si>
  <si>
    <t>Serviço: CARGA, MANOBRA E DESCARGA DE MATERIAIS DIVERSOS EM CAMINHÃO CARROCERIA DE 15 T - CARGA E DESCARGA MANUAIS</t>
  </si>
  <si>
    <t>2202019100SCE9592 - CAMINHÃO CARROCERIA COM CAPACIDADE DE 15 T - 188 KW</t>
  </si>
  <si>
    <t>0127000200SI88316</t>
  </si>
  <si>
    <t>Serviço: SERVENTE COM ENCARGOS COMPLEMENTARES</t>
  </si>
  <si>
    <t>0128000050SI611 - SERVENTE DE OBRAS (HORISTA)</t>
  </si>
  <si>
    <t>0128000050SI95378 - CURSO DE CAPACITAÇÃO PARA SERVENTE (ENCARGOS COMPLEMENTARES) - HORISTA</t>
  </si>
  <si>
    <t>0128000050SI95378</t>
  </si>
  <si>
    <t>Serviço: CURSO DE CAPACITAÇÃO PARA SERVENTE (ENCARGOS COMPLEMENTARES) - HORISTA</t>
  </si>
  <si>
    <t>2202019100SCE9592</t>
  </si>
  <si>
    <t>Serviço: CAMINHÃO CARROCERIA COM CAPACIDADE DE 15 T - 188 KW</t>
  </si>
  <si>
    <t>0127000200SI88282 - MOTORISTA DE CAMINHÃO COM ENCARGOS COMPLEMENTARES</t>
  </si>
  <si>
    <t>2203009001SCA9314CM - Caminhão plataforma 6 x 2, PBT 23.000 kg e distância entre eixos 5,4 m - 188 kW - motorista de caminhão_MATERIAL NA OPERAÇÃO</t>
  </si>
  <si>
    <t>2203009001SCA9314D - Caminhão plataforma 6 x 2, PBT 23.000 kg e distância entre eixos 5,4 m - 188 kW - motorista de caminhão_DEPRECIAÇÃO</t>
  </si>
  <si>
    <t>2203009001SCA9314IS - Caminhão plataforma 6 x 2, PBT 23.000 kg e distância entre eixos 5,4 m - 188 kW - motorista de caminhão_IMPOSTOS E SEGUROS</t>
  </si>
  <si>
    <t>2203009001SCA9314J - Caminhão plataforma 6 x 2, PBT 23.000 kg e distância entre eixos 5,4 m - 188 kW - motorista de caminhão_JUROS</t>
  </si>
  <si>
    <t>2203009001SCA9314M - Caminhão plataforma 6 x 2, PBT 23.000 kg e distância entre eixos 5,4 m - 188 kW - motorista de caminhão_MANUTENÇÃO</t>
  </si>
  <si>
    <t>2203009001SCA9352D - Carroceria de madeira com capacidade de 15 t_DEPRECIAÇÃO</t>
  </si>
  <si>
    <t>2203009001SCA9352J - Carroceria de madeira com capacidade de 15 t_JUROS</t>
  </si>
  <si>
    <t>2203009001SCA9352M - Carroceria de madeira com capacidade de 15 t_MANUTENÇÃO</t>
  </si>
  <si>
    <t>0127000200SI88282</t>
  </si>
  <si>
    <t>Serviço: MOTORISTA DE CAMINHÃO COM ENCARGOS COMPLEMENTARES</t>
  </si>
  <si>
    <t>0128000050SI409 - MOTORISTA DE CAMINHAO (HORISTA)</t>
  </si>
  <si>
    <t>8900103001SI434 - EPI - FAMILIA OPERADOR ESCAVADEIRA - HORISTA (ENCARGOS COMPLEMENTARES - COLETADO CAIXA)</t>
  </si>
  <si>
    <t>8900103001SI434 - FERRAMENTAS - FAMILIA OPERADOR ESCAVADEIRA - HORISTA (ENCARGOS COMPLEMENTARES - COLETADO CAIXA)</t>
  </si>
  <si>
    <t>0128000050SI95347 - CURSO DE CAPACITAÇÃO PARA MOTORISTA DE CAMINHÃO (ENCARGOS COMPLEMENTARES) - HORISTA</t>
  </si>
  <si>
    <t>0128000050SI95347</t>
  </si>
  <si>
    <t>Serviço: CURSO DE CAPACITAÇÃO PARA MOTORISTA DE CAMINHÃO (ENCARGOS COMPLEMENTARES) - HORISTA</t>
  </si>
  <si>
    <t>2203009001SCA9314CM</t>
  </si>
  <si>
    <t>Serviço: Caminhão plataforma 6 x 2, PBT 23.000 kg e distância entre eixos 5,4 m - 188 kW - motorista de caminhão_MATERIAL NA OPERAÇÃO</t>
  </si>
  <si>
    <t>8900103001SI422 - OLEO DIESEL COMBUSTIVEL COMUM METROPOLITANO S-10 OU S-500</t>
  </si>
  <si>
    <t>2203009001SCA9314D</t>
  </si>
  <si>
    <t>Serviço: Caminhão plataforma 6 x 2, PBT 23.000 kg e distância entre eixos 5,4 m - 188 kW - motorista de caminhão_DEPRECIAÇÃO</t>
  </si>
  <si>
    <t>2201005001SCA93 - CAMINHÃO PLATAFORMA 6 X 2, PBT 23.000 KG E DISTÂNCIA ENTRE EIXOS 5,4 M - 188 KW - MOTORISTA DE CAMINHÃO</t>
  </si>
  <si>
    <t>2203009001SCA9314IS</t>
  </si>
  <si>
    <t>Serviço: Caminhão plataforma 6 x 2, PBT 23.000 kg e distância entre eixos 5,4 m - 188 kW - motorista de caminhão_IMPOSTOS E SEGUROS</t>
  </si>
  <si>
    <t>2203009001SCA9314J</t>
  </si>
  <si>
    <t>Serviço: Caminhão plataforma 6 x 2, PBT 23.000 kg e distância entre eixos 5,4 m - 188 kW - motorista de caminhão_JUROS</t>
  </si>
  <si>
    <t>2203009001SCA9314M</t>
  </si>
  <si>
    <t>Serviço: Caminhão plataforma 6 x 2, PBT 23.000 kg e distância entre eixos 5,4 m - 188 kW - motorista de caminhão_MANUTENÇÃO</t>
  </si>
  <si>
    <t>2203009001SCA9352D</t>
  </si>
  <si>
    <t>Serviço: Carroceria de madeira com capacidade de 15 t_DEPRECIAÇÃO</t>
  </si>
  <si>
    <t>2201005001SCA93 - CARROCERIA DE MADEIRA COM CAPACIDADE DE 15 T</t>
  </si>
  <si>
    <t>2203009001SCA9352J</t>
  </si>
  <si>
    <t>Serviço: Carroceria de madeira com capacidade de 15 t_JUROS</t>
  </si>
  <si>
    <t>2203009001SCA9352M</t>
  </si>
  <si>
    <t>Serviço: Carroceria de madeira com capacidade de 15 t_MANUTENÇÃO</t>
  </si>
  <si>
    <t>2202019100SCE9263</t>
  </si>
  <si>
    <t>Serviço: TRIPÉ COM GUINCHO PARA ESPAÇO CONFINADO</t>
  </si>
  <si>
    <t>2203009001SCE9263D - Tripé com guincho para espaço confinado_DEPRECIAÇÃO</t>
  </si>
  <si>
    <t>2203009001SCE9263J - Tripé com guincho para espaço confinado_JUROS</t>
  </si>
  <si>
    <t>2203009001SCE9263M - Tripé com guincho para espaço confinado_MANUTENÇÃO</t>
  </si>
  <si>
    <t>2203009001SCE9263D</t>
  </si>
  <si>
    <t>Serviço: Tripé com guincho para espaço confinado_DEPRECIAÇÃO</t>
  </si>
  <si>
    <t>2201005001SCE92 - TRIPÉ COM GUINCHO PARA ESPAÇO CONFINADO</t>
  </si>
  <si>
    <t>2203009001SCE9263J</t>
  </si>
  <si>
    <t>Serviço: Tripé com guincho para espaço confinado_JUROS</t>
  </si>
  <si>
    <t>2203009001SCE9263M</t>
  </si>
  <si>
    <t>Serviço: Tripé com guincho para espaço confinado_MANUTENÇÃO</t>
  </si>
  <si>
    <t>2202019100SCE9267</t>
  </si>
  <si>
    <t>Serviço: EXAUSTOR CENTRÍFUGO ALTA PRESSÃO COM CAPACIDADE DE 35 M³/MIN - 1,47 KW</t>
  </si>
  <si>
    <t>2203009001SCE9267J - Exaustor centrífugo alta pressão com capacidade de 35 m³/min - 1,47 kW_JUROS</t>
  </si>
  <si>
    <t>2203009001SCE9267CM - Exaustor centrífugo alta pressão com capacidade de 35 m³/min - 1,47 kW_MATERIAL NA OPERAÇÃO</t>
  </si>
  <si>
    <t>2203009001SCE9267M - Exaustor centrífugo alta pressão com capacidade de 35 m³/min - 1,47 kW_MANUTENÇÃO</t>
  </si>
  <si>
    <t>2203009001SCE9267D - Exaustor centrífugo alta pressão com capacidade de 35 m³/min - 1,47 kW_DEPRECIAÇÃO</t>
  </si>
  <si>
    <t>2203009001SCE9267J</t>
  </si>
  <si>
    <t>Serviço: Exaustor centrífugo alta pressão com capacidade de 35 m³/min - 1,47 kW_JUROS</t>
  </si>
  <si>
    <t>2201005001SCE92 - EXAUSTOR CENTRÍFUGO ALTA PRESSÃO COM CAPACIDADE DE 35 M³/MIN - 1,47 KW</t>
  </si>
  <si>
    <t>2203009001SCE9267CM</t>
  </si>
  <si>
    <t>Serviço: Exaustor centrífugo alta pressão com capacidade de 35 m³/min - 1,47 kW_MATERIAL NA OPERAÇÃO</t>
  </si>
  <si>
    <t>0173004001SI270 - ENERGIA ELETRICA ATE 2000 KWH INDUSTRIAL, SEM DEMANDA</t>
  </si>
  <si>
    <t>2203009001SCE9267M</t>
  </si>
  <si>
    <t>Serviço: Exaustor centrífugo alta pressão com capacidade de 35 m³/min - 1,47 kW_MANUTENÇÃO</t>
  </si>
  <si>
    <t>2203009001SCE9267D</t>
  </si>
  <si>
    <t>Serviço: Exaustor centrífugo alta pressão com capacidade de 35 m³/min - 1,47 kW_DEPRECIAÇÃO</t>
  </si>
  <si>
    <t>2202019100SCE9264</t>
  </si>
  <si>
    <t>Serviço: RESPIRADOR PURIFICADOR DE AR MOTORIZADO</t>
  </si>
  <si>
    <t>2203009001SCE9264J - Respirador purificador de ar motorizado_JUROS</t>
  </si>
  <si>
    <t>2203009001SCE9264M - Respirador purificador de ar motorizado_MANUTENÇÃO</t>
  </si>
  <si>
    <t>2203009001SCE9264D - Respirador purificador de ar motorizado_DEPRECIAÇÃO</t>
  </si>
  <si>
    <t>2203009001SCE9264J</t>
  </si>
  <si>
    <t>Serviço: Respirador purificador de ar motorizado_JUROS</t>
  </si>
  <si>
    <t>2201005001SCE92 - RESPIRADOR PURIFICADOR DE AR MOTORIZADO</t>
  </si>
  <si>
    <t>2203009001SCE9264M</t>
  </si>
  <si>
    <t>Serviço: Respirador purificador de ar motorizado_MANUTENÇÃO</t>
  </si>
  <si>
    <t>2203009001SCE9264D</t>
  </si>
  <si>
    <t>Serviço: Respirador purificador de ar motorizado_DEPRECIAÇÃO</t>
  </si>
  <si>
    <t>2202019100SCE9260</t>
  </si>
  <si>
    <t>Serviço: DETECTOR DE GASES COM BOMBA ELÉTRICA PARA ESPAÇO CONFINADO</t>
  </si>
  <si>
    <t>2203009001SCE9260D - Detector de gases com bomba elétrica para espaço confinado_DEPRECIAÇÃO</t>
  </si>
  <si>
    <t>2203009001SCE9260J - Detector de gases com bomba elétrica para espaço confinado_JUROS</t>
  </si>
  <si>
    <t>2203009001SCE9260M - Detector de gases com bomba elétrica para espaço confinado_MANUTENÇÃO</t>
  </si>
  <si>
    <t>2203009001SCE9260D</t>
  </si>
  <si>
    <t>Serviço: Detector de gases com bomba elétrica para espaço confinado_DEPRECIAÇÃO</t>
  </si>
  <si>
    <t>2201005001SCE92 - DETECTOR DE GASES COM BOMBA ELÉTRICA PARA ESPAÇO CONFINADO</t>
  </si>
  <si>
    <t>2203009001SCE9260J</t>
  </si>
  <si>
    <t>Serviço: Detector de gases com bomba elétrica para espaço confinado_JUROS</t>
  </si>
  <si>
    <t>2203009001SCE9260M</t>
  </si>
  <si>
    <t>Serviço: Detector de gases com bomba elétrica para espaço confinado_MANUTENÇÃO</t>
  </si>
  <si>
    <t>2202019100SCE9261</t>
  </si>
  <si>
    <t>Serviço: EQUIPAMENTO DE PINTURA COM PISTOLA AIRLESS - 0,90 KW</t>
  </si>
  <si>
    <t>0127000200SI88297 - OPERADOR DE MÁQUINAS E EQUIPAMENTOS COM ENCARGOS COMPLEMENTARES</t>
  </si>
  <si>
    <t>2203009001SCE9261D - Equipamento de pintura com pistola airless - 0,90 kW_DEPRECIAÇÃO</t>
  </si>
  <si>
    <t>2203009001SCE9261M - Equipamento de pintura com pistola airless - 0,90 kW_MANUTENÇÃO</t>
  </si>
  <si>
    <t>2203009001SCE9261J - Equipamento de pintura com pistola airless - 0,90 kW_JUROS</t>
  </si>
  <si>
    <t>2203009001SCE9261CM - Equipamento de pintura com pistola airless - 0,90 kW_MATERIAL NA OPERAÇÃO</t>
  </si>
  <si>
    <t>0127000200SI88297</t>
  </si>
  <si>
    <t>Serviço: OPERADOR DE MÁQUINAS E EQUIPAMENTOS COM ENCARGOS COMPLEMENTARES</t>
  </si>
  <si>
    <t>0128000050SI423 - OPERADOR DE MAQUINAS E TRATORES DIVERSOS - TERRAPLANAGEM (HORISTA)</t>
  </si>
  <si>
    <t>0128000050SI95360 - CURSO DE CAPACITAÇÃO PARA OPERADOR DE MÁQUINAS E EQUIPAMENTOS (ENCARGOS COMPLEMENTARES) - HORISTA</t>
  </si>
  <si>
    <t>0128000050SI95360</t>
  </si>
  <si>
    <t>Serviço: CURSO DE CAPACITAÇÃO PARA OPERADOR DE MÁQUINAS E EQUIPAMENTOS (ENCARGOS COMPLEMENTARES) - HORISTA</t>
  </si>
  <si>
    <t>2203009001SCE9261D</t>
  </si>
  <si>
    <t>Serviço: Equipamento de pintura com pistola airless - 0,90 kW_DEPRECIAÇÃO</t>
  </si>
  <si>
    <t>2201005001SCE92 - EQUIPAMENTO DE PINTURA COM PISTOLA AIRLESS - 0,90 KW</t>
  </si>
  <si>
    <t>2203009001SCE9261M</t>
  </si>
  <si>
    <t>Serviço: Equipamento de pintura com pistola airless - 0,90 kW_MANUTENÇÃO</t>
  </si>
  <si>
    <t>2203009001SCE9261J</t>
  </si>
  <si>
    <t>Serviço: Equipamento de pintura com pistola airless - 0,90 kW_JUROS</t>
  </si>
  <si>
    <t>2203009001SCE9261CM</t>
  </si>
  <si>
    <t>Serviço: Equipamento de pintura com pistola airless - 0,90 kW_MATERIAL NA OPERAÇÃO</t>
  </si>
  <si>
    <t>0127000200SI88239</t>
  </si>
  <si>
    <t>Serviço: AJUDANTE DE CARPINTEIRO COM ENCARGOS COMPLEMENTARES</t>
  </si>
  <si>
    <t>0128000050SI611 - CARPINTEIRO AUXILIAR (HORISTA)</t>
  </si>
  <si>
    <t>8900103001SI434 - EPI - FAMILIA CARPINTEIRO DE FORMAS - HORISTA (ENCARGOS COMPLEMENTARES - COLETADO CAIXA)</t>
  </si>
  <si>
    <t>8900103001SI434 - FERRAMENTAS - FAMILIA CARPINTEIRO DE FORMAS - HORISTA (ENCARGOS COMPLEMENTARES - COLETADO CAIXA)</t>
  </si>
  <si>
    <t>0128000050SI95309 - CURSO DE CAPACITAÇÃO PARA AJUDANTE DE CARPINTEIRO (ENCARGOS COMPLEMENTARES) - HORISTA</t>
  </si>
  <si>
    <t>0128000050SI95309</t>
  </si>
  <si>
    <t>Serviço: CURSO DE CAPACITAÇÃO PARA AJUDANTE DE CARPINTEIRO (ENCARGOS COMPLEMENTARES) - HORISTA</t>
  </si>
  <si>
    <t>0127000200SI88262</t>
  </si>
  <si>
    <t>Serviço: CARPINTEIRO DE FORMAS COM ENCARGOS COMPLEMENTARES</t>
  </si>
  <si>
    <t>0128000050SI121 - CARPINTEIRO DE FORMAS PARA CONCRETO (HORISTA)</t>
  </si>
  <si>
    <t>0128000050SI95330 - CURSO DE CAPACITAÇÃO PARA CARPINTEIRO DE FÔRMAS (ENCARGOS COMPLEMENTARES) - HORISTA</t>
  </si>
  <si>
    <t>0128000050SI95330</t>
  </si>
  <si>
    <t>Serviço: CURSO DE CAPACITAÇÃO PARA CARPINTEIRO DE FÔRMAS (ENCARGOS COMPLEMENTARES) - HORISTA</t>
  </si>
  <si>
    <t>2202019100SI5928</t>
  </si>
  <si>
    <t>Serviço: GUINDAUTO HIDRÁULICO, CAPACIDADE MÁXIMA DE CARGA 6200 KG, MOMENTO MÁXIMO DE CARGA 11,7 TM, ALCANCE MÁXIMO HORIZONTAL 9,70 M, INCLUSIVE CAMINHÃO TOCO PBT 16.000 KG, POTÊNCIA DE 189 CV - CHP DIURNO. AF_06/2014</t>
  </si>
  <si>
    <t>0127000200SI88286 - MOTORISTA OPERADOR DE MUNCK COM ENCARGOS COMPLEMENTARES</t>
  </si>
  <si>
    <t>2202019300SI89259 - GUINDAUTO HIDRÁULICO, CAPACIDADE MÁXIMA DE CARGA 6200 KG, MOMENTO MÁXIMO DE CARGA 11,7 TM, ALCANCE MÁXIMO HORIZONTAL 9,70 M, INCLUSIVE CAMINHÃO TOCO PBT 16.000 KG, POTÊNCIA DE 189 CV - DEPRECIAÇÃO. AF_06/2014</t>
  </si>
  <si>
    <t>2202019300SI89262 - GUINDAUTO HIDRÁULICO, CAPACIDADE MÁXIMA DE CARGA 6200 KG, MOMENTO MÁXIMO DE CARGA 11,7 TM, ALCANCE MÁXIMO HORIZONTAL 9,70 M, INCLUSIVE CAMINHÃO TOCO PBT 16.000 KG, POTÊNCIA DE 189 CV - MANUTENÇÃO. AF_06/2014</t>
  </si>
  <si>
    <t>2202019300SI89260 - GUINDAUTO HIDRÁULICO, CAPACIDADE MÁXIMA DE CARGA 6200 KG, MOMENTO MÁXIMO DE CARGA 11,7 TM, ALCANCE MÁXIMO HORIZONTAL 9,70 M, INCLUSIVE CAMINHÃO TOCO PBT 16.000 KG, POTÊNCIA DE 189 CV - JUROS. AF_06/2014</t>
  </si>
  <si>
    <t>2202019300SI91466 - GUINDAUTO HIDRÁULICO, CAPACIDADE MÁXIMA DE CARGA 6200 KG, MOMENTO MÁXIMO DE CARGA 11,7 TM, ALCANCE MÁXIMO HORIZONTAL 9,70 M, INCLUSIVE CAMINHÃO TOCO PBT 16.000 KG, POTÊNCIA DE 189 CV - IMPOSTOS E SEGUROS. AF_08/2015</t>
  </si>
  <si>
    <t>2202019300SI91467 - GUINDAUTO HIDRÁULICO, CAPACIDADE MÁXIMA DE CARGA 6200 KG, MOMENTO MÁXIMO DE CARGA 11,7 TM, ALCANCE MÁXIMO HORIZONTAL 9,70 M, INCLUSIVE CAMINHÃO TOCO PBT 16.000 KG, POTÊNCIA DE 189 CV - MATERIAIS NA OPERAÇÃO. AF_08/2015</t>
  </si>
  <si>
    <t>0127000200SI88286</t>
  </si>
  <si>
    <t>Serviço: MOTORISTA OPERADOR DE MUNCK COM ENCARGOS COMPLEMENTARES</t>
  </si>
  <si>
    <t>0128000050SI409 - MOTORISTA OPERADOR DE CAMINHAO COM MUNCK (HORISTA)</t>
  </si>
  <si>
    <t>0128000050SI95351 - CURSO DE CAPACITAÇÃO PARA MOTORISTA OPERADOR DE MUNCK (ENCARGOS COMPLEMENTARES) - HORISTA</t>
  </si>
  <si>
    <t>0128000050SI95351</t>
  </si>
  <si>
    <t>Serviço: CURSO DE CAPACITAÇÃO PARA MOTORISTA OPERADOR DE MUNCK (ENCARGOS COMPLEMENTARES) - HORISTA</t>
  </si>
  <si>
    <t>2202019300SI89259</t>
  </si>
  <si>
    <t>Serviço: GUINDAUTO HIDRÁULICO, CAPACIDADE MÁXIMA DE CARGA 6200 KG, MOMENTO MÁXIMO DE CARGA 11,7 TM, ALCANCE MÁXIMO HORIZONTAL 9,70 M, INCLUSIVE CAMINHÃO TOCO PBT 16.000 KG, POTÊNCIA DE 189 CV - DEPRECIAÇÃO. AF_06/2014</t>
  </si>
  <si>
    <t>2202005001SI377 - CAMINHAO TOCO, PESO BRUTO TOTAL 16000 KG, CARGA UTIL MAXIMA 11030 KG, DISTANCIA ENTRE EIXOS 5,41 M, POTENCIA 185 CV (INCLUI CABINE E CHASSI, NAO INCLUI CARROCERIA)</t>
  </si>
  <si>
    <t>2202005001SI336 - GUINDAUTO HIDRAULICO, CAPACIDADE MAXIMA DE CARGA 6200 KG, MOMENTO MAXIMO DE CARGA 11,7 TM, ALCANCE MAXIMO HORIZONTAL 9,70 M, PARA MONTAGEM SOBRE CHASSI DE CAMINHAO PBT MINIMO 13000 KG (INCLUI MONTAGEM, NAO INCLUI CAMINHAO)</t>
  </si>
  <si>
    <t>2202019300SI89262</t>
  </si>
  <si>
    <t>Serviço: GUINDAUTO HIDRÁULICO, CAPACIDADE MÁXIMA DE CARGA 6200 KG, MOMENTO MÁXIMO DE CARGA 11,7 TM, ALCANCE MÁXIMO HORIZONTAL 9,70 M, INCLUSIVE CAMINHÃO TOCO PBT 16.000 KG, POTÊNCIA DE 189 CV - MANUTENÇÃO. AF_06/2014</t>
  </si>
  <si>
    <t>2202019300SI89260</t>
  </si>
  <si>
    <t>Serviço: GUINDAUTO HIDRÁULICO, CAPACIDADE MÁXIMA DE CARGA 6200 KG, MOMENTO MÁXIMO DE CARGA 11,7 TM, ALCANCE MÁXIMO HORIZONTAL 9,70 M, INCLUSIVE CAMINHÃO TOCO PBT 16.000 KG, POTÊNCIA DE 189 CV - JUROS. AF_06/2014</t>
  </si>
  <si>
    <t>2202019300SI91466</t>
  </si>
  <si>
    <t>Serviço: GUINDAUTO HIDRÁULICO, CAPACIDADE MÁXIMA DE CARGA 6200 KG, MOMENTO MÁXIMO DE CARGA 11,7 TM, ALCANCE MÁXIMO HORIZONTAL 9,70 M, INCLUSIVE CAMINHÃO TOCO PBT 16.000 KG, POTÊNCIA DE 189 CV - IMPOSTOS E SEGUROS. AF_08/2015</t>
  </si>
  <si>
    <t>2202019300SI91467</t>
  </si>
  <si>
    <t>Serviço: GUINDAUTO HIDRÁULICO, CAPACIDADE MÁXIMA DE CARGA 6200 KG, MOMENTO MÁXIMO DE CARGA 11,7 TM, ALCANCE MÁXIMO HORIZONTAL 9,70 M, INCLUSIVE CAMINHÃO TOCO PBT 16.000 KG, POTÊNCIA DE 189 CV - MATERIAIS NA OPERAÇÃO. AF_08/2015</t>
  </si>
  <si>
    <t>2202019200SI5930</t>
  </si>
  <si>
    <t>Serviço: GUINDAUTO HIDRÁULICO, CAPACIDADE MÁXIMA DE CARGA 6200 KG, MOMENTO MÁXIMO DE CARGA 11,7 TM, ALCANCE MÁXIMO HORIZONTAL 9,70 M, INCLUSIVE CAMINHÃO TOCO PBT 16.000 KG, POTÊNCIA DE 189 CV - CHI DIURNO. AF_06/2014</t>
  </si>
  <si>
    <t>2202019100SI91692</t>
  </si>
  <si>
    <t>Serviço: SERRA CIRCULAR DE BANCADA COM MOTOR ELÉTRICO POTÊNCIA DE 5HP, COM COIFA PARA DISCO 10 - CHP DIURNO. AF_08/2015</t>
  </si>
  <si>
    <t>2202019300SI91688 - SERRA CIRCULAR DE BANCADA COM MOTOR ELÉTRICO POTÊNCIA DE 5HP, COM COIFA PARA DISCO 10 - DEPRECIAÇÃO. AF_08/2015</t>
  </si>
  <si>
    <t>2202019300SI91689 - SERRA CIRCULAR DE BANCADA COM MOTOR ELÉTRICO POTÊNCIA DE 5HP, COM COIFA PARA DISCO 10 - JUROS. AF_08/2015</t>
  </si>
  <si>
    <t>2202019300SI91690 - SERRA CIRCULAR DE BANCADA COM MOTOR ELÉTRICO POTÊNCIA DE 5HP, COM COIFA PARA DISCO 10 - MANUTENÇÃO. AF_08/2015</t>
  </si>
  <si>
    <t>2202019300SI91691 - SERRA CIRCULAR DE BANCADA COM MOTOR ELÉTRICO POTÊNCIA DE 5HP, COM COIFA PARA DISCO 10 - MATERIAIS NA OPERAÇÃO. AF_08/2015</t>
  </si>
  <si>
    <t>2202019300SI91688</t>
  </si>
  <si>
    <t>Serviço: SERRA CIRCULAR DE BANCADA COM MOTOR ELÉTRICO POTÊNCIA DE 5HP, COM COIFA PARA DISCO 10 - DEPRECIAÇÃO. AF_08/2015</t>
  </si>
  <si>
    <t>2202005001SI146 - SERRA CIRCULAR DE BANCADA COM MOTOR ELETRICO, POTENCIA DE *1600* W, PARA DISCO DE DIAMETRO DE 10 (250 MM)</t>
  </si>
  <si>
    <t>2202019300SI91689</t>
  </si>
  <si>
    <t>Serviço: SERRA CIRCULAR DE BANCADA COM MOTOR ELÉTRICO POTÊNCIA DE 5HP, COM COIFA PARA DISCO 10 - JUROS. AF_08/2015</t>
  </si>
  <si>
    <t>2202019300SI91690</t>
  </si>
  <si>
    <t>Serviço: SERRA CIRCULAR DE BANCADA COM MOTOR ELÉTRICO POTÊNCIA DE 5HP, COM COIFA PARA DISCO 10 - MANUTENÇÃO. AF_08/2015</t>
  </si>
  <si>
    <t>2202019300SI91691</t>
  </si>
  <si>
    <t>Serviço: SERRA CIRCULAR DE BANCADA COM MOTOR ELÉTRICO POTÊNCIA DE 5HP, COM COIFA PARA DISCO 10 - MATERIAIS NA OPERAÇÃO. AF_08/2015</t>
  </si>
  <si>
    <t>2202019200SI91693</t>
  </si>
  <si>
    <t>Serviço: SERRA CIRCULAR DE BANCADA COM MOTOR ELÉTRICO POTÊNCIA DE 5HP, COM COIFA PARA DISCO 10 - CHI DIURNO. AF_08/2015</t>
  </si>
  <si>
    <t>8004008020SI94974</t>
  </si>
  <si>
    <t>Serviço: CONCRETO MAGRO PARA LASTRO, TRAÇO 1:4,5:4,5 (EM MASSA SECA DE CIMENTO/ AREIA MÉDIA/ BRITA 1) - PREPARO MANUAL. AF_05/2021</t>
  </si>
  <si>
    <t>Serviço: FURGÃO LEVE, GASOLINA, POTÊNCIA 70 HP (51 KW), CAPACIDADE DE CARGA ÚTIL 0,6 T_ALIMENTAÇÃO A GASOLINA _(62,00KW-G-SMO) #AF_01/2024</t>
  </si>
  <si>
    <t>2203009001136 - FURGÃO LEVE, GASOLINA, POTÊNCIA 70 HP (51 KW), CAPACIDADE DE CARGA ÚTIL 0,6 T_DEPRECIAÇÃO</t>
  </si>
  <si>
    <t>2203009001138 - FURGÃO LEVE, GASOLINA, POTÊNCIA 70 HP (51 KW), CAPACIDADE DE CARGA ÚTIL 0,6 T_IMPOSTOS E SEGUROS</t>
  </si>
  <si>
    <t>2203009001137 - FURGÃO LEVE, GASOLINA, POTÊNCIA 70 HP (51 KW), CAPACIDADE DE CARGA ÚTIL 0,6 T_JUROS</t>
  </si>
  <si>
    <t>2203009001140 - FURGÃO LEVE, GASOLINA, POTÊNCIA 70 HP (51 KW), CAPACIDADE DE CARGA ÚTIL 0,6 T_MANUTENÇÃO</t>
  </si>
  <si>
    <t>2203009001139 - FURGÃO LEVE, GASOLINA, POTÊNCIA 70 HP (51 KW), CAPACIDADE DE CARGA ÚTIL 0,6 T_MATERIAL NA OPERAÇÃO</t>
  </si>
  <si>
    <t>Serviço: FURGÃO LEVE, GASOLINA, POTÊNCIA 70 HP (51 KW), CAPACIDADE DE CARGA ÚTIL 0,6 T_DEPRECIAÇÃO</t>
  </si>
  <si>
    <t>2280005005003 - FURGÃO LEVE, GASOLINA, POTÊNCIA 70 HP (51 KW), CAPACIDADE DE CARGA ÚTIL 0,6 T</t>
  </si>
  <si>
    <t>Serviço: FURGÃO LEVE, GASOLINA, POTÊNCIA 70 HP (51 KW), CAPACIDADE DE CARGA ÚTIL 0,6 T_IMPOSTOS E SEGUROS</t>
  </si>
  <si>
    <t>Serviço: FURGÃO LEVE, GASOLINA, POTÊNCIA 70 HP (51 KW), CAPACIDADE DE CARGA ÚTIL 0,6 T_JUROS</t>
  </si>
  <si>
    <t>Serviço: FURGÃO LEVE, GASOLINA, POTÊNCIA 70 HP (51 KW), CAPACIDADE DE CARGA ÚTIL 0,6 T_MANUTENÇÃO</t>
  </si>
  <si>
    <t>Serviço: FURGÃO LEVE, GASOLINA, POTÊNCIA 70 HP (51 KW), CAPACIDADE DE CARGA ÚTIL 0,6 T_MATERIAL NA OPERAÇÃO</t>
  </si>
  <si>
    <t>8900103001SI422 - GASOLINA COMUM</t>
  </si>
  <si>
    <t>0127000200SI88253</t>
  </si>
  <si>
    <t>Serviço: AUXILIAR DE TOPÓGRAFO COM ENCARGOS COMPLEMENTARES</t>
  </si>
  <si>
    <t>0128000050SI244 - AUXILIAR DE TOPOGRAFO (HORISTA)</t>
  </si>
  <si>
    <t>8900103001SI434 - EPI - FAMILIA TOPOGRAFO - HORISTA (ENCARGOS COMPLEMENTARES - COLETADO CAIXA)</t>
  </si>
  <si>
    <t>8900103001SI434 - FERRAMENTAS - FAMILIA TOPOGRAFO - HORISTA (ENCARGOS COMPLEMENTARES - COLETADO CAIXA)</t>
  </si>
  <si>
    <t>0128000050SI95322 - CURSO DE CAPACITAÇÃO PARA AUXILIAR DE TOPÓGRAFO (ENCARGOS COMPLEMENTARES) - HORISTA</t>
  </si>
  <si>
    <t>0128000050SI95322</t>
  </si>
  <si>
    <t>Serviço: CURSO DE CAPACITAÇÃO PARA AUXILIAR DE TOPÓGRAFO (ENCARGOS COMPLEMENTARES) - HORISTA</t>
  </si>
  <si>
    <t>0127000200SI88288</t>
  </si>
  <si>
    <t>Serviço: NIVELADOR COM ENCARGOS COMPLEMENTARES</t>
  </si>
  <si>
    <t>0128000050SI759 - NIVELADOR (HORISTA)</t>
  </si>
  <si>
    <t>0128000050SI95352 - CURSO DE CAPACITAÇÃO PARA NIVELADOR (ENCARGOS COMPLEMENTARES) - HORISTA</t>
  </si>
  <si>
    <t>0128000050SI95352</t>
  </si>
  <si>
    <t>Serviço: CURSO DE CAPACITAÇÃO PARA NIVELADOR (ENCARGOS COMPLEMENTARES) - HORISTA</t>
  </si>
  <si>
    <t>0127000200SI90775</t>
  </si>
  <si>
    <t>Serviço: DESENHISTA PROJETISTA COM ENCARGOS COMPLEMENTARES</t>
  </si>
  <si>
    <t>0128000050SI235 - DESENHISTA PROJETISTA (HORISTA)</t>
  </si>
  <si>
    <t>0128000050SI95400 - CURSO DE CAPACITAÇÃO PARA DESENHISTA PROJETISTA (ENCARGOS COMPLEMENTARES) - HORISTA</t>
  </si>
  <si>
    <t>0128000050SI95400</t>
  </si>
  <si>
    <t>Serviço: CURSO DE CAPACITAÇÃO PARA DESENHISTA PROJETISTA (ENCARGOS COMPLEMENTARES) - HORISTA</t>
  </si>
  <si>
    <t>0127000200SI90781</t>
  </si>
  <si>
    <t>Serviço: TOPOGRAFO COM ENCARGOS COMPLEMENTARES</t>
  </si>
  <si>
    <t>0128000050SI759 - TOPOGRAFO (HORISTA)</t>
  </si>
  <si>
    <t>0128000050SI95406 - CURSO DE CAPACITAÇÃO PARA TOPÓGRAFO (ENCARGOS COMPLEMENTARES) - HORISTA</t>
  </si>
  <si>
    <t>0128000050SI95406</t>
  </si>
  <si>
    <t>Serviço: CURSO DE CAPACITAÇÃO PARA TOPÓGRAFO (ENCARGOS COMPLEMENTARES) - HORISTA</t>
  </si>
  <si>
    <t>Serviço: CONFECÇÃO DE ESTACA TESTEMUNHO EM CONCRETO ARMADO PRÉ-MOLDADO, FCK = 25 MPA DE 0,10 X 0,10 X 1,50 M</t>
  </si>
  <si>
    <t>8004008025012 - FORMAS PLANAS PARA ESTRUTURA EM CHAPA DE MADEIRA COMPENSADA DE 12 MM, 10 REAPROVEITAMENTOS, INCLUSIVE DESFORMA (PARA CONFECÇÃO DE PRÉ-MOLDADOS)</t>
  </si>
  <si>
    <t>8004008030SI92917 - ARMAÇÃO DE ESTRUTURAS DIVERSAS DE CONCRETO ARMADO, EXCETO VIGAS, PILARES, LAJES E FUNDAÇÕES, UTILIZANDO AÇO CA-50 DE 8,0 MM - MONTAGEM. AF_06/2022</t>
  </si>
  <si>
    <t>8004008040SI103670 - LANÇAMENTO COM USO DE BALDES, ADENSAMENTO E ACABAMENTO DE CONCRETO EM ESTRUTURAS. AF_02/2022</t>
  </si>
  <si>
    <t>Serviço: FORMAS PLANAS PARA ESTRUTURA EM CHAPA DE MADEIRA COMPENSADA DE 12 MM, 10 REAPROVEITAMENTOS, INCLUSIVE DESFORMA (PARA CONFECÇÃO DE PRÉ-MOLDADOS)</t>
  </si>
  <si>
    <t>0127000200SI88238</t>
  </si>
  <si>
    <t>Serviço: AJUDANTE DE ARMADOR COM ENCARGOS COMPLEMENTARES</t>
  </si>
  <si>
    <t>0128000050SI611 - AJUDANTE DE ARMADOR (HORISTA)</t>
  </si>
  <si>
    <t>8900103001SI434 - EPI - FAMILIA PEDREIRO - HORISTA (ENCARGOS COMPLEMENTARES - COLETADO CAIXA)</t>
  </si>
  <si>
    <t>8900103001SI434 - FERRAMENTAS - FAMILIA PEDREIRO - HORISTA (ENCARGOS COMPLEMENTARES - COLETADO CAIXA)</t>
  </si>
  <si>
    <t>0128000050SI95308 - CURSO DE CAPACITAÇÃO PARA AJUDANTE DE ARMADOR (ENCARGOS COMPLEMENTARES) - HORISTA</t>
  </si>
  <si>
    <t>0128000050SI95308</t>
  </si>
  <si>
    <t>Serviço: CURSO DE CAPACITAÇÃO PARA AJUDANTE DE ARMADOR (ENCARGOS COMPLEMENTARES) - HORISTA</t>
  </si>
  <si>
    <t>0127000200SI88245</t>
  </si>
  <si>
    <t>Serviço: ARMADOR COM ENCARGOS COMPLEMENTARES</t>
  </si>
  <si>
    <t>0128000050SI378 - ARMADOR (HORISTA)</t>
  </si>
  <si>
    <t>0128000050SI95314 - CURSO DE CAPACITAÇÃO PARA ARMADOR (ENCARGOS COMPLEMENTARES) - HORISTA</t>
  </si>
  <si>
    <t>0128000050SI95314</t>
  </si>
  <si>
    <t>Serviço: CURSO DE CAPACITAÇÃO PARA ARMADOR (ENCARGOS COMPLEMENTARES) - HORISTA</t>
  </si>
  <si>
    <t>8004008030SI92802</t>
  </si>
  <si>
    <t>Serviço: CORTE E DOBRA DE AÇO CA-50, DIÂMETRO DE 8,0 MM. AF_06/2022</t>
  </si>
  <si>
    <t>8900103001SI33 - ACO CA-50, 8,0 MM, VERGALHAO</t>
  </si>
  <si>
    <t>8004008040SI103670</t>
  </si>
  <si>
    <t>Serviço: LANÇAMENTO COM USO DE BALDES, ADENSAMENTO E ACABAMENTO DE CONCRETO EM ESTRUTURAS. AF_02/2022</t>
  </si>
  <si>
    <t>0127000200SI88309</t>
  </si>
  <si>
    <t>Serviço: PEDREIRO COM ENCARGOS COMPLEMENTARES</t>
  </si>
  <si>
    <t>0128000050SI475 - PEDREIRO (HORISTA)</t>
  </si>
  <si>
    <t>0128000050SI95371 - CURSO DE CAPACITAÇÃO PARA PEDREIRO (ENCARGOS COMPLEMENTARES) - HORISTA</t>
  </si>
  <si>
    <t>0128000050SI95371</t>
  </si>
  <si>
    <t>Serviço: CURSO DE CAPACITAÇÃO PARA PEDREIRO (ENCARGOS COMPLEMENTARES) - HORISTA</t>
  </si>
  <si>
    <t>2202019100SI90586</t>
  </si>
  <si>
    <t>Serviço: VIBRADOR DE IMERSÃO, DIÂMETRO DE PONTEIRA 45MM, MOTOR ELÉTRICO TRIFÁSICO POTÊNCIA DE 2 CV - CHP DIURNO. AF_06/2015</t>
  </si>
  <si>
    <t>2202019300SI90582 - VIBRADOR DE IMERSÃO, DIÂMETRO DE PONTEIRA 45MM, MOTOR ELÉTRICO TRIFÁSICO POTÊNCIA DE 2 CV - DEPRECIAÇÃO. AF_06/2015</t>
  </si>
  <si>
    <t>2202019300SI90583 - VIBRADOR DE IMERSÃO, DIÂMETRO DE PONTEIRA 45MM, MOTOR ELÉTRICO TRIFÁSICO POTÊNCIA DE 2 CV - JUROS. AF_06/2015</t>
  </si>
  <si>
    <t>2202019300SI90584 - VIBRADOR DE IMERSÃO, DIÂMETRO DE PONTEIRA 45MM, MOTOR ELÉTRICO TRIFÁSICO POTÊNCIA DE 2 CV - MANUTENÇÃO. AF_06/2015</t>
  </si>
  <si>
    <t>2202019300SI90585 - VIBRADOR DE IMERSÃO, DIÂMETRO DE PONTEIRA 45MM, MOTOR ELÉTRICO TRIFÁSICO POTÊNCIA DE 2 CV - MATERIAIS NA OPERAÇÃO. AF_06/2015</t>
  </si>
  <si>
    <t>2202019300SI90582</t>
  </si>
  <si>
    <t>Serviço: VIBRADOR DE IMERSÃO, DIÂMETRO DE PONTEIRA 45MM, MOTOR ELÉTRICO TRIFÁSICO POTÊNCIA DE 2 CV - DEPRECIAÇÃO. AF_06/2015</t>
  </si>
  <si>
    <t>2202005001SI138 - VIBRADOR DE IMERSAO, DIAMETRO DA PONTEIRA DE *45* MM, COM MOTOR ELETRICO TRIFASICO DE 2 HP (2 CV)</t>
  </si>
  <si>
    <t>2202019300SI90583</t>
  </si>
  <si>
    <t>Serviço: VIBRADOR DE IMERSÃO, DIÂMETRO DE PONTEIRA 45MM, MOTOR ELÉTRICO TRIFÁSICO POTÊNCIA DE 2 CV - JUROS. AF_06/2015</t>
  </si>
  <si>
    <t>2202019300SI90584</t>
  </si>
  <si>
    <t>Serviço: VIBRADOR DE IMERSÃO, DIÂMETRO DE PONTEIRA 45MM, MOTOR ELÉTRICO TRIFÁSICO POTÊNCIA DE 2 CV - MANUTENÇÃO. AF_06/2015</t>
  </si>
  <si>
    <t>2202019300SI90585</t>
  </si>
  <si>
    <t>Serviço: VIBRADOR DE IMERSÃO, DIÂMETRO DE PONTEIRA 45MM, MOTOR ELÉTRICO TRIFÁSICO POTÊNCIA DE 2 CV - MATERIAIS NA OPERAÇÃO. AF_06/2015</t>
  </si>
  <si>
    <t>2202019200SI90587</t>
  </si>
  <si>
    <t>Serviço: VIBRADOR DE IMERSÃO, DIÂMETRO DE PONTEIRA 45MM, MOTOR ELÉTRICO TRIFÁSICO POTÊNCIA DE 2 CV - CHI DIURNO. AF_06/2015</t>
  </si>
  <si>
    <t>8004008040SI94971</t>
  </si>
  <si>
    <t>Serviço: CONCRETO FCK = 25MPA, TRAÇO 1:2,3:2,7 (EM MASSA SECA DE CIMENTO/ AREIA MÉDIA/ BRITA 1) - PREPARO MECÂNICO COM BETONEIRA 600 L. AF_05/2021</t>
  </si>
  <si>
    <t>0127000200SI88377 - OPERADOR DE BETONEIRA ESTACIONÁRIA/MISTURADOR COM ENCARGOS COMPLEMENTARES</t>
  </si>
  <si>
    <t>2202019100SI89225 - BETONEIRA CAPACIDADE NOMINAL DE 600 L, CAPACIDADE DE MISTURA 360 L, MOTOR ELÉTRICO TRIFÁSICO POTÊNCIA DE 4 CV, SEM CARREGADOR - CHP DIURNO. AF_05/2023</t>
  </si>
  <si>
    <t>2202019200SI89226 - BETONEIRA CAPACIDADE NOMINAL DE 600 L, CAPACIDADE DE MISTURA 360 L, MOTOR ELÉTRICO TRIFÁSICO POTÊNCIA DE 4 CV, SEM CARREGADOR - CHI DIURNO. AF_05/2023</t>
  </si>
  <si>
    <t>0127000200SI88377</t>
  </si>
  <si>
    <t>Serviço: OPERADOR DE BETONEIRA ESTACIONÁRIA/MISTURADOR COM ENCARGOS COMPLEMENTARES</t>
  </si>
  <si>
    <t>0128000050SI376 - OPERADOR DE BETONEIRA ESTACIONARIA / MISTURADOR (HORISTA)</t>
  </si>
  <si>
    <t>0128000050SI95389 - CURSO DE CAPACITAÇÃO PARA OPERADOR DE BETONEIRA ESTACIONÁRIA/MISTURADOR (ENCARGOS COMPLEMENTARES) - HORISTA</t>
  </si>
  <si>
    <t>0128000050SI95389</t>
  </si>
  <si>
    <t>Serviço: CURSO DE CAPACITAÇÃO PARA OPERADOR DE BETONEIRA ESTACIONÁRIA/MISTURADOR (ENCARGOS COMPLEMENTARES) - HORISTA</t>
  </si>
  <si>
    <t>2202019100SI89225</t>
  </si>
  <si>
    <t>Serviço: BETONEIRA CAPACIDADE NOMINAL DE 600 L, CAPACIDADE DE MISTURA 360 L, MOTOR ELÉTRICO TRIFÁSICO POTÊNCIA DE 4 CV, SEM CARREGADOR - CHP DIURNO. AF_05/2023</t>
  </si>
  <si>
    <t>2202019300SI89221 - BETONEIRA CAPACIDADE NOMINAL DE 600 L, CAPACIDADE DE MISTURA 360 L, MOTOR ELÉTRICO TRIFÁSICO POTÊNCIA DE 4 CV, SEM CARREGADOR - DEPRECIAÇÃO. AF_05/2023</t>
  </si>
  <si>
    <t>2202019300SI89222 - BETONEIRA CAPACIDADE NOMINAL DE 600 L, CAPACIDADE DE MISTURA 360 L, MOTOR ELÉTRICO TRIFÁSICO POTÊNCIA DE 4 CV, SEM CARREGADOR - JUROS. AF_05/2023</t>
  </si>
  <si>
    <t>2202019300SI89224 - BETONEIRA CAPACIDADE NOMINAL DE 600 L, CAPACIDADE DE MISTURA 360 L, MOTOR ELÉTRICO TRIFÁSICO POTÊNCIA DE 4 CV, SEM CARREGADOR - MATERIAIS NA OPERAÇÃO. AF_05/2023</t>
  </si>
  <si>
    <t>2202019300SI89223 - BETONEIRA CAPACIDADE NOMINAL DE 600 L, CAPACIDADE DE MISTURA 360 L, MOTOR ELÉTRICO TRIFÁSICO POTÊNCIA DE 4 CV, SEM CARREGADOR - MANUTENÇÃO. AF_05/2023</t>
  </si>
  <si>
    <t>2202019300SI89221</t>
  </si>
  <si>
    <t>Serviço: BETONEIRA CAPACIDADE NOMINAL DE 600 L, CAPACIDADE DE MISTURA 360 L, MOTOR ELÉTRICO TRIFÁSICO POTÊNCIA DE 4 CV, SEM CARREGADOR - DEPRECIAÇÃO. AF_05/2023</t>
  </si>
  <si>
    <t>2202005001SI363 - BETONEIRA, CAPACIDADE NOMINAL 600 L, CAPACIDADE DE MISTURA 360L, MOTOR ELETRICO TRIFASICO 220/380V, POTENCIA 4CV, EXCLUSO CARREGADOR</t>
  </si>
  <si>
    <t>2202019300SI89222</t>
  </si>
  <si>
    <t>Serviço: BETONEIRA CAPACIDADE NOMINAL DE 600 L, CAPACIDADE DE MISTURA 360 L, MOTOR ELÉTRICO TRIFÁSICO POTÊNCIA DE 4 CV, SEM CARREGADOR - JUROS. AF_05/2023</t>
  </si>
  <si>
    <t>2202019300SI89224</t>
  </si>
  <si>
    <t>Serviço: BETONEIRA CAPACIDADE NOMINAL DE 600 L, CAPACIDADE DE MISTURA 360 L, MOTOR ELÉTRICO TRIFÁSICO POTÊNCIA DE 4 CV, SEM CARREGADOR - MATERIAIS NA OPERAÇÃO. AF_05/2023</t>
  </si>
  <si>
    <t>2202019300SI89223</t>
  </si>
  <si>
    <t>Serviço: BETONEIRA CAPACIDADE NOMINAL DE 600 L, CAPACIDADE DE MISTURA 360 L, MOTOR ELÉTRICO TRIFÁSICO POTÊNCIA DE 4 CV, SEM CARREGADOR - MANUTENÇÃO. AF_05/2023</t>
  </si>
  <si>
    <t>2202019200SI89226</t>
  </si>
  <si>
    <t>Serviço: BETONEIRA CAPACIDADE NOMINAL DE 600 L, CAPACIDADE DE MISTURA 360 L, MOTOR ELÉTRICO TRIFÁSICO POTÊNCIA DE 4 CV, SEM CARREGADOR - CHI DIURNO. AF_05/2023</t>
  </si>
  <si>
    <t>8008508038SI100206</t>
  </si>
  <si>
    <t>Serviço: TRANSPORTE HORIZONTAL COM JERICA DE 90 L, DE MASSA/ GRANEL (UNIDADE: M3XKM). AF_07/2019</t>
  </si>
  <si>
    <t>2202019100SCE9093</t>
  </si>
  <si>
    <t>Serviço: VEÍCULO LEVE - 53 KW (SEM MOTORISTA)</t>
  </si>
  <si>
    <t>2203009001SCE9093D - Veículo leve - 53 kW (sem motorista)_DEPRECIAÇÃO</t>
  </si>
  <si>
    <t>2203009001SCE9093J - Veículo leve - 53 kW (sem motorista)_JUROS</t>
  </si>
  <si>
    <t>2203009001SCE9093IS - Veículo leve - 53 kW (sem motorista)_IMPOSTOS E SEGUROS</t>
  </si>
  <si>
    <t>2203009001SCE9093CM - Veículo leve - 53 kW (sem motorista)_MATERIAL NA OPERAÇÃO</t>
  </si>
  <si>
    <t>2203009001SCE9093M - Veículo leve - 53 kW (sem motorista)_MANUTENÇÃO</t>
  </si>
  <si>
    <t>2203009001SCE9093D</t>
  </si>
  <si>
    <t>Serviço: Veículo leve - 53 kW (sem motorista)_DEPRECIAÇÃO</t>
  </si>
  <si>
    <t>2201005001SCE90 - VEÍCULO LEVE - 53 KW (SEM MOTORISTA)</t>
  </si>
  <si>
    <t>2203009001SCE9093J</t>
  </si>
  <si>
    <t>Serviço: Veículo leve - 53 kW (sem motorista)_JUROS</t>
  </si>
  <si>
    <t>2203009001SCE9093IS</t>
  </si>
  <si>
    <t>Serviço: Veículo leve - 53 kW (sem motorista)_IMPOSTOS E SEGUROS</t>
  </si>
  <si>
    <t>2203009001SCE9093CM</t>
  </si>
  <si>
    <t>Serviço: Veículo leve - 53 kW (sem motorista)_MATERIAL NA OPERAÇÃO</t>
  </si>
  <si>
    <t>2203009001SCE9093M</t>
  </si>
  <si>
    <t>Serviço: Veículo leve - 53 kW (sem motorista)_MANUTENÇÃO</t>
  </si>
  <si>
    <t>8002008099SI100948</t>
  </si>
  <si>
    <t>Serviço: TRANSPORTE COM CAMINHÃO CARROCERIA 9T, EM VIA URBANA PAVIMENTADA, ADICIONAL PARA DMT EXCEDENTE A 30 KM (UNIDADE: TXKM). AF_07/2020</t>
  </si>
  <si>
    <t>2202019200SI5826 - CAMINHÃO TOCO, PBT 16.000 KG, CARGA ÚTIL MÁX. 10.685 KG, DIST. ENTRE EIXOS 4,8 M, POTÊNCIA 189 CV, INCLUSIVE CARROCERIA FIXA ABERTA DE MADEIRA P/ TRANSPORTE GERAL DE CARGA SECA, DIMEN. APROX. 2,5 X 7,00 X 0,50 M - CHI DIURNO. AF_06/2014</t>
  </si>
  <si>
    <t>2202019100SI5824</t>
  </si>
  <si>
    <t>Serviço: CAMINHÃO TOCO, PBT 16.000 KG, CARGA ÚTIL MÁX. 10.685 KG, DIST. ENTRE EIXOS 4,8 M, POTÊNCIA 189 CV, INCLUSIVE CARROCERIA FIXA ABERTA DE MADEIRA P/ TRANSPORTE GERAL DE CARGA SECA,</t>
  </si>
  <si>
    <t>2202019300SI53797 - CAMINHÃO TOCO, PBT 16.000 KG, CARGA ÚTIL MÁX. 10.685 KG, DIST. ENTRE EIXOS 4,8 M, POTÊNCIA 189 CV, INCLUSIVE CARROCERIA FIXA ABERTA DE MADEIRA P/ TRANSPORTE GERAL DE CARGA SECA, DIMEN. APROX. 2,5 X 7,00 X 0,50 M - MATERIAIS NA OPERAÇÃO. AF_06/2014</t>
  </si>
  <si>
    <t>2202019300SI5705 - CAMINHÃO TOCO, PBT 16.000 KG, CARGA ÚTIL MÁX. 10.685 KG, DIST. ENTRE EIXOS 4,8 M, POTÊNCIA 189 CV, INCLUSIVE CARROCERIA FIXA ABERTA DE MADEIRA P/ TRANSPORTE GERAL DE CARGA SECA, DIMEN. APROX. 2,5 X 7,00 X 0,50 M - MANUTENÇÃO. AF_06/2014</t>
  </si>
  <si>
    <t>2202019300SI89264 - CAMINHÃO TOCO, PBT 16.000 KG, CARGA ÚTIL MÁX. 10.685 KG, DIST. ENTRE EIXOS 4,8 M, POTÊNCIA 189 CV, INCLUSIVE CARROCERIA FIXA ABERTA DE MADEIRA P/ TRANSPORTE GERAL DE CARGA SECA, DIMEN. APROX. 2,5 X 7,00 X 0,50 M - DEPRECIAÇÃO. AF_06/2014</t>
  </si>
  <si>
    <t>2202019300SI89265 - CAMINHÃO TOCO, PBT 16.000 KG, CARGA ÚTIL MÁX. 10.685 KG, DIST. ENTRE EIXOS 4,8 M, POTÊNCIA 189 CV, INCLUSIVE CARROCERIA FIXA ABERTA DE MADEIRA P/ TRANSPORTE GERAL DE CARGA SECA, DIMEN. APROX. 2,5 X 7,00 X 0,50 M - JUROS. AF_06/2014</t>
  </si>
  <si>
    <t>2202019300SI89266 - CAMINHÃO TOCO, PBT 16.000 KG, CARGA ÚTIL MÁX. 10.685 KG, DIST. ENTRE EIXOS 4,8 M, POTÊNCIA 189 CV, INCLUSIVE CARROCERIA FIXA ABERTA DE MADEIRA P/ TRANSPORTE GERAL DE CARGA SECA, DIMEN. APROX. 2,5 X 7,00 X 0,50 M - IMPOSTOS E SEGUROS. AF_06/2014</t>
  </si>
  <si>
    <t>2202019300SI53797</t>
  </si>
  <si>
    <t>Serviço: CAMINHÃO TOCO, PBT 16.000 KG, CARGA ÚTIL MÁX. 10.685 KG, DIST. ENTRE EIXOS 4,8 M, POTÊNCIA 189 CV, INCLUSIVE CARROCERIA FIXA ABERTA DE MADEIRA P/ TRANSPORTE GERAL DE CARGA SECA, DIMEN. APROX. 2,5 X 7,00 X 0,50 M - MATERIAIS NA OPERAÇÃO. AF_06/2014</t>
  </si>
  <si>
    <t>2202019300SI5705</t>
  </si>
  <si>
    <t>Serviço: CAMINHÃO TOCO, PBT 16.000 KG, CARGA ÚTIL MÁX. 10.685 KG, DIST. ENTRE EIXOS 4,8 M, POTÊNCIA 189 CV, INCLUSIVE CARROCERIA FIXA ABERTA DE MADEIRA P/ TRANSPORTE GERAL DE CARGA SECA, DIMEN. APROX. 2,5 X 7,00 X 0,50 M - MANUTENÇÃO. AF_06/2014</t>
  </si>
  <si>
    <t>2202005001SI377 - CARROCERIA FIXA ABERTA DE MADEIRA PARA TRANSPORTE GERAL DE CARGA SECA DIMENSOES APROXIMADAS 2,5 X 7,00 X 0,50 M (INCLUI MONTAGEM, NAO INCLUI CAMINHAO)</t>
  </si>
  <si>
    <t>2202019300SI89264</t>
  </si>
  <si>
    <t>Serviço: CAMINHÃO TOCO, PBT 16.000 KG, CARGA ÚTIL MÁX. 10.685 KG, DIST. ENTRE EIXOS 4,8 M, POTÊNCIA 189 CV, INCLUSIVE CARROCERIA FIXA ABERTA DE MADEIRA P/ TRANSPORTE GERAL DE CARGA SECA, DIMEN. APROX. 2,5 X 7,00 X 0,50 M - DEPRECIAÇÃO. AF_06/2014</t>
  </si>
  <si>
    <t>2202019300SI89265</t>
  </si>
  <si>
    <t>Serviço: CAMINHÃO TOCO, PBT 16.000 KG, CARGA ÚTIL MÁX. 10.685 KG, DIST. ENTRE EIXOS 4,8 M, POTÊNCIA 189 CV, INCLUSIVE CARROCERIA FIXA ABERTA DE MADEIRA P/ TRANSPORTE GERAL DE CARGA SECA, DIMEN. APROX. 2,5 X 7,00 X 0,50 M - JUROS. AF_06/2014</t>
  </si>
  <si>
    <t>2202019300SI89266</t>
  </si>
  <si>
    <t>Serviço: CAMINHÃO TOCO, PBT 16.000 KG, CARGA ÚTIL MÁX. 10.685 KG, DIST. ENTRE EIXOS 4,8 M, POTÊNCIA 189 CV, INCLUSIVE CARROCERIA FIXA ABERTA DE MADEIRA P/ TRANSPORTE GERAL DE CARGA SECA, DIMEN. APROX. 2,5 X 7,00 X 0,50 M - IMPOSTOS E SEGUROS. AF_06/2014</t>
  </si>
  <si>
    <t>2202019200SI5826</t>
  </si>
  <si>
    <t>Serviço: CAMINHÃO TOCO, PBT 16.000 KG, CARGA ÚTIL MÁX. 10.685 KG, DIST. ENTRE EIXOS 4,8 M, POTÊNCIA 189 CV, INCLUSIVE CARROCERIA FIXA ABERTA DE MADEIRA P/ TRANSPORTE GERAL DE CARGA SECA, DIMEN. APROX. 2,5 X 7,00 X 0,50 M - CHI DIURNO. AF_06/2014</t>
  </si>
  <si>
    <t>8002008099SC5914654</t>
  </si>
  <si>
    <t>Serviço: CARGA, MANOBRA E DESCARGA DE MATERIAIS DIVERSOS EM CAMINHÃO CARROCERIA DE 9 T - CARGA E DESCARGA MANUAIS</t>
  </si>
  <si>
    <t>2202019100SCE9508 - CAMINHÃO CARROCERIA COM CAPACIDADE DE 9 T - 136 KW</t>
  </si>
  <si>
    <t>2202019100SCE9508</t>
  </si>
  <si>
    <t>Serviço: CAMINHÃO CARROCERIA COM CAPACIDADE DE 9 T - 136 KW</t>
  </si>
  <si>
    <t>2203009001SCA9309D - Caminhão plataforma 4 x 2, PBT 16.000 kg e distância entre eixos 4,8 m - 136 kW - motorista de caminhão_DEPRECIAÇÃO</t>
  </si>
  <si>
    <t>2203009001SCA9309CM - Caminhão plataforma 4 x 2, PBT 16.000 kg e distância entre eixos 4,8 m - 136 kW - motorista de caminhão_MATERIAL NA OPERAÇÃO</t>
  </si>
  <si>
    <t>2203009001SCA9309IS - Caminhão plataforma 4 x 2, PBT 16.000 kg e distância entre eixos 4,8 m - 136 kW - motorista de caminhão_IMPOSTOS E SEGUROS</t>
  </si>
  <si>
    <t>2203009001SCA9309J - Caminhão plataforma 4 x 2, PBT 16.000 kg e distância entre eixos 4,8 m - 136 kW - motorista de caminhão_JUROS</t>
  </si>
  <si>
    <t>2203009001SCA9309M - Caminhão plataforma 4 x 2, PBT 16.000 kg e distância entre eixos 4,8 m - 136 kW - motorista de caminhão_MANUTENÇÃO</t>
  </si>
  <si>
    <t>2203009001SCA9350D - Carroceria de madeira com capacidade de 9 t_DEPRECIAÇÃO</t>
  </si>
  <si>
    <t>2203009001SCA9350J - Carroceria de madeira com capacidade de 9 t_JUROS</t>
  </si>
  <si>
    <t>2203009001SCA9350M - Carroceria de madeira com capacidade de 9 t_MANUTENÇÃO</t>
  </si>
  <si>
    <t>2203009001SCA9309D</t>
  </si>
  <si>
    <t>Serviço: Caminhão plataforma 4 x 2, PBT 16.000 kg e distância entre eixos 4,8 m - 136 kW - motorista de caminhão_DEPRECIAÇÃO</t>
  </si>
  <si>
    <t>2201005001SCA93 - CAMINHÃO PLATAFORMA 4 X 2, PBT 16.000 KG E DISTÂNCIA ENTRE EIXOS 4,8 M - 136 KW - MOTORISTA DE CAMINHÃO</t>
  </si>
  <si>
    <t>2203009001SCA9309CM</t>
  </si>
  <si>
    <t>Serviço: Caminhão plataforma 4 x 2, PBT 16.000 kg e distância entre eixos 4,8 m - 136 kW - motorista de caminhão_MATERIAL NA OPERAÇÃO</t>
  </si>
  <si>
    <t>2203009001SCA9309IS</t>
  </si>
  <si>
    <t>Serviço: Caminhão plataforma 4 x 2, PBT 16.000 kg e distância entre eixos 4,8 m - 136 kW - motorista de caminhão_IMPOSTOS E SEGUROS</t>
  </si>
  <si>
    <t>2203009001SCA9309J</t>
  </si>
  <si>
    <t>Serviço: Caminhão plataforma 4 x 2, PBT 16.000 kg e distância entre eixos 4,8 m - 136 kW - motorista de caminhão_JUROS</t>
  </si>
  <si>
    <t>2203009001SCA9309M</t>
  </si>
  <si>
    <t>Serviço: Caminhão plataforma 4 x 2, PBT 16.000 kg e distância entre eixos 4,8 m - 136 kW - motorista de caminhão_MANUTENÇÃO</t>
  </si>
  <si>
    <t>2203009001SCA9350D</t>
  </si>
  <si>
    <t>Serviço: Carroceria de madeira com capacidade de 9 t_DEPRECIAÇÃO</t>
  </si>
  <si>
    <t>2201005001SCA93 - CARROCERIA DE MADEIRA COM CAPACIDADE DE 9 T</t>
  </si>
  <si>
    <t>2203009001SCA9350J</t>
  </si>
  <si>
    <t>Serviço: Carroceria de madeira com capacidade de 9 t_JUROS</t>
  </si>
  <si>
    <t>2203009001SCA9350M</t>
  </si>
  <si>
    <t>Serviço: Carroceria de madeira com capacidade de 9 t_MANUTENÇÃO</t>
  </si>
  <si>
    <t>Serviço: AUXILIAR DE TOPÓGRAFO COM ENCARGOS COMPLEMENTARES - AF_CAESB</t>
  </si>
  <si>
    <t>0127000049033 - AUXILIAR DE TOPÓGRAFO (HORISTA) - AF_CAESB</t>
  </si>
  <si>
    <t>0127000049034 - CURSO DE CAPACITAÇÃO PARA AUXILIAR DE TOPÓGRAFO (ENCARGOS COMPLEMENTARES) - HORISTA - AF_CAESB</t>
  </si>
  <si>
    <t>Serviço: CURSO DE CAPACITAÇÃO PARA AUXILIAR DE TOPÓGRAFO (ENCARGOS COMPLEMENTARES) - HORISTA - AF_CAESB</t>
  </si>
  <si>
    <t>2202019100SCE9071</t>
  </si>
  <si>
    <t>Serviço: TRANSPORTADOR MANUAL CARRINHO DE MÃO COM CAPACIDADE DE 80 L</t>
  </si>
  <si>
    <t>2203009001SCE9071D - Transportador manual carrinho de mão com capacidade de 80 l_DEPRECIAÇÃO</t>
  </si>
  <si>
    <t>2203009001SCE9071J - Transportador manual carrinho de mão com capacidade de 80 l_JUROS</t>
  </si>
  <si>
    <t>2203009001SCE9071M - Transportador manual carrinho de mão com capacidade de 80 l_MANUTENÇÃO</t>
  </si>
  <si>
    <t>2203009001SCE9071D</t>
  </si>
  <si>
    <t>Serviço: Transportador manual carrinho de mão com capacidade de 80 l_DEPRECIAÇÃO</t>
  </si>
  <si>
    <t>2201005001SCE90 - TRANSPORTADOR MANUAL CARRINHO DE MÃO COM CAPACIDADE DE 80 L</t>
  </si>
  <si>
    <t>2203009001SCE9071J</t>
  </si>
  <si>
    <t>Serviço: Transportador manual carrinho de mão com capacidade de 80 l_JUROS</t>
  </si>
  <si>
    <t>2203009001SCE9071M</t>
  </si>
  <si>
    <t>Serviço: Transportador manual carrinho de mão com capacidade de 80 l_MANUTENÇÃO</t>
  </si>
  <si>
    <t>2202019100SCE9527</t>
  </si>
  <si>
    <t>Serviço: MARTELETE PERFURADOR/ROMPEDOR A AR COMPRIMIDO DE 25 KG PARA ROCHA COM CAPACIDADE DE 2.040 GPM</t>
  </si>
  <si>
    <t>2203009001SCE9527D - Martelete perfurador/rompedor a ar comprimido de 25 kg para rocha com capacidade de 2.040 gpm_DEPRECIAÇÃO</t>
  </si>
  <si>
    <t>2203009001SCE9527J - Martelete perfurador/rompedor a ar comprimido de 25 kg para rocha com capacidade de 2.040 gpm_JUROS</t>
  </si>
  <si>
    <t>2203009001SCE9527M - Martelete perfurador/rompedor a ar comprimido de 25 kg para rocha com capacidade de 2.040 gpm_MANUTENÇÃO</t>
  </si>
  <si>
    <t>2203009001SCE9527D</t>
  </si>
  <si>
    <t>Serviço: Martelete perfurador/rompedor a ar comprimido de 25 kg para rocha com capacidade de 2.040 gpm_DEPRECIAÇÃO</t>
  </si>
  <si>
    <t>2201005001SCE95 - MARTELETE PERFURADOR/ROMPEDOR A AR COMPRIMIDO DE 25 KG PARA ROCHA COM CAPACIDADE DE 2.040 GPM</t>
  </si>
  <si>
    <t>2203009001SCE9527J</t>
  </si>
  <si>
    <t>Serviço: Martelete perfurador/rompedor a ar comprimido de 25 kg para rocha com capacidade de 2.040 gpm_JUROS</t>
  </si>
  <si>
    <t>2203009001SCE9527M</t>
  </si>
  <si>
    <t>Serviço: Martelete perfurador/rompedor a ar comprimido de 25 kg para rocha com capacidade de 2.040 gpm_MANUTENÇÃO</t>
  </si>
  <si>
    <t>2202019100SCE9629</t>
  </si>
  <si>
    <t>Serviço: COMPRESSOR DE AR PORTÁTIL DE 185,95 L/S (394 PCM) - 81,50 KW</t>
  </si>
  <si>
    <t>2203009001SCE9629D - Compressor de ar portátil de 185,95 l/s (394 PCM) - 81,50 kW_DEPRECIAÇÃO</t>
  </si>
  <si>
    <t>2203009001SCE9629J - Compressor de ar portátil de 185,95 l/s (394 PCM) - 81,50 kW_JUROS</t>
  </si>
  <si>
    <t>2203009001SCE9629CM - Compressor de ar portátil de 185,95 l/s (394 PCM) - 81,50 kW_MATERIAL NA OPERAÇÃO</t>
  </si>
  <si>
    <t>2203009001SCE9629M - Compressor de ar portátil de 185,95 l/s (394 PCM) - 81,50 kW_MANUTENÇÃO</t>
  </si>
  <si>
    <t>2203009001SCE9629D</t>
  </si>
  <si>
    <t>Serviço: Compressor de ar portátil de 185,95 l/s (394 PCM) - 81,50 kW_DEPRECIAÇÃO</t>
  </si>
  <si>
    <t>2201005001SCE96 - COMPRESSOR DE AR PORTÁTIL DE 185,95 L/S (394 PCM) - 81,50 KW</t>
  </si>
  <si>
    <t>2203009001SCE9629J</t>
  </si>
  <si>
    <t>Serviço: Compressor de ar portátil de 185,95 l/s (394 PCM) - 81,50 kW_JUROS</t>
  </si>
  <si>
    <t>2203009001SCE9629CM</t>
  </si>
  <si>
    <t>Serviço: Compressor de ar portátil de 185,95 l/s (394 PCM) - 81,50 kW_MATERIAL NA OPERAÇÃO</t>
  </si>
  <si>
    <t>2203009001SCE9629M</t>
  </si>
  <si>
    <t>Serviço: Compressor de ar portátil de 185,95 l/s (394 PCM) - 81,50 kW_MANUTENÇÃO</t>
  </si>
  <si>
    <t>8001508040SC1416201</t>
  </si>
  <si>
    <t>Serviço: CORTE DE BARRAS DE AÇO CA-50 COM MAÇARICO OXIACETILENO</t>
  </si>
  <si>
    <t>Unidade: cm²</t>
  </si>
  <si>
    <t>8900103002SCM17 - GÁS ACETILENO</t>
  </si>
  <si>
    <t>8900103002SCM17 - GÁS OXIGÊNIO</t>
  </si>
  <si>
    <t>0127000200SI88317 - SOLDADOR COM ENCARGOS COMPLEMENTARES</t>
  </si>
  <si>
    <t>2202019100SCE9662 - EQUIPAMENTO PARA SOLDA E CORTE COM OXIACETILENO</t>
  </si>
  <si>
    <t>0127000200SI88317</t>
  </si>
  <si>
    <t>Serviço: SOLDADOR COM ENCARGOS COMPLEMENTARES</t>
  </si>
  <si>
    <t>0128000050SI616 - SOLDADOR (HORISTA)</t>
  </si>
  <si>
    <t>8900103001SI434 - EPI - FAMILIA SOLDADOR - HORISTA (ENCARGOS COMPLEMENTARES - COLETADO CAIXA)</t>
  </si>
  <si>
    <t>8900103001SI434 - FERRAMENTAS - FAMILIA SOLDADOR - HORISTA (ENCARGOS COMPLEMENTARES - COLETADO CAIXA)</t>
  </si>
  <si>
    <t>0128000050SI95379 - CURSO DE CAPACITAÇÃO PARA SOLDADOR (ENCARGOS COMPLEMENTARES) - HORISTA</t>
  </si>
  <si>
    <t>0128000050SI95379</t>
  </si>
  <si>
    <t>Serviço: CURSO DE CAPACITAÇÃO PARA SOLDADOR (ENCARGOS COMPLEMENTARES) - HORISTA</t>
  </si>
  <si>
    <t>2202019100SCE9662</t>
  </si>
  <si>
    <t>Serviço: EQUIPAMENTO PARA SOLDA E CORTE COM OXIACETILENO</t>
  </si>
  <si>
    <t>2203009001SCE9662D - Equipamento para solda e corte com oxiacetileno_DEPRECIAÇÃO</t>
  </si>
  <si>
    <t>2203009001SCE9662J - Equipamento para solda e corte com oxiacetileno_JUROS</t>
  </si>
  <si>
    <t>2203009001SCE9662M - Equipamento para solda e corte com oxiacetileno_MANUTENÇÃO</t>
  </si>
  <si>
    <t>2203009001SCE9662D</t>
  </si>
  <si>
    <t>Serviço: Equipamento para solda e corte com oxiacetileno_DEPRECIAÇÃO</t>
  </si>
  <si>
    <t>2201005001SCE96 - EQUIPAMENTO PARA SOLDA E CORTE COM OXIACETILENO</t>
  </si>
  <si>
    <t>2203009001SCE9662J</t>
  </si>
  <si>
    <t>Serviço: Equipamento para solda e corte com oxiacetileno_JUROS</t>
  </si>
  <si>
    <t>2203009001SCE9662M</t>
  </si>
  <si>
    <t>Serviço: Equipamento para solda e corte com oxiacetileno_MANUTENÇÃO</t>
  </si>
  <si>
    <t>8002008099SC5915433</t>
  </si>
  <si>
    <t>Serviço: CARGA, MANOBRA E DESCARGA DE MATERIAL DEMOLIDO EM CAMINHÃO BASCULANTE DE 6 M³ - CARGA MANUAL E DESCARGA LIVRE</t>
  </si>
  <si>
    <t>2202019100SCE9506 - CAMINHÃO BASCULANTE COM CAPACIDADE DE 6 M³ - 136 KW</t>
  </si>
  <si>
    <t>2202019100SCE9506</t>
  </si>
  <si>
    <t>Serviço: CAMINHÃO BASCULANTE COM CAPACIDADE DE 6 M³ - 136 KW</t>
  </si>
  <si>
    <t>2203009001SCA9307CM - Caminhão plataforma 4 x 2, PBT 16.000 kg e distância entre eixos 3,6 m - 136 kW - motorista de caminhão_MATERIAL NA OPERAÇÃO</t>
  </si>
  <si>
    <t>2203009001SCA9307IS - Caminhão plataforma 4 x 2, PBT 16.000 kg e distância entre eixos 3,6 m - 136 kW - motorista de caminhão_IMPOSTOS E SEGUROS</t>
  </si>
  <si>
    <t>2203009001SCA9307D - Caminhão plataforma 4 x 2, PBT 16.000 kg e distância entre eixos 3,6 m - 136 kW - motorista de caminhão_DEPRECIAÇÃO</t>
  </si>
  <si>
    <t>2203009001SCA9307J - Caminhão plataforma 4 x 2, PBT 16.000 kg e distância entre eixos 3,6 m - 136 kW - motorista de caminhão_JUROS</t>
  </si>
  <si>
    <t>2203009001SCA9307M - Caminhão plataforma 4 x 2, PBT 16.000 kg e distância entre eixos 3,6 m - 136 kW - motorista de caminhão_MANUTENÇÃO</t>
  </si>
  <si>
    <t>2203009001SCA9338D - Caçamba basculante com capacidade de 6 m³_DEPRECIAÇÃO</t>
  </si>
  <si>
    <t>2203009001SCA9338J - Caçamba basculante com capacidade de 6 m³_JUROS</t>
  </si>
  <si>
    <t>2203009001SCA9338M - Caçamba basculante com capacidade de 6 m³_MANUTENÇÃO</t>
  </si>
  <si>
    <t>2203009001SCA9307CM</t>
  </si>
  <si>
    <t>Serviço: Caminhão plataforma 4 x 2, PBT 16.000 kg e distância entre eixos 3,6 m - 136 kW - motorista de caminhão_MATERIAL NA OPERAÇÃO</t>
  </si>
  <si>
    <t>2203009001SCA9307IS</t>
  </si>
  <si>
    <t>Serviço: Caminhão plataforma 4 x 2, PBT 16.000 kg e distância entre eixos 3,6 m - 136 kW - motorista de caminhão_IMPOSTOS E SEGUROS</t>
  </si>
  <si>
    <t>2201005001SCA93 - CAMINHÃO PLATAFORMA 4 X 2, PBT 16.000 KG E DISTÂNCIA ENTRE EIXOS 3,6 M - 136 KW - MOTORISTA DE CAMINHÃO</t>
  </si>
  <si>
    <t>2203009001SCA9307D</t>
  </si>
  <si>
    <t>Serviço: Caminhão plataforma 4 x 2, PBT 16.000 kg e distância entre eixos 3,6 m - 136 kW - motorista de caminhão_DEPRECIAÇÃO</t>
  </si>
  <si>
    <t>2203009001SCA9307J</t>
  </si>
  <si>
    <t>Serviço: Caminhão plataforma 4 x 2, PBT 16.000 kg e distância entre eixos 3,6 m - 136 kW - motorista de caminhão_JUROS</t>
  </si>
  <si>
    <t>2203009001SCA9307M</t>
  </si>
  <si>
    <t>Serviço: Caminhão plataforma 4 x 2, PBT 16.000 kg e distância entre eixos 3,6 m - 136 kW - motorista de caminhão_MANUTENÇÃO</t>
  </si>
  <si>
    <t>2203009001SCA9338D</t>
  </si>
  <si>
    <t>Serviço: Caçamba basculante com capacidade de 6 m³_DEPRECIAÇÃO</t>
  </si>
  <si>
    <t>2201005001SCA93 - CAÇAMBA BASCULANTE COM CAPACIDADE DE 6 M³</t>
  </si>
  <si>
    <t>2203009001SCA9338J</t>
  </si>
  <si>
    <t>Serviço: Caçamba basculante com capacidade de 6 m³_JUROS</t>
  </si>
  <si>
    <t>2203009001SCA9338M</t>
  </si>
  <si>
    <t>Serviço: Caçamba basculante com capacidade de 6 m³_MANUTENÇÃO</t>
  </si>
  <si>
    <t>2202019100SI5631</t>
  </si>
  <si>
    <t>Serviço: ESCAVADEIRA HIDRÁULICA SOBRE ESTEIRAS, CAÇAMBA 0,80 M3, PESO OPERACIONAL 17 T, POTENCIA BRUTA 111 HP - CHP DIURNO. AF_06/2014</t>
  </si>
  <si>
    <t>0127000200SI88294 - OPERADOR DE ESCAVADEIRA COM ENCARGOS COMPLEMENTARES</t>
  </si>
  <si>
    <t>2202019300SI5627 - ESCAVADEIRA HIDRÁULICA SOBRE ESTEIRAS, CAÇAMBA 0,80 M3, PESO OPERACIONAL 17 T, POTENCIA BRUTA 111 HP - DEPRECIAÇÃO. AF_06/2014</t>
  </si>
  <si>
    <t>2202019300SI5628 - ESCAVADEIRA HIDRÁULICA SOBRE ESTEIRAS, CAÇAMBA 0,80 M3, PESO OPERACIONAL 17 T, POTENCIA BRUTA 111 HP - JUROS. AF_06/2014</t>
  </si>
  <si>
    <t>2202019300SI5629 - ESCAVADEIRA HIDRÁULICA SOBRE ESTEIRAS, CAÇAMBA 0,80 M3, PESO OPERACIONAL 17 T, POTENCIA BRUTA 111 HP - MANUTENÇÃO. AF_06/2014</t>
  </si>
  <si>
    <t>2202019300SI5630 - ESCAVADEIRA HIDRÁULICA SOBRE ESTEIRAS, CAÇAMBA 0,80 M3, PESO OPERACIONAL 17 T, POTENCIA BRUTA 111 HP - MATERIAIS NA OPERAÇÃO. AF_06/2014</t>
  </si>
  <si>
    <t>0127000200SI88294</t>
  </si>
  <si>
    <t>Serviço: OPERADOR DE ESCAVADEIRA COM ENCARGOS COMPLEMENTARES</t>
  </si>
  <si>
    <t>0128000050SI423 - OPERADOR DE ESCAVADEIRA (HORISTA)</t>
  </si>
  <si>
    <t>0128000050SI95357 - CURSO DE CAPACITAÇÃO PARA OPERADOR DE ESCAVADEIRA (ENCARGOS COMPLEMENTARES) - HORISTA</t>
  </si>
  <si>
    <t>0128000050SI95357</t>
  </si>
  <si>
    <t>Serviço: CURSO DE CAPACITAÇÃO PARA OPERADOR DE ESCAVADEIRA (ENCARGOS COMPLEMENTARES) - HORISTA</t>
  </si>
  <si>
    <t>2202019300SI5627</t>
  </si>
  <si>
    <t>Serviço: ESCAVADEIRA HIDRÁULICA SOBRE ESTEIRAS, CAÇAMBA 0,80 M3, PESO OPERACIONAL 17 T, POTENCIA BRUTA 111 HP - DEPRECIAÇÃO. AF_06/2014</t>
  </si>
  <si>
    <t>2202005001SI106 - ESCAVADEIRA HIDRAULICA SOBRE ESTEIRAS, CACAMBA 0,80M3, PESO OPERACIONAL 17T, POTENCIA BRUTA 111HP</t>
  </si>
  <si>
    <t>2202019300SI5628</t>
  </si>
  <si>
    <t>Serviço: ESCAVADEIRA HIDRÁULICA SOBRE ESTEIRAS, CAÇAMBA 0,80 M3, PESO OPERACIONAL 17 T, POTENCIA BRUTA 111 HP - JUROS. AF_06/2014</t>
  </si>
  <si>
    <t>2202019300SI5629</t>
  </si>
  <si>
    <t>Serviço: ESCAVADEIRA HIDRÁULICA SOBRE ESTEIRAS, CAÇAMBA 0,80 M3, PESO OPERACIONAL 17 T, POTENCIA BRUTA 111 HP - MANUTENÇÃO. AF_06/2014</t>
  </si>
  <si>
    <t>2202019300SI5630</t>
  </si>
  <si>
    <t>Serviço: ESCAVADEIRA HIDRÁULICA SOBRE ESTEIRAS, CAÇAMBA 0,80 M3, PESO OPERACIONAL 17 T, POTENCIA BRUTA 111 HP - MATERIAIS NA OPERAÇÃO. AF_06/2014</t>
  </si>
  <si>
    <t>2202019100SI5901</t>
  </si>
  <si>
    <t>Serviço: CAMINHÃO PIPA 10.000 L TRUCADO, PESO BRUTO TOTAL 23.000 KG, CARGA ÚTIL MÁXIMA 15.935 KG, DISTÂNCIA ENTRE EIXOS 4,8 M, POTÊNCIA 230 CV, INCLUSIVE TANQUE DE AÇO PARA TRANSPORTE DE ÁGUA - CHP DIURNO. AF_06/2014</t>
  </si>
  <si>
    <t>2202019300SI53831 - CAMINHÃO PIPA 10.000 L TRUCADO, PESO BRUTO TOTAL 23.000 KG, CARGA ÚTIL MÁXIMA 15.935 KG, DISTÂNCIA ENTRE EIXOS 4,8 M, POTÊNCIA 230 CV, INCLUSIVE TANQUE DE AÇO PARA TRANSPORTE DE ÁGUA - MATERIAIS NA OPERAÇÃO. AF_06/2014</t>
  </si>
  <si>
    <t>2202019300SI5763 - CAMINHÃO PIPA 10.000 L TRUCADO, PESO BRUTO TOTAL 23.000 KG, CARGA ÚTIL MÁXIMA 15.935 KG, DISTÂNCIA ENTRE EIXOS 4,8 M, POTÊNCIA 230 CV, INCLUSIVE TANQUE DE AÇO PARA TRANSPORTE DE ÁGUA - MANUTENÇÃO. AF_06/2014</t>
  </si>
  <si>
    <t>2202019300SI91396 - CAMINHÃO PIPA 10.000 L TRUCADO, PESO BRUTO TOTAL 23.000 KG, CARGA ÚTIL MÁXIMA 15.935 KG, DISTÂNCIA ENTRE EIXOS 4,8 M, POTÊNCIA 230 CV, INCLUSIVE TANQUE DE AÇO PARA TRANSPORTE DE ÁGUA - DEPRECIAÇÃO. AF_06/2014</t>
  </si>
  <si>
    <t>2202019300SI91398 - CAMINHÃO PIPA 10.000 L TRUCADO, PESO BRUTO TOTAL 23.000 KG, CARGA ÚTIL MÁXIMA 15.935 KG, DISTÂNCIA ENTRE EIXOS 4,8 M, POTÊNCIA 230 CV, INCLUSIVE TANQUE DE AÇO PARA TRANSPORTE DE ÁGUA - IMPOSTOS E SEGUROS. AF_06/2014</t>
  </si>
  <si>
    <t>2202019300SI91397 - CAMINHÃO PIPA 10.000 L TRUCADO, PESO BRUTO TOTAL 23.000 KG, CARGA ÚTIL MÁXIMA 15.935 KG, DISTÂNCIA ENTRE EIXOS 4,8 M, POTÊNCIA 230 CV, INCLUSIVE TANQUE DE AÇO PARA TRANSPORTE DE ÁGUA - JUROS. AF_06/2014</t>
  </si>
  <si>
    <t>2202019300SI53831</t>
  </si>
  <si>
    <t>Serviço: CAMINHÃO PIPA 10.000 L TRUCADO, PESO BRUTO TOTAL 23.000 KG, CARGA ÚTIL MÁXIMA 15.935 KG, DISTÂNCIA ENTRE EIXOS 4,8 M, POTÊNCIA 230 CV, INCLUSIVE TANQUE DE AÇO PARA TRANSPORTE DE ÁGUA - MATERIAIS NA OPERAÇÃO. AF_06/2014</t>
  </si>
  <si>
    <t>2202019300SI5763</t>
  </si>
  <si>
    <t>Serviço: CAMINHÃO PIPA 10.000 L TRUCADO, PESO BRUTO TOTAL 23.000 KG, CARGA ÚTIL MÁXIMA 15.935 KG, DISTÂNCIA ENTRE EIXOS 4,8 M, POTÊNCIA 230 CV, INCLUSIVE TANQUE DE AÇO PARA TRANSPORTE DE ÁGUA - MANUTENÇÃO. AF_06/2014</t>
  </si>
  <si>
    <t>2202005001SI377 - CAMINHAO TRUCADO, PESO BRUTO TOTAL 23000 KG, CARGA UTIL MAXIMA 15285 KG, DISTANCIA ENTRE EIXOS 4,80 M, POTENCIA 326 CV (INCLUI CABINE E CHASSI, NAO INCLUI CARROCERIA)</t>
  </si>
  <si>
    <t>2202005001SI377 - TANQUE DE ACO CARBONO NAO REVESTIDO, PARA TRANSPORTE DE AGUA COM CAPACIDADE DE 10 M3, COM BOMBA CENTRIFUGA POR TOMADA DE FORCA, VAZAO MAXIMA *75* M3/H (INCLUI MONTAGEM, NAO INCLUI CAMINHAO)</t>
  </si>
  <si>
    <t>2202019300SI91396</t>
  </si>
  <si>
    <t>Serviço: CAMINHÃO PIPA 10.000 L TRUCADO, PESO BRUTO TOTAL 23.000 KG, CARGA ÚTIL MÁXIMA 15.935 KG, DISTÂNCIA ENTRE EIXOS 4,8 M, POTÊNCIA 230 CV, INCLUSIVE TANQUE DE AÇO PARA TRANSPORTE DE ÁGUA - DEPRECIAÇÃO. AF_06/2014</t>
  </si>
  <si>
    <t>2202019300SI91398</t>
  </si>
  <si>
    <t>Serviço: CAMINHÃO PIPA 10.000 L TRUCADO, PESO BRUTO TOTAL 23.000 KG, CARGA ÚTIL MÁXIMA 15.935 KG, DISTÂNCIA ENTRE EIXOS 4,8 M, POTÊNCIA 230 CV, INCLUSIVE TANQUE DE AÇO PARA TRANSPORTE DE ÁGUA - IMPOSTOS E SEGUROS. AF_06/2014</t>
  </si>
  <si>
    <t>2202019300SI91397</t>
  </si>
  <si>
    <t>Serviço: CAMINHÃO PIPA 10.000 L TRUCADO, PESO BRUTO TOTAL 23.000 KG, CARGA ÚTIL MÁXIMA 15.935 KG, DISTÂNCIA ENTRE EIXOS 4,8 M, POTÊNCIA 230 CV, INCLUSIVE TANQUE DE AÇO PARA TRANSPORTE DE ÁGUA - JUROS. AF_06/2014</t>
  </si>
  <si>
    <t>2202019100SI91533</t>
  </si>
  <si>
    <t>Serviço: COMPACTADOR DE SOLOS DE PERCUSSÃO (SOQUETE) COM MOTOR A GASOLINA 4 TEMPOS, POTÊNCIA 4 CV - CHP DIURNO. AF_08/2015</t>
  </si>
  <si>
    <t>2202019300SI91530 - COMPACTADOR DE SOLOS DE PERCUSSÃO (SOQUETE) COM MOTOR A GASOLINA 4 TEMPOS, POTÊNCIA 4 CV - JUROS. AF_08/2015</t>
  </si>
  <si>
    <t>2202019300SI91531 - COMPACTADOR DE SOLOS DE PERCUSSÃO (SOQUETE) COM MOTOR A GASOLINA 4 TEMPOS, POTÊNCIA 4 CV - MANUTENÇÃO. AF_08/2015</t>
  </si>
  <si>
    <t>2202019300SI91529 - COMPACTADOR DE SOLOS DE PERCUSSÃO (SOQUETE) COM MOTOR A GASOLINA 4 TEMPOS, POTÊNCIA 4 CV - DEPRECIAÇÃO. AF_08/2015</t>
  </si>
  <si>
    <t>2202019300SI91532 - COMPACTADOR DE SOLOS DE PERCUSSÃO (SOQUETE) COM MOTOR A GASOLINA 4 TEMPOS, POTÊNCIA 4 CV - MATERIAIS NA OPERAÇÃO. AF_08/2015</t>
  </si>
  <si>
    <t>2202019300SI91530</t>
  </si>
  <si>
    <t>Serviço: COMPACTADOR DE SOLOS DE PERCUSSÃO (SOQUETE) COM MOTOR A GASOLINA 4 TEMPOS, POTÊNCIA 4 CV - JUROS. AF_08/2015</t>
  </si>
  <si>
    <t>2202005001SI134 - COMPACTADOR DE SOLOS DE PERCURSAO (SOQUETE) COM MOTOR A GASOLINA 4 TEMPOS DE 4 HP (4 CV)</t>
  </si>
  <si>
    <t>2202019300SI91531</t>
  </si>
  <si>
    <t>Serviço: COMPACTADOR DE SOLOS DE PERCUSSÃO (SOQUETE) COM MOTOR A GASOLINA 4 TEMPOS, POTÊNCIA 4 CV - MANUTENÇÃO. AF_08/2015</t>
  </si>
  <si>
    <t>2202019300SI91529</t>
  </si>
  <si>
    <t>Serviço: COMPACTADOR DE SOLOS DE PERCUSSÃO (SOQUETE) COM MOTOR A GASOLINA 4 TEMPOS, POTÊNCIA 4 CV - DEPRECIAÇÃO. AF_08/2015</t>
  </si>
  <si>
    <t>2202019300SI91532</t>
  </si>
  <si>
    <t>Serviço: COMPACTADOR DE SOLOS DE PERCUSSÃO (SOQUETE) COM MOTOR A GASOLINA 4 TEMPOS, POTÊNCIA 4 CV - MATERIAIS NA OPERAÇÃO. AF_08/2015</t>
  </si>
  <si>
    <t>2202019200SI5632</t>
  </si>
  <si>
    <t>Serviço: ESCAVADEIRA HIDRÁULICA SOBRE ESTEIRAS, CAÇAMBA 0,80 M3, PESO OPERACIONAL 17 T, POTENCIA BRUTA 111 HP - CHI DIURNO. AF_06/2014</t>
  </si>
  <si>
    <t>2202019200SI5903</t>
  </si>
  <si>
    <t>Serviço: CAMINHÃO PIPA 10.000 L TRUCADO, PESO BRUTO TOTAL 23.000 KG, CARGA ÚTIL MÁXIMA 15.935 KG, DISTÂNCIA ENTRE EIXOS 4,8 M, POTÊNCIA 230 CV, INCLUSIVE TANQUE DE AÇO PARA TRANSPORTE DE ÁGUA - CHI DIURNO. AF_06/2014</t>
  </si>
  <si>
    <t>2202019100SI89883</t>
  </si>
  <si>
    <t>Serviço: CAMINHÃO BASCULANTE 18 M3, COM CAVALO MECÂNICO DE CAPACIDADE MÁXIMA DE TRAÇÃO COMBINADO DE 45000 KG, POTÊNCIA 330 CV, INCLUSIVE SEMIREBOQUE COM CAÇAMBA METÁLICA - CHP DIURNO. AF_12/2014</t>
  </si>
  <si>
    <t>0127000200SI88281 - MOTORISTA DE BASCULANTE COM ENCARGOS COMPLEMENTARES</t>
  </si>
  <si>
    <t>2202019300SI89878 - CAMINHÃO BASCULANTE 18 M3, COM CAVALO MECÂNICO DE CAPACIDADE MÁXIMA DE TRAÇÃO COMBINADO DE 45000 KG,</t>
  </si>
  <si>
    <t>2202019300SI89879 - CAMINHÃO BASCULANTE 18 M3, COM CAVALO MECÂNICO DE CAPACIDADE MÁXIMA DE TRAÇÃO COMBINADO DE 45000 KG, POTÊNCIA 330 CV, INCLUSIVE SEMIREBOQUE COM CAÇAMBA METÁLICA - JUROS. AF_12/2014</t>
  </si>
  <si>
    <t>2202019300SI89880 - CAMINHÃO BASCULANTE 18 M3, COM CAVALO MECÂNICO DE CAPACIDADE MÁXIMA DE TRAÇÃO COMBINADO DE 45000 KG, POTÊNCIA 330 CV, INCLUSIVE SEMIREBOQUE COM CAÇAMBA METÁLICA - IMPOSTOS E SEGUROS. AF_12/2014</t>
  </si>
  <si>
    <t>2202019300SI89881 - CAMINHÃO BASCULANTE 18 M3, COM CAVALO MECÂNICO DE CAPACIDADE MÁXIMA DE TRAÇÃO COMBINADO DE 45000 KG, POTÊNCIA 330 CV, INCLUSIVE SEMIREBOQUE COM CAÇAMBA METÁLICA - MANUTENÇÃO. AF_12/2014</t>
  </si>
  <si>
    <t>2202019300SI89882 - CAMINHÃO BASCULANTE 18 M3, COM CAVALO MECÂNICO DE CAPACIDADE MÁXIMA DE TRAÇÃO COMBINADO DE 45000 KG, POTÊNCIA 330 CV, INCLUSIVE SEMIREBOQUE COM CAÇAMBA METÁLICA - MATERIAIS NA OPERAÇÃO. AF_12/2014</t>
  </si>
  <si>
    <t>0127000200SI88281</t>
  </si>
  <si>
    <t>Serviço: MOTORISTA DE BASCULANTE COM ENCARGOS COMPLEMENTARES</t>
  </si>
  <si>
    <t>0128000050SI200 - MOTORISTA DE CAMINHAO-BASCULANTE (HORISTA)</t>
  </si>
  <si>
    <t>0128000050SI95346 - CURSO DE CAPACITAÇÃO PARA MOTORISTA DE BASCULANTE (ENCARGOS COMPLEMENTARES) - HORISTA</t>
  </si>
  <si>
    <t>0128000050SI95346</t>
  </si>
  <si>
    <t>Serviço: CURSO DE CAPACITAÇÃO PARA MOTORISTA DE BASCULANTE (ENCARGOS COMPLEMENTARES) - HORISTA</t>
  </si>
  <si>
    <t>2202019300SI89878</t>
  </si>
  <si>
    <t>Serviço: CAMINHÃO BASCULANTE 18 M3, COM CAVALO MECÂNICO DE CAPACIDADE MÁXIMA DE TRAÇÃO COMBINADO DE 45000 KG,</t>
  </si>
  <si>
    <t>2202005001SI377 - CAVALO MECANICO TRACAO 4X2, PESO BRUTO TOTAL 16000 KG, CAPACIDADE MAXIMA DE TRACAO *45000* KG, DISTANCIA ENTRE EIXOS *3,56* M, POTENCIA *330* CV (INCLUI CABINE E CHASSI, NAO INCLUI SEMIRREBOQUE)</t>
  </si>
  <si>
    <t>2202005001SI377 - SEMIRREBOQUE COM TRES EIXOS EM TANDEM TIPO BASCULANTE COM CACAMBA METALICA 18 M3 (INCLUI MONTAGEM, NAO INCLUI CAVALO MECANICO)</t>
  </si>
  <si>
    <t>2202019300SI89879</t>
  </si>
  <si>
    <t>Serviço: CAMINHÃO BASCULANTE 18 M3, COM CAVALO MECÂNICO DE CAPACIDADE MÁXIMA DE TRAÇÃO COMBINADO DE 45000 KG, POTÊNCIA 330 CV, INCLUSIVE SEMIREBOQUE COM CAÇAMBA METÁLICA - JUROS. AF_12/2014</t>
  </si>
  <si>
    <t>2202019300SI89880</t>
  </si>
  <si>
    <t>Serviço: CAMINHÃO BASCULANTE 18 M3, COM CAVALO MECÂNICO DE CAPACIDADE MÁXIMA DE TRAÇÃO COMBINADO DE 45000 KG, POTÊNCIA 330 CV, INCLUSIVE SEMIREBOQUE COM CAÇAMBA METÁLICA - IMPOSTOS E SEGUROS. AF_12/2014</t>
  </si>
  <si>
    <t>2202019300SI89881</t>
  </si>
  <si>
    <t>Serviço: CAMINHÃO BASCULANTE 18 M3, COM CAVALO MECÂNICO DE CAPACIDADE MÁXIMA DE TRAÇÃO COMBINADO DE 45000 KG, POTÊNCIA 330 CV, INCLUSIVE SEMIREBOQUE COM CAÇAMBA METÁLICA - MANUTENÇÃO. AF_12/2014</t>
  </si>
  <si>
    <t>2202019300SI89882</t>
  </si>
  <si>
    <t>Serviço: CAMINHÃO BASCULANTE 18 M3, COM CAVALO MECÂNICO DE CAPACIDADE MÁXIMA DE TRAÇÃO COMBINADO DE 45000 KG, POTÊNCIA 330 CV, INCLUSIVE SEMIREBOQUE COM CAÇAMBA METÁLICA - MATERIAIS NA OPERAÇÃO. AF_12/2014</t>
  </si>
  <si>
    <t>2202019200SI89884</t>
  </si>
  <si>
    <t>Serviço: CAMINHÃO BASCULANTE 18 M3, COM CAVALO MECÂNICO DE CAPACIDADE MÁXIMA DE TRAÇÃO COMBINADO DE 45000 KG, POTÊNCIA 330 CV, INCLUSIVE SEMIREBOQUE COM CAÇAMBA METÁLICA - CHI DIURNO. AF_12/2014</t>
  </si>
  <si>
    <t>2202019100SI89876</t>
  </si>
  <si>
    <t>Serviço: CAMINHÃO BASCULANTE 14 M3, COM CAVALO MECÂNICO DE CAPACIDADE MÁXIMA DE TRAÇÃO COMBINADO DE 36000 KG, POTÊNCIA 286 CV, INCLUSIVE SEMIREBOQUE COM CAÇAMBA METÁLICA - CHP DIURNO. AF_12/2014</t>
  </si>
  <si>
    <t>2202019300SI89870 - CAMINHÃO BASCULANTE 14 M3, COM CAVALO MECÂNICO DE CAPACIDADE MÁXIMA DE TRAÇÃO COMBINADO DE 36000 KG, POTÊNCIA 286 CV, INCLUSIVE SEMIREBOQUE COM CAÇAMBA METÁLICA - DEPRECIAÇÃO. AF_12/2014</t>
  </si>
  <si>
    <t>2202019300SI89871 - CAMINHÃO BASCULANTE 14 M3, COM CAVALO MECÂNICO DE CAPACIDADE MÁXIMA DE TRAÇÃO COMBINADO DE 36000 KG, POTÊNCIA 286 CV, INCLUSIVE SEMIREBOQUE COM CAÇAMBA METÁLICA - JUROS. AF_12/2014</t>
  </si>
  <si>
    <t>2202019300SI89873 - CAMINHÃO BASCULANTE 14 M3, COM CAVALO MECÂNICO DE CAPACIDADE MÁXIMA DE TRAÇÃO COMBINADO DE 36000 KG, POTÊNCIA 286 CV, INCLUSIVE SEMIREBOQUE COM CAÇAMBA METÁLICA - MANUTENÇÃO. AF_12/2014</t>
  </si>
  <si>
    <t>2202019300SI89874 - CAMINHÃO BASCULANTE 14 M3, COM CAVALO MECÂNICO DE CAPACIDADE MÁXIMA DE TRAÇÃO COMBINADO DE 36000 KG, POTÊNCIA 286 CV, INCLUSIVE SEMIREBOQUE COM CAÇAMBA METÁLICA - MATERIAIS NA OPERAÇÃO. AF_12/2014</t>
  </si>
  <si>
    <t>2202019300SI89872 - CAMINHÃO BASCULANTE 14 M3, COM CAVALO MECÂNICO DE CAPACIDADE MÁXIMA DE TRAÇÃO COMBINADO DE 36000 KG, POTÊNCIA 286 CV, INCLUSIVE SEMIREBOQUE COM CAÇAMBA METÁLICA - IMPOSTOS E SEGUROS. AF_12/2014</t>
  </si>
  <si>
    <t>2202019300SI89870</t>
  </si>
  <si>
    <t>Serviço: CAMINHÃO BASCULANTE 14 M3, COM CAVALO MECÂNICO DE CAPACIDADE MÁXIMA DE TRAÇÃO COMBINADO DE 36000 KG, POTÊNCIA 286 CV, INCLUSIVE SEMIREBOQUE COM CAÇAMBA METÁLICA - DEPRECIAÇÃO. AF_12/2014</t>
  </si>
  <si>
    <t>2202005001SI377 - CAVALO MECANICO TRACAO 4X2, PESO BRUTO TOTAL 16000 KG, CAPACIDADE MAXIMA DE TRACAO *36000* KG, DISTANCIA ENTRE EIXOS *3,56* M, POTENCIA *286* CV (INCLUI CABINE E CHASSI, NAO INCLUI SEMIRREBOQUE)</t>
  </si>
  <si>
    <t>2202005001SI377 - SEMIRREBOQUE COM DOIS EIXOS EM TANDEM TIPO BASCULANTE COM CACAMBA METALICA 14 M3 (INCLUI MONTAGEM, NAO INCLUI CAVALO MECANICO)</t>
  </si>
  <si>
    <t>2202019300SI89871</t>
  </si>
  <si>
    <t>Serviço: CAMINHÃO BASCULANTE 14 M3, COM CAVALO MECÂNICO DE CAPACIDADE MÁXIMA DE TRAÇÃO COMBINADO DE 36000 KG, POTÊNCIA 286 CV, INCLUSIVE SEMIREBOQUE COM CAÇAMBA METÁLICA - JUROS. AF_12/2014</t>
  </si>
  <si>
    <t>2202019300SI89873</t>
  </si>
  <si>
    <t>Serviço: CAMINHÃO BASCULANTE 14 M3, COM CAVALO MECÂNICO DE CAPACIDADE MÁXIMA DE TRAÇÃO COMBINADO DE 36000 KG, POTÊNCIA 286 CV, INCLUSIVE SEMIREBOQUE COM CAÇAMBA METÁLICA - MANUTENÇÃO. AF_12/2014</t>
  </si>
  <si>
    <t>2202019300SI89874</t>
  </si>
  <si>
    <t>Serviço: CAMINHÃO BASCULANTE 14 M3, COM CAVALO MECÂNICO DE CAPACIDADE MÁXIMA DE TRAÇÃO COMBINADO DE 36000 KG, POTÊNCIA 286 CV, INCLUSIVE SEMIREBOQUE COM CAÇAMBA METÁLICA - MATERIAIS NA OPERAÇÃO. AF_12/2014</t>
  </si>
  <si>
    <t>2202019300SI89872</t>
  </si>
  <si>
    <t>Serviço: CAMINHÃO BASCULANTE 14 M3, COM CAVALO MECÂNICO DE CAPACIDADE MÁXIMA DE TRAÇÃO COMBINADO DE 36000 KG, POTÊNCIA 286 CV, INCLUSIVE SEMIREBOQUE COM CAÇAMBA METÁLICA - IMPOSTOS E SEGUROS. AF_12/2014</t>
  </si>
  <si>
    <t>2202019200SI89877</t>
  </si>
  <si>
    <t>Serviço: CAMINHÃO BASCULANTE 14 M3, COM CAVALO MECÂNICO DE CAPACIDADE MÁXIMA DE TRAÇÃO COMBINADO DE 36000 KG, POTÊNCIA 286 CV, INCLUSIVE SEMIREBOQUE COM CAÇAMBA METÁLICA - CHI DIURNO. AF_12/2014</t>
  </si>
  <si>
    <t>2202019100SI67826</t>
  </si>
  <si>
    <t>Serviço: CAMINHÃO BASCULANTE 6 M3 TOCO, PESO BRUTO TOTAL 16.000 KG, CARGA ÚTIL MÁXIMA 11.130 KG, DISTÂNCIA ENTRE EIXOS 5,36 M, POTÊNCIA 185 CV, INCLUSIVE CAÇAMBA METÁLICA - CHP DIURNO. AF_06/2014</t>
  </si>
  <si>
    <t>2202019300SI7058 - CAMINHÃO BASCULANTE 6 M3 TOCO, PESO BRUTO TOTAL 16.000 KG, CARGA ÚTIL MÁXIMA 11.130 KG, DISTÂNCIA ENTRE EIXOS 5,36 M, POTÊNCIA 185 CV, INCLUSIVE CAÇAMBA METÁLICA - DEPRECIAÇÃO. AF_06/2014</t>
  </si>
  <si>
    <t>2202019300SI7059 - CAMINHÃO BASCULANTE 6 M3 TOCO, PESO BRUTO TOTAL 16.000 KG, CARGA ÚTIL MÁXIMA 11.130 KG, DISTÂNCIA ENTRE EIXOS 5,36 M, POTÊNCIA 185 CV, INCLUSIVE CAÇAMBA METÁLICA - JUROS. AF_06/2014</t>
  </si>
  <si>
    <t>2202019300SI7061 - CAMINHÃO BASCULANTE 6 M3 TOCO, PESO BRUTO TOTAL 16.000 KG, CARGA ÚTIL MÁXIMA 11.130 KG, DISTÂNCIA ENTRE EIXOS 5,36 M, POTÊNCIA 185 CV, INCLUSIVE CAÇAMBA METÁLICA - MATERIAIS NA OPERAÇÃO. AF_06/2014</t>
  </si>
  <si>
    <t>2202019300SI7060 - CAMINHÃO BASCULANTE 6 M3 TOCO, PESO BRUTO TOTAL 16.000 KG, CARGA ÚTIL MÁXIMA 11.130 KG, DISTÂNCIA ENTRE EIXOS 5,36 M, POTÊNCIA 185 CV, INCLUSIVE CAÇAMBA METÁLICA - MANUTENÇÃO. AF_06/2014</t>
  </si>
  <si>
    <t>2202019300SI91402 - CAMINHÃO BASCULANTE 6 M3 TOCO, PESO BRUTO TOTAL 16.000 KG, CARGA ÚTIL MÁXIMA 11.130 KG, DISTÂNCIA ENTRE EIXOS 5,36 M, POTÊNCIA 185 CV, INCLUSIVE CAÇAMBA METÁLICA - IMPOSTOS E SEGUROS. AF_06/2014</t>
  </si>
  <si>
    <t>2202019300SI7058</t>
  </si>
  <si>
    <t>Serviço: CAMINHÃO BASCULANTE 6 M3 TOCO, PESO BRUTO TOTAL 16.000 KG, CARGA ÚTIL MÁXIMA 11.130 KG, DISTÂNCIA ENTRE EIXOS 5,36 M, POTÊNCIA 185 CV, INCLUSIVE CAÇAMBA METÁLICA - DEPRECIAÇÃO. AF_06/2014</t>
  </si>
  <si>
    <t>2202005001SI377 - CACAMBA METALICA BASCULANTE COM CAPACIDADE DE 6 M3 (INCLUI MONTAGEM, NAO INCLUI CAMINHAO)</t>
  </si>
  <si>
    <t>2202019300SI7059</t>
  </si>
  <si>
    <t>Serviço: CAMINHÃO BASCULANTE 6 M3 TOCO, PESO BRUTO TOTAL 16.000 KG, CARGA ÚTIL MÁXIMA 11.130 KG, DISTÂNCIA ENTRE EIXOS 5,36 M, POTÊNCIA 185 CV, INCLUSIVE CAÇAMBA METÁLICA - JUROS. AF_06/2014</t>
  </si>
  <si>
    <t>2202019300SI7061</t>
  </si>
  <si>
    <t>Serviço: CAMINHÃO BASCULANTE 6 M3 TOCO, PESO BRUTO TOTAL 16.000 KG, CARGA ÚTIL MÁXIMA 11.130 KG, DISTÂNCIA ENTRE EIXOS 5,36 M, POTÊNCIA 185 CV, INCLUSIVE CAÇAMBA METÁLICA - MATERIAIS NA OPERAÇÃO. AF_06/2014</t>
  </si>
  <si>
    <t>2202019300SI7060</t>
  </si>
  <si>
    <t>Serviço: CAMINHÃO BASCULANTE 6 M3 TOCO, PESO BRUTO TOTAL 16.000 KG, CARGA ÚTIL MÁXIMA 11.130 KG, DISTÂNCIA ENTRE EIXOS 5,36 M, POTÊNCIA 185 CV, INCLUSIVE CAÇAMBA METÁLICA - MANUTENÇÃO. AF_06/2014</t>
  </si>
  <si>
    <t>2202019300SI91402</t>
  </si>
  <si>
    <t>Serviço: CAMINHÃO BASCULANTE 6 M3 TOCO, PESO BRUTO TOTAL 16.000 KG, CARGA ÚTIL MÁXIMA 11.130 KG, DISTÂNCIA ENTRE EIXOS 5,36 M, POTÊNCIA 185 CV, INCLUSIVE CAÇAMBA METÁLICA - IMPOSTOS E SEGUROS. AF_06/2014</t>
  </si>
  <si>
    <t>2202019200SI67827</t>
  </si>
  <si>
    <t>Serviço: CAMINHÃO BASCULANTE 6 M3 TOCO, PESO BRUTO TOTAL 16.000 KG, CARGA ÚTIL MÁXIMA 11.130 KG, DISTÂNCIA ENTRE EIXOS 5,36 M, POTÊNCIA 185 CV, INCLUSIVE CAÇAMBA METÁLICA - CHI DIURNO. AF_06/2014</t>
  </si>
  <si>
    <t>2202019100SI88907</t>
  </si>
  <si>
    <t>Serviço: ESCAVADEIRA HIDRÁULICA SOBRE ESTEIRAS, CAÇAMBA 1,20 M3, PESO OPERACIONAL 21 T, POTÊNCIA BRUTA 155 HP - CHP DIURNO. AF_06/2014</t>
  </si>
  <si>
    <t>2202019300SI88903 - ESCAVADEIRA HIDRÁULICA SOBRE ESTEIRAS, CAÇAMBA 1,20 M3, PESO OPERACIONAL 21 T, POTÊNCIA BRUTA 155 HP - MANUTENÇÃO. AF_06/2014</t>
  </si>
  <si>
    <t>2202019300SI88902 - ESCAVADEIRA HIDRÁULICA SOBRE ESTEIRAS, CAÇAMBA 1,20 M3, PESO OPERACIONAL 21 T, POTÊNCIA BRUTA 155 HP - JUROS. AF_06/2014</t>
  </si>
  <si>
    <t>2202019300SI88900 - ESCAVADEIRA HIDRÁULICA SOBRE ESTEIRAS, CAÇAMBA 1,20 M3, PESO OPERACIONAL 21 T, POTÊNCIA BRUTA 155 HP - DEPRECIAÇÃO. AF_06/2014</t>
  </si>
  <si>
    <t>2202019300SI88904 - ESCAVADEIRA HIDRÁULICA SOBRE ESTEIRAS, CAÇAMBA 1,20 M3, PESO OPERACIONAL 21 T, POTÊNCIA BRUTA 155 HP - MATERIAIS NA OPERAÇÃO. AF_06/2014</t>
  </si>
  <si>
    <t>2202019300SI88903</t>
  </si>
  <si>
    <t>Serviço: ESCAVADEIRA HIDRÁULICA SOBRE ESTEIRAS, CAÇAMBA 1,20 M3, PESO OPERACIONAL 21 T, POTÊNCIA BRUTA 155 HP - MANUTENÇÃO. AF_06/2014</t>
  </si>
  <si>
    <t>2202005001SI145 - ESCAVADEIRA HIDRAULICA SOBRE ESTEIRAS COM CACAMBA DE 1,20 M3, PESO OPERACIONAL 21 T, POTENCIA BRUTA 155 HP</t>
  </si>
  <si>
    <t>2202019300SI88902</t>
  </si>
  <si>
    <t>Serviço: ESCAVADEIRA HIDRÁULICA SOBRE ESTEIRAS, CAÇAMBA 1,20 M3, PESO OPERACIONAL 21 T, POTÊNCIA BRUTA 155 HP - JUROS. AF_06/2014</t>
  </si>
  <si>
    <t>2202019300SI88900</t>
  </si>
  <si>
    <t>Serviço: ESCAVADEIRA HIDRÁULICA SOBRE ESTEIRAS, CAÇAMBA 1,20 M3, PESO OPERACIONAL 21 T, POTÊNCIA BRUTA 155 HP - DEPRECIAÇÃO. AF_06/2014</t>
  </si>
  <si>
    <t>2202019300SI88904</t>
  </si>
  <si>
    <t>Serviço: ESCAVADEIRA HIDRÁULICA SOBRE ESTEIRAS, CAÇAMBA 1,20 M3, PESO OPERACIONAL 21 T, POTÊNCIA BRUTA 155 HP - MATERIAIS NA OPERAÇÃO. AF_06/2014</t>
  </si>
  <si>
    <t>2202019200SI88908</t>
  </si>
  <si>
    <t>Serviço: ESCAVADEIRA HIDRÁULICA SOBRE ESTEIRAS, CAÇAMBA 1,20 M3, PESO OPERACIONAL 21 T, POTÊNCIA BRUTA 155 HP - CHI DIURNO. AF_06/2014</t>
  </si>
  <si>
    <t>2202019100SI73436</t>
  </si>
  <si>
    <t>Serviço: ROLO COMPACTADOR VIBRATÓRIO PÉ DE CARNEIRO PARA SOLOS, POTÊNCIA 80 HP, PESO OPERACIONAL SEM/COM LASTRO 7,4 / 8,8 T, LARGURA DE TRABALHO 1,68 M - CHP DIURNO. AF_02/2016</t>
  </si>
  <si>
    <t>0127000200SI88303 - OPERADOR DE ROLO COMPACTADOR COM ENCARGOS COMPLEMENTARES</t>
  </si>
  <si>
    <t>2202019300SI5089 - ROLO COMPACTADOR VIBRATÓRIO PÉ DE CARNEIRO PARA SOLOS, POTÊNCIA 80 HP, PESO OPERACIONAL SEM/COM LASTRO 7,4 / 8,8 T, LARGURA DE TRABALHO 1,68 M - MANUTENÇÃO. AF_02/2016</t>
  </si>
  <si>
    <t>2202019300SI73309 - ROLO COMPACTADOR VIBRATÓRIO PÉ DE CARNEIRO PARA SOLOS, POTÊNCIA 80 HP, PESO OPERACIONAL SEM/COM LASTRO 7,4 / 8,8 T, LARGURA DE TRABALHO 1,68 M - DEPRECIAÇÃO. AF_02/2016</t>
  </si>
  <si>
    <t>2202019300SI73313 - ROLO COMPACTADOR VIBRATÓRIO PÉ DE CARNEIRO PARA SOLOS, POTÊNCIA 80 HP, PESO OPERACIONAL SEM/COM LASTRO 7,4 / 8,8 T, LARGURA DE TRABALHO 1,68 M - JUROS. AF_02/2016</t>
  </si>
  <si>
    <t>2202019300SI73315 - ROLO COMPACTADOR VIBRATÓRIO PÉ DE CARNEIRO PARA SOLOS, POTÊNCIA 80 HP, PESO OPERACIONAL SEM/COM LASTRO 7,4 / 8,8 T, LARGURA DE TRABALHO 1,68 M - MATERIAIS NA OPERAÇÃO. AF_02/2016</t>
  </si>
  <si>
    <t>0127000200SI88303</t>
  </si>
  <si>
    <t>Serviço: OPERADOR DE ROLO COMPACTADOR COM ENCARGOS COMPLEMENTARES</t>
  </si>
  <si>
    <t>0128000050SI423 - OPERADOR DE ROLO COMPACTADOR (HORISTA)</t>
  </si>
  <si>
    <t>0128000050SI95366 - CURSO DE CAPACITAÇÃO PARA OPERADOR DE ROLO COMPACTADOR (ENCARGOS COMPLEMENTARES) - HORISTA</t>
  </si>
  <si>
    <t>0128000050SI95366</t>
  </si>
  <si>
    <t>Serviço: CURSO DE CAPACITAÇÃO PARA OPERADOR DE ROLO COMPACTADOR (ENCARGOS COMPLEMENTARES) - HORISTA</t>
  </si>
  <si>
    <t>2202019300SI5089</t>
  </si>
  <si>
    <t>Serviço: ROLO COMPACTADOR VIBRATÓRIO PÉ DE CARNEIRO PARA SOLOS, POTÊNCIA 80 HP, PESO OPERACIONAL SEM/COM LASTRO 7,4 / 8,8 T, LARGURA DE TRABALHO 1,68 M - MANUTENÇÃO. AF_02/2016</t>
  </si>
  <si>
    <t>2202005001SI145 - ROLO COMPACTADOR PE DE CARNEIRO VIBRATORIO, POTENCIA 80 HP, PESO OPERACIONAL SEM/COM LASTRO 7,4/8,8 T, LARGURA DE TRABALHO 1,68 M</t>
  </si>
  <si>
    <t>2202019300SI73309</t>
  </si>
  <si>
    <t>Serviço: ROLO COMPACTADOR VIBRATÓRIO PÉ DE CARNEIRO PARA SOLOS, POTÊNCIA 80 HP, PESO OPERACIONAL SEM/COM LASTRO 7,4 / 8,8 T, LARGURA DE TRABALHO 1,68 M - DEPRECIAÇÃO. AF_02/2016</t>
  </si>
  <si>
    <t>2202019300SI73313</t>
  </si>
  <si>
    <t>Serviço: ROLO COMPACTADOR VIBRATÓRIO PÉ DE CARNEIRO PARA SOLOS, POTÊNCIA 80 HP, PESO OPERACIONAL SEM/COM LASTRO 7,4 / 8,8 T, LARGURA DE TRABALHO 1,68 M - JUROS. AF_02/2016</t>
  </si>
  <si>
    <t>2202019300SI73315</t>
  </si>
  <si>
    <t>Serviço: ROLO COMPACTADOR VIBRATÓRIO PÉ DE CARNEIRO PARA SOLOS, POTÊNCIA 80 HP, PESO OPERACIONAL SEM/COM LASTRO 7,4 / 8,8 T, LARGURA DE TRABALHO 1,68 M - MATERIAIS NA OPERAÇÃO. AF_02/2016</t>
  </si>
  <si>
    <t>2202019200SI93244</t>
  </si>
  <si>
    <t>Serviço: ROLO COMPACTADOR VIBRATÓRIO PÉ DE CARNEIRO PARA SOLOS, POTÊNCIA 80 HP, PESO OPERACIONAL SEM/COM LASTRO 7,4 / 8,8 T, LARGURA DE TRABALHO 1,68 M - CHI DIURNO. AF_02/2016</t>
  </si>
  <si>
    <t>2202019100SI5795</t>
  </si>
  <si>
    <t>Serviço: MARTELETE OU ROMPEDOR PNEUMÁTICO MANUAL, 28 KG, COM SILENCIADOR - CHP DIURNO. AF_07/2016</t>
  </si>
  <si>
    <t>0127000200SI88298 - OPERADOR DE MARTELETE OU MARTELETEIRO COM ENCARGOS COMPLEMENTARES</t>
  </si>
  <si>
    <t>2202019300SI53863 - MARTELETE OU ROMPEDOR PNEUMÁTICO MANUAL, 28 KG, COM SILENCIADOR - MANUTENÇÃO. AF_07/2016</t>
  </si>
  <si>
    <t>2202019300SI95115 - MARTELETE OU ROMPEDOR PNEUMÁTICO MANUAL, 28 KG, COM SILENCIADOR - JUROS. AF_07/2016</t>
  </si>
  <si>
    <t>2202019300SI95114 - MARTELETE OU ROMPEDOR PNEUMÁTICO MANUAL, 28 KG, COM SILENCIADOR - DEPRECIAÇÃO. AF_07/2016</t>
  </si>
  <si>
    <t>0127000200SI88298</t>
  </si>
  <si>
    <t>Serviço: OPERADOR DE MARTELETE OU MARTELETEIRO COM ENCARGOS COMPLEMENTARES</t>
  </si>
  <si>
    <t>0128000050SI425 - OPERADOR DE MARTELETE OU MARTELETEIRO (HORISTA)</t>
  </si>
  <si>
    <t>0128000050SI95361 - CURSO DE CAPACITAÇÃO PARA OPERADOR DE MARTELETE OU MARTELETEIRO (ENCARGOS COMPLEMENTARES) - HORISTA</t>
  </si>
  <si>
    <t>0128000050SI95361</t>
  </si>
  <si>
    <t>Serviço: CURSO DE CAPACITAÇÃO PARA OPERADOR DE MARTELETE OU MARTELETEIRO (ENCARGOS COMPLEMENTARES) - HORISTA</t>
  </si>
  <si>
    <t>2202019300SI53863</t>
  </si>
  <si>
    <t>Serviço: MARTELETE OU ROMPEDOR PNEUMÁTICO MANUAL, 28 KG, COM SILENCIADOR - MANUTENÇÃO. AF_07/2016</t>
  </si>
  <si>
    <t>2202005001SI418 - MARTELO DEMOLIDOR PNEUMATICO MANUAL, PESO DE 28 KG, COM SILENCIADOR</t>
  </si>
  <si>
    <t>2202019300SI95115</t>
  </si>
  <si>
    <t>Serviço: MARTELETE OU ROMPEDOR PNEUMÁTICO MANUAL, 28 KG, COM SILENCIADOR - JUROS. AF_07/2016</t>
  </si>
  <si>
    <t>2202019300SI95114</t>
  </si>
  <si>
    <t>Serviço: MARTELETE OU ROMPEDOR PNEUMÁTICO MANUAL, 28 KG, COM SILENCIADOR - DEPRECIAÇÃO. AF_07/2016</t>
  </si>
  <si>
    <t>2202019100SI5953</t>
  </si>
  <si>
    <t>Serviço: COMPRESSOR DE AR REBOCÁVEL, VAZÃO 189 PCM, PRESSÃO EFETIVA DE TRABALHO 102 PSI, MOTOR DIESEL, POTÊNCIA 63 CV - CHP DIURNO. AF_06/2015</t>
  </si>
  <si>
    <t>2202019300SI53865 - COMPRESSOR DE AR REBOCÁVEL, VAZÃO 189 PCM, PRESSÃO EFETIVA DE TRABALHO 102 PSI, MOTOR DIESEL, POTÊNCIA 63 CV - MATERIAIS NA OPERAÇÃO. AF_06/2015</t>
  </si>
  <si>
    <t>2202019300SI5797 - COMPRESSOR DE AR REBOCÁVEL, VAZÃO 189 PCM, PRESSÃO EFETIVA DE TRABALHO 102 PSI, MOTOR DIESEL, POTÊNCIA 63 CV - MANUTENÇÃO. AF_06/2015</t>
  </si>
  <si>
    <t>2202019300SI90957 - COMPRESSOR DE AR REBOCÁVEL, VAZÃO 189 PCM, PRESSÃO EFETIVA DE TRABALHO 102 PSI, MOTOR DIESEL, POTÊNCIA 63 CV - DEPRECIAÇÃO. AF_06/2015</t>
  </si>
  <si>
    <t>2202019300SI90958 - COMPRESSOR DE AR REBOCÁVEL, VAZÃO 189 PCM, PRESSÃO EFETIVA DE TRABALHO 102 PSI, MOTOR DIESEL, POTÊNCIA 63 CV - JUROS. AF_06/2015</t>
  </si>
  <si>
    <t>2202019300SI53865</t>
  </si>
  <si>
    <t>Serviço: COMPRESSOR DE AR REBOCÁVEL, VAZÃO 189 PCM, PRESSÃO EFETIVA DE TRABALHO 102 PSI, MOTOR DIESEL, POTÊNCIA 63 CV - MATERIAIS NA OPERAÇÃO. AF_06/2015</t>
  </si>
  <si>
    <t>2202019300SI5797</t>
  </si>
  <si>
    <t>Serviço: COMPRESSOR DE AR REBOCÁVEL, VAZÃO 189 PCM, PRESSÃO EFETIVA DE TRABALHO 102 PSI, MOTOR DIESEL, POTÊNCIA 63 CV - MANUTENÇÃO. AF_06/2015</t>
  </si>
  <si>
    <t>2202005001SI365 - COMPRESSOR DE AR REBOCAVEL, VAZAO 189 PCM, PRESSAO EFETIVA DE TRABALHO 102 PSI, MOTOR DIESEL, POTENCIA 63 CV</t>
  </si>
  <si>
    <t>2202019300SI90957</t>
  </si>
  <si>
    <t>Serviço: COMPRESSOR DE AR REBOCÁVEL, VAZÃO 189 PCM, PRESSÃO EFETIVA DE TRABALHO 102 PSI, MOTOR DIESEL, POTÊNCIA 63 CV - DEPRECIAÇÃO. AF_06/2015</t>
  </si>
  <si>
    <t>2202019300SI90958</t>
  </si>
  <si>
    <t>Serviço: COMPRESSOR DE AR REBOCÁVEL, VAZÃO 189 PCM, PRESSÃO EFETIVA DE TRABALHO 102 PSI, MOTOR DIESEL, POTÊNCIA 63 CV - JUROS. AF_06/2015</t>
  </si>
  <si>
    <t>2202019200SI5952</t>
  </si>
  <si>
    <t>Serviço: MARTELETE OU ROMPEDOR PNEUMÁTICO MANUAL, 28 KG, COM SILENCIADOR - CHI DIURNO. AF_07/2016</t>
  </si>
  <si>
    <t>2202019200SI5954</t>
  </si>
  <si>
    <t>Serviço: COMPRESSOR DE AR REBOCÁVEL, VAZÃO 189 PCM, PRESSÃO EFETIVA DE TRABALHO 102 PSI, MOTOR DIESEL, POTÊNCIA 63 CV - CHI DIURNO. AF_06/2015</t>
  </si>
  <si>
    <t>2202019100SI5678</t>
  </si>
  <si>
    <t>Serviço: RETROESCAVADEIRA SOBRE RODAS COM CARREGADEIRA, TRAÇÃO 4X4, POTÊNCIA LÍQ. 88 HP, CAÇAMBA CARREG. CAP. MÍN. 1 M3, CAÇAMBA RETRO CAP. 0,26 M3, PESO OPERACIONAL MÍN. 6.674 KG, PROFUNDIDADE ESCAVAÇÃO MÁX. 4,37 M - CHP DIURNO. AF_06/2014</t>
  </si>
  <si>
    <t>2202019300SI53786 - RETROESCAVADEIRA SOBRE RODAS COM CARREGADEIRA, TRAÇÃO 4X4, POTÊNCIA LÍQ. 88 HP, CAÇAMBA CARREG. CAP. MÍN. 1 M3, CAÇAMBA RETRO CAP. 0,26 M3, PESO OPERACIONAL MÍN. 6.674 KG, PROFUNDIDADE ESCAVAÇÃO MÁX. 4,37 M - MATERIAIS NA OPERAÇÃO. AF_06/2014</t>
  </si>
  <si>
    <t>2202019300SI5664 - RETROESCAVADEIRA SOBRE RODAS COM CARREGADEIRA, TRAÇÃO 4X4, POTÊNCIA LÍQ. 88 HP, CAÇAMBA CARREG. CAP. MÍN. 1 M3, CAÇAMBA RETRO CAP. 0,26 M3, PESO OPERACIONAL MÍN. 6.674 KG, PROFUNDIDADE ESCAVAÇÃO MÁX. 4,37 M - MANUTENÇÃO. AF_06/2014</t>
  </si>
  <si>
    <t>2202019300SI88857 - RETROESCAVADEIRA SOBRE RODAS COM CARREGADEIRA, TRAÇÃO 4X4, POTÊNCIA LÍQ. 88 HP, CAÇAMBA CARREG. CAP. MÍN. 1 M3, CAÇAMBA RETRO CAP. 0,26 M3, PESO OPERACIONAL MÍN. 6.674 KG, PROFUNDIDADE ESCAVAÇÃO MÁX. 4,37 M - DEPRECIAÇÃO. AF_06/2014</t>
  </si>
  <si>
    <t>2202019300SI88858 - RETROESCAVADEIRA SOBRE RODAS COM CARREGADEIRA, TRAÇÃO 4X4, POTÊNCIA LÍQ. 88 HP, CAÇAMBA CARREG. CAP. MÍN. 1 M3, CAÇAMBA RETRO CAP. 0,26 M3, PESO OPERACIONAL MÍN. 6.674 KG, PROFUNDIDADE ESCAVAÇÃO MÁX. 4,37 M - JUROS. AF_06/2014</t>
  </si>
  <si>
    <t>2202019300SI53786</t>
  </si>
  <si>
    <t>Serviço: RETROESCAVADEIRA SOBRE RODAS COM CARREGADEIRA, TRAÇÃO 4X4, POTÊNCIA LÍQ. 88 HP, CAÇAMBA CARREG. CAP. MÍN. 1 M3, CAÇAMBA RETRO CAP. 0,26 M3, PESO OPERACIONAL MÍN. 6.674 KG, PROFUNDIDADE ESCAVAÇÃO MÁX. 4,37 M - MATERIAIS NA OPERAÇÃO. AF_06/2014</t>
  </si>
  <si>
    <t>2202019300SI5664</t>
  </si>
  <si>
    <t>Serviço: RETROESCAVADEIRA SOBRE RODAS COM CARREGADEIRA, TRAÇÃO 4X4, POTÊNCIA LÍQ. 88 HP, CAÇAMBA CARREG. CAP. MÍN. 1 M3, CAÇAMBA RETRO CAP. 0,26 M3, PESO OPERACIONAL MÍN. 6.674 KG, PROFUNDIDADE ESCAVAÇÃO MÁX. 4,37 M - MANUTENÇÃO. AF_06/2014</t>
  </si>
  <si>
    <t>2202005001SI365 - RETROESCAVADEIRA SOBRE RODAS COM CARREGADEIRA, TRACAO 4 X 4, POTENCIA LIQUIDA 88 HP, PESO OPERACIONAL MINIMO DE 6674 KG, CAPACIDADE DA CARREGADEIRA DE 1,00 M3 E DA RETROESCAVADEIRA MINIMA DE 0,26 M3, PROFUNDIDADE DE ESCAVACAO MAXIMA DE 4,37 M</t>
  </si>
  <si>
    <t>2202019300SI88857</t>
  </si>
  <si>
    <t>Serviço: RETROESCAVADEIRA SOBRE RODAS COM CARREGADEIRA, TRAÇÃO 4X4, POTÊNCIA LÍQ. 88 HP, CAÇAMBA CARREG. CAP. MÍN. 1 M3, CAÇAMBA RETRO CAP. 0,26 M3, PESO OPERACIONAL MÍN. 6.674 KG, PROFUNDIDADE ESCAVAÇÃO MÁX. 4,37 M - DEPRECIAÇÃO. AF_06/2014</t>
  </si>
  <si>
    <t>2202019300SI88858</t>
  </si>
  <si>
    <t>Serviço: RETROESCAVADEIRA SOBRE RODAS COM CARREGADEIRA, TRAÇÃO 4X4, POTÊNCIA LÍQ. 88 HP, CAÇAMBA CARREG. CAP. MÍN. 1 M3, CAÇAMBA RETRO CAP. 0,26 M3, PESO OPERACIONAL MÍN. 6.674 KG, PROFUNDIDADE ESCAVAÇÃO MÁX. 4,37 M - JUROS. AF_06/2014</t>
  </si>
  <si>
    <t>2202019200SI5679</t>
  </si>
  <si>
    <t>Serviço: RETROESCAVADEIRA SOBRE RODAS COM CARREGADEIRA, TRAÇÃO 4X4, POTÊNCIA LÍQ. 88 HP, CAÇAMBA CARREG. CAP. MÍN. 1 M3, CAÇAMBA RETRO CAP. 0,26 M3, PESO OPERACIONAL MÍN. 6.674 KG, PROFUNDIDADE ESCAVAÇÃO MÁX. 4,37 M - CHI DIURNO. AF_06/2014</t>
  </si>
  <si>
    <t>2202019100SI91645</t>
  </si>
  <si>
    <t>Serviço: CAMINHÃO DE TRANSPORTE DE MATERIAL ASFÁLTICO 30.000 L, COM CAVALO MECÂNICO DE CAPACIDADE MÁXIMA DE TRAÇÃO COMBINADO DE 66.000 KG, POTÊNCIA 360 CV, INCLUSIVE TANQUE DE ASFALTO COM SERPENTINA - CHP DIURNO. AF_08/2015</t>
  </si>
  <si>
    <t>0127000200SI88283 - MOTORISTA DE CAMINHÃO E CARRETA COM ENCARGOS COMPLEMENTARES</t>
  </si>
  <si>
    <t>2202019300SI91641 - CAMINHÃO DE TRANSPORTE DE MATERIAL ASFÁLTICO 30.000 L, COM CAVALO MECÂNICO DE CAPACIDADE MÁXIMA DE TRAÇÃO COMBINADO DE 66.000 KG, POTÊNCIA 360 CV, INCLUSIVE TANQUE DE ASFALTO COM SERPENTINA - JUROS. AF_08/2015</t>
  </si>
  <si>
    <t>2202019300SI91642 - CAMINHÃO DE TRANSPORTE DE MATERIAL ASFÁLTICO 30.000 L, COM CAVALO MECÂNICO DE CAPACIDADE MÁXIMA DE TRAÇÃO COMBINADO DE 66.000 KG, POTÊNCIA 360 CV, INCLUSIVE TANQUE DE ASFALTO COM SERPENTINA - IMPOSTOS E SEGUROS. AF_08/2015</t>
  </si>
  <si>
    <t>2202019300SI91643 - CAMINHÃO DE TRANSPORTE DE MATERIAL ASFÁLTICO 30.000 L, COM CAVALO MECÂNICO DE CAPACIDADE MÁXIMA DE TRAÇÃO COMBINADO DE 66.000 KG, POTÊNCIA 360 CV, INCLUSIVE TANQUE DE ASFALTO COM SERPENTINA - MANUTENÇÃO. AF_08/2015</t>
  </si>
  <si>
    <t>2202019300SI91644 - CAMINHÃO DE TRANSPORTE DE MATERIAL ASFÁLTICO 30.000 L, COM CAVALO MECÂNICO DE CAPACIDADE MÁXIMA DE TRAÇÃO</t>
  </si>
  <si>
    <t>2202019300SI91640 - CAMINHÃO DE TRANSPORTE DE MATERIAL ASFÁLTICO 30.000 L, COM CAVALO MECÂNICO DE CAPACIDADE MÁXIMA DE TRAÇÃO COMBINADO DE 66.000 KG, POTÊNCIA 360 CV, INCLUSIVE TANQUE DE ASFALTO COM SERPENTINA - DEPRECIAÇÃO. AF_08/2015</t>
  </si>
  <si>
    <t>0127000200SI88283</t>
  </si>
  <si>
    <t>Serviço: MOTORISTA DE CAMINHÃO E CARRETA COM ENCARGOS COMPLEMENTARES</t>
  </si>
  <si>
    <t>0128000050SI409 - MOTORISTA DE CAMINHAO-CARRETA (HORISTA)</t>
  </si>
  <si>
    <t>0128000050SI95348 - CURSO DE CAPACITAÇÃO PARA MOTORISTA DE CAMINHÃO E CARRETA (ENCARGOS COMPLEMENTARES) - HORISTA</t>
  </si>
  <si>
    <t>0128000050SI95348</t>
  </si>
  <si>
    <t>Serviço: CURSO DE CAPACITAÇÃO PARA MOTORISTA DE CAMINHÃO E CARRETA (ENCARGOS COMPLEMENTARES) - HORISTA</t>
  </si>
  <si>
    <t>2202019300SI91641</t>
  </si>
  <si>
    <t>Serviço: CAMINHÃO DE TRANSPORTE DE MATERIAL ASFÁLTICO 30.000 L, COM CAVALO MECÂNICO DE CAPACIDADE MÁXIMA DE TRAÇÃO COMBINADO DE 66.000 KG, POTÊNCIA 360 CV, INCLUSIVE TANQUE DE ASFALTO COM SERPENTINA - JUROS. AF_08/2015</t>
  </si>
  <si>
    <t>2202005001SI132 - CAVALO MECANICO TRACAO 6X2, PESO BRUTO TOTAL COMBINADO 56000 KG, CAPACIDADE MAXIMA DE TRACAO *66000* KG, POTENCIA *360* CV (INCLUI CABINE E CHASSI, NAO INCLUI SEMIRREBOQUE)</t>
  </si>
  <si>
    <t>2202005001SI144 - TANQUE DE ASFALTO ESTACIONARIO COM SERPENTINA, CAPACIDADE 30.000 L</t>
  </si>
  <si>
    <t>2202019300SI91642</t>
  </si>
  <si>
    <t>Serviço: CAMINHÃO DE TRANSPORTE DE MATERIAL ASFÁLTICO 30.000 L, COM CAVALO MECÂNICO DE CAPACIDADE MÁXIMA DE TRAÇÃO COMBINADO DE 66.000 KG, POTÊNCIA 360 CV, INCLUSIVE TANQUE DE ASFALTO COM SERPENTINA - IMPOSTOS E SEGUROS. AF_08/2015</t>
  </si>
  <si>
    <t>2202019300SI91643</t>
  </si>
  <si>
    <t>Serviço: CAMINHÃO DE TRANSPORTE DE MATERIAL ASFÁLTICO 30.000 L, COM CAVALO MECÂNICO DE CAPACIDADE MÁXIMA DE TRAÇÃO COMBINADO DE 66.000 KG, POTÊNCIA 360 CV, INCLUSIVE TANQUE DE ASFALTO COM SERPENTINA - MANUTENÇÃO. AF_08/2015</t>
  </si>
  <si>
    <t>2202019300SI91644</t>
  </si>
  <si>
    <t>Serviço: CAMINHÃO DE TRANSPORTE DE MATERIAL ASFÁLTICO 30.000 L, COM CAVALO MECÂNICO DE CAPACIDADE MÁXIMA DE TRAÇÃO</t>
  </si>
  <si>
    <t>2202019300SI91640</t>
  </si>
  <si>
    <t>Serviço: CAMINHÃO DE TRANSPORTE DE MATERIAL ASFÁLTICO 30.000 L, COM CAVALO MECÂNICO DE CAPACIDADE MÁXIMA DE TRAÇÃO COMBINADO DE 66.000 KG, POTÊNCIA 360 CV, INCLUSIVE TANQUE DE ASFALTO COM SERPENTINA - DEPRECIAÇÃO. AF_08/2015</t>
  </si>
  <si>
    <t>2202019200SI91646</t>
  </si>
  <si>
    <t>Serviço: CAMINHÃO DE TRANSPORTE DE MATERIAL ASFÁLTICO 30.000 L, COM CAVALO MECÂNICO DE CAPACIDADE MÁXIMA DE TRAÇÃO COMBINADO DE 66.000 KG, POTÊNCIA 360 CV, INCLUSIVE TANQUE DE ASFALTO COM SERPENTINA - CHI DIURNO. AF_08/2015</t>
  </si>
  <si>
    <t>2202019200SI91534</t>
  </si>
  <si>
    <t>Serviço: COMPACTADOR DE SOLOS DE PERCUSSÃO (SOQUETE) COM MOTOR A GASOLINA 4 TEMPOS, POTÊNCIA 4 CV - CHI DIURNO. AF_08/2015</t>
  </si>
  <si>
    <t>0127000200SI88264</t>
  </si>
  <si>
    <t>Serviço: ELETRICISTA COM ENCARGOS COMPLEMENTARES</t>
  </si>
  <si>
    <t>0128000050SI243 - ELETRICISTA (HORISTA)</t>
  </si>
  <si>
    <t>8900103001SI434 - EPI - FAMILIA ELETRICISTA - HORISTA (ENCARGOS COMPLEMENTARES - COLETADO CAIXA)</t>
  </si>
  <si>
    <t>8900103001SI434 - FERRAMENTAS - FAMILIA ELETRICISTA - HORISTA (ENCARGOS COMPLEMENTARES - COLETADO CAIXA)</t>
  </si>
  <si>
    <t>0128000050SI95332 - CURSO DE CAPACITAÇÃO PARA ELETRICISTA (ENCARGOS COMPLEMENTARES) - HORISTA</t>
  </si>
  <si>
    <t>0128000050SI95332</t>
  </si>
  <si>
    <t>Serviço: CURSO DE CAPACITAÇÃO PARA ELETRICISTA (ENCARGOS COMPLEMENTARES) - HORISTA</t>
  </si>
  <si>
    <t>2202019100SI89021</t>
  </si>
  <si>
    <t>Serviço: BOMBA SUBMERSÍVEL ELÉTRICA TRIFÁSICA, POTÊNCIA 2,96 HP, Ø ROTOR 144 MM SEMI-ABERTO, BOCAL DE SAÍDA Ø 2, HM/Q = 2 MCA / 38,8 M3/H A 28 MCA / 5 M3/H - CHP DIURNO. AF_06/2014</t>
  </si>
  <si>
    <t>2202019300SI53866 - BOMBA SUBMERSÍVEL ELÉTRICA TRIFÁSICA, POTÊNCIA 2,96 HP, Ø ROTOR 144 MM SEMI-ABERTO, BOCAL DE SAÍDA Ø 2, HM/Q = 2 MCA / 38,8 M3/H A 28 MCA / 5 M3/H - MATERIAIS NA OPERAÇÃO. AF_06/2014</t>
  </si>
  <si>
    <t>2202019300SI5800 - BOMBA SUBMERSÍVEL ELÉTRICA TRIFÁSICA, POTÊNCIA 2,96 HP, Ø ROTOR 144 MM SEMI-ABERTO, BOCAL DE SAÍDA Ø 2, HM/Q = 2 MCA / 38,8 M3/H A 28 MCA / 5 M3/H - MANUTENÇÃO. AF_06/2014</t>
  </si>
  <si>
    <t>2202019300SI89019 - BOMBA SUBMERSÍVEL ELÉTRICA TRIFÁSICA, POTÊNCIA 2,96 HP, Ø ROTOR 144 MM SEMI-ABERTO, BOCAL DE SAÍDA Ø 2, HM/Q = 2 MCA / 38,8 M3/H A 28 MCA / 5 M3/H - DEPRECIAÇÃO. AF_06/2014</t>
  </si>
  <si>
    <t>2202019300SI89020 - BOMBA SUBMERSÍVEL ELÉTRICA TRIFÁSICA, POTÊNCIA 2,96 HP, Ø ROTOR 144 MM SEMI-ABERTO, BOCAL DE SAÍDA Ø 2, HM/Q = 2 MCA / 38,8 M3/H A 28 MCA / 5 M3/H - JUROS. AF_06/2014</t>
  </si>
  <si>
    <t>2202019300SI53866</t>
  </si>
  <si>
    <t>Serviço: BOMBA SUBMERSÍVEL ELÉTRICA TRIFÁSICA, POTÊNCIA 2,96 HP, Ø ROTOR 144 MM SEMI-ABERTO, BOCAL DE SAÍDA Ø 2, HM/Q = 2 MCA / 38,8 M3/H A 28 MCA / 5 M3/H - MATERIAIS NA OPERAÇÃO. AF_06/2014</t>
  </si>
  <si>
    <t>0173004001SI142 - ENERGIA ELETRICA COMERCIAL, BAIXA TENSAO, RELATIVA AO CONSUMO DE ATE 100 KWH, INCLUINDO ICMS, PIS/PASEP E COFINS</t>
  </si>
  <si>
    <t>2202019300SI5800</t>
  </si>
  <si>
    <t>Serviço: BOMBA SUBMERSÍVEL ELÉTRICA TRIFÁSICA, POTÊNCIA 2,96 HP, Ø ROTOR 144 MM SEMI-ABERTO, BOCAL DE SAÍDA Ø 2, HM/Q = 2 MCA / 38,8 M3/H A 28 MCA / 5 M3/H - MANUTENÇÃO. AF_06/2014</t>
  </si>
  <si>
    <t>2202005001SI751 - BOMBA SUBMERSIVEL, ELETRICA, TRIFASICA, POTENCIA 2,96 HP, DIAMETRO DO ROTOR 144 MM SEMIABERTO, BOCAL DE SAIDA</t>
  </si>
  <si>
    <t>2202019300SI89019</t>
  </si>
  <si>
    <t>Serviço: BOMBA SUBMERSÍVEL ELÉTRICA TRIFÁSICA, POTÊNCIA 2,96 HP, Ø ROTOR 144 MM SEMI-ABERTO, BOCAL DE SAÍDA Ø 2, HM/Q = 2 MCA / 38,8 M3/H A 28 MCA / 5 M3/H - DEPRECIAÇÃO. AF_06/2014</t>
  </si>
  <si>
    <t>2202019300SI89020</t>
  </si>
  <si>
    <t>Serviço: BOMBA SUBMERSÍVEL ELÉTRICA TRIFÁSICA, POTÊNCIA 2,96 HP, Ø ROTOR 144 MM SEMI-ABERTO, BOCAL DE SAÍDA Ø 2, HM/Q = 2 MCA / 38,8 M3/H A 28 MCA / 5 M3/H - JUROS. AF_06/2014</t>
  </si>
  <si>
    <t>2202019200SI89022</t>
  </si>
  <si>
    <t>Serviço: BOMBA SUBMERSÍVEL ELÉTRICA TRIFÁSICA, POTÊNCIA 2,96 HP, Ø ROTOR 144 MM SEMI-ABERTO, BOCAL DE SAÍDA Ø 2, HM/Q = 2 MCA / 38,8 M3/H A 28 MCA / 5 M3/H - CHI DIURNO. AF_06/2014</t>
  </si>
  <si>
    <t>8006508010SI87367</t>
  </si>
  <si>
    <t>Serviço: ARGAMASSA TRAÇO 1:1:6 (EM VOLUME DE CIMENTO, CAL E AREIA MÉDIA ÚMIDA) PARA EMBOÇO/MASSA ÚNICA/ASSENTAMENTO DE ALVENARIA DE VEDAÇÃO, PREPARO MANUAL. AF_08/2019</t>
  </si>
  <si>
    <t>8900103001SI110 - CAL HIDRATADA CH-I PARA ARGAMASSAS</t>
  </si>
  <si>
    <t>8004008030SI92803</t>
  </si>
  <si>
    <t>Serviço: CORTE E DOBRA DE AÇO CA-50, DIÂMETRO DE 10,0 MM. AF_06/2022</t>
  </si>
  <si>
    <t>8900103001SI34 - ACO CA-50, 10,0 MM, VERGALHAO</t>
  </si>
  <si>
    <t>8004008030SI92804</t>
  </si>
  <si>
    <t>Serviço: CORTE E DOBRA DE AÇO CA-50, DIÂMETRO DE 12,5 MM. AF_06/2022</t>
  </si>
  <si>
    <t>8900103001SI430 - ACO CA-50, 12,5 MM OU 16,0 MM, VERGALHAO</t>
  </si>
  <si>
    <t>8004008030SI92801</t>
  </si>
  <si>
    <t>Serviço: CORTE E DOBRA DE AÇO CA-50, DIÂMETRO DE 6,3 MM. AF_06/2022</t>
  </si>
  <si>
    <t>8900103001SI32 - ACO CA-50, 6,3 MM, VERGALHAO</t>
  </si>
  <si>
    <t>8006508010SI88628</t>
  </si>
  <si>
    <t>Serviço: ARGAMASSA TRAÇO 1:3 (EM VOLUME DE CIMENTO E AREIA MÉDIA ÚMIDA), PREPARO MECÂNICO COM BETONEIRA 400 L. AF_08/2019</t>
  </si>
  <si>
    <t>2202019100SI88830 - BETONEIRA CAPACIDADE NOMINAL DE 400 L, CAPACIDADE DE MISTURA 280 L, MOTOR ELÉTRICO TRIFÁSICO POTÊNCIA DE 2 CV, SEM CARREGADOR - CHP DIURNO. AF_05/2023</t>
  </si>
  <si>
    <t>2202019200SI88831 - BETONEIRA CAPACIDADE NOMINAL DE 400 L, CAPACIDADE DE MISTURA 280 L, MOTOR ELÉTRICO TRIFÁSICO POTÊNCIA DE 2 CV, SEM CARREGADOR - CHI DIURNO. AF_05/2023</t>
  </si>
  <si>
    <t>2202019100SI88830</t>
  </si>
  <si>
    <t>Serviço: BETONEIRA CAPACIDADE NOMINAL DE 400 L, CAPACIDADE DE MISTURA 280 L, MOTOR ELÉTRICO TRIFÁSICO POTÊNCIA DE 2 CV, SEM CARREGADOR - CHP DIURNO. AF_05/2023</t>
  </si>
  <si>
    <t>2202019300SI88826 - BETONEIRA CAPACIDADE NOMINAL DE 400 L, CAPACIDADE DE MISTURA 280 L, MOTOR ELÉTRICO TRIFÁSICO POTÊNCIA DE 2 CV, SEM CARREGADOR - DEPRECIAÇÃO. AF_05/2023</t>
  </si>
  <si>
    <t>2202019300SI88827 - BETONEIRA CAPACIDADE NOMINAL DE 400 L, CAPACIDADE DE MISTURA 280 L, MOTOR ELÉTRICO TRIFÁSICO POTÊNCIA DE 2 CV, SEM CARREGADOR - JUROS. AF_05/2023</t>
  </si>
  <si>
    <t>2202019300SI88828 - BETONEIRA CAPACIDADE NOMINAL DE 400 L, CAPACIDADE DE MISTURA 280 L, MOTOR ELÉTRICO TRIFÁSICO POTÊNCIA DE 2 CV, SEM CARREGADOR - MANUTENÇÃO. AF_05/2023</t>
  </si>
  <si>
    <t>2202019300SI88829 - BETONEIRA CAPACIDADE NOMINAL DE 400 L, CAPACIDADE DE MISTURA 280 L, MOTOR ELÉTRICO TRIFÁSICO POTÊNCIA DE 2 CV, SEM CARREGADOR - MATERIAIS NA OPERAÇÃO. AF_05/2023</t>
  </si>
  <si>
    <t>2202019300SI88826</t>
  </si>
  <si>
    <t>Serviço: BETONEIRA CAPACIDADE NOMINAL DE 400 L, CAPACIDADE DE MISTURA 280 L, MOTOR ELÉTRICO TRIFÁSICO POTÊNCIA DE 2 CV, SEM CARREGADOR - DEPRECIAÇÃO. AF_05/2023</t>
  </si>
  <si>
    <t>2202005001SI105 - BETONEIRA CAPACIDADE NOMINAL 400 L, CAPACIDADE DE MISTURA 280 L, MOTOR ELETRICO TRIFASICO 220/380 V POTENCIA 2 CV, SEM CARREGADOR</t>
  </si>
  <si>
    <t>2202019300SI88827</t>
  </si>
  <si>
    <t>Serviço: BETONEIRA CAPACIDADE NOMINAL DE 400 L, CAPACIDADE DE MISTURA 280 L, MOTOR ELÉTRICO TRIFÁSICO POTÊNCIA DE 2 CV, SEM CARREGADOR - JUROS. AF_05/2023</t>
  </si>
  <si>
    <t>2202019300SI88828</t>
  </si>
  <si>
    <t>Serviço: BETONEIRA CAPACIDADE NOMINAL DE 400 L, CAPACIDADE DE MISTURA 280 L, MOTOR ELÉTRICO TRIFÁSICO POTÊNCIA DE 2 CV, SEM CARREGADOR - MANUTENÇÃO. AF_05/2023</t>
  </si>
  <si>
    <t>2202019300SI88829</t>
  </si>
  <si>
    <t>Serviço: BETONEIRA CAPACIDADE NOMINAL DE 400 L, CAPACIDADE DE MISTURA 280 L, MOTOR ELÉTRICO TRIFÁSICO POTÊNCIA DE 2 CV, SEM CARREGADOR - MATERIAIS NA OPERAÇÃO. AF_05/2023</t>
  </si>
  <si>
    <t>2202019200SI88831</t>
  </si>
  <si>
    <t>Serviço: BETONEIRA CAPACIDADE NOMINAL DE 400 L, CAPACIDADE DE MISTURA 280 L, MOTOR ELÉTRICO TRIFÁSICO POTÊNCIA DE 2 CV, SEM CARREGADOR - CHI DIURNO. AF_05/2023</t>
  </si>
  <si>
    <t>Serviço: PREPARO, LANÇAMENTO E ADENSAMENTO DE CONCRETO VIRADO EM OBRA FCK &gt; 15,0 MPA</t>
  </si>
  <si>
    <t>8004008030SI92915</t>
  </si>
  <si>
    <t>Serviço: ARMAÇÃO DE ESTRUTURAS DIVERSAS DE CONCRETO ARMADO, EXCETO VIGAS, PILARES, LAJES E FUNDAÇÕES, UTILIZANDO AÇO CA-60 DE 5,0 MM - MONTAGEM. AF_06/2022</t>
  </si>
  <si>
    <t>8004008030SI92800 - CORTE E DOBRA DE AÇO CA-60, DIÂMETRO DE 5,0 MM. AF_06/2022</t>
  </si>
  <si>
    <t>8004008030SI92800</t>
  </si>
  <si>
    <t>Serviço: CORTE E DOBRA DE AÇO CA-60, DIÂMETRO DE 5,0 MM. AF_06/2022</t>
  </si>
  <si>
    <t>8900103001SI430 - ACO CA-60, 4,2 MM, OU 5,0 MM, OU 6,0 MM, OU 7,0 MM, VERGALHAO</t>
  </si>
  <si>
    <t>8004008020SI96621</t>
  </si>
  <si>
    <t>Serviço: LASTRO COM MATERIAL GRANULAR, APLICAÇÃO EM BLOCOS DE COROAMENTO, ESPESSURA DE *5 CM*. AF_01/2024</t>
  </si>
  <si>
    <t>2202019100SI91277</t>
  </si>
  <si>
    <t>Serviço: PLACA VIBRATÓRIA REVERSÍVEL COM MOTOR 4 TEMPOS A GASOLINA, FORÇA CENTRÍFUGA DE 25 KN (2500 KGF), POTÊNCIA 5,5 CV - CHP DIURNO. AF_08/2015</t>
  </si>
  <si>
    <t>2202019300SI91274 - PLACA VIBRATÓRIA REVERSÍVEL COM MOTOR 4 TEMPOS A GASOLINA, FORÇA CENTRÍFUGA DE 25 KN (2500 KGF), POTÊNCIA 5,5 CV - JUROS. AF_08/2015</t>
  </si>
  <si>
    <t>2202019300SI91275 - PLACA VIBRATÓRIA REVERSÍVEL COM MOTOR 4 TEMPOS A GASOLINA, FORÇA CENTRÍFUGA DE 25 KN (2500 KGF), POTÊNCIA 5,5 CV - MANUTENÇÃO. AF_08/2015</t>
  </si>
  <si>
    <t>2202019300SI91273 - PLACA VIBRATÓRIA REVERSÍVEL COM MOTOR 4 TEMPOS A GASOLINA, FORÇA CENTRÍFUGA DE 25 KN (2500 KGF), POTÊNCIA 5,5 CV - DEPRECIAÇÃO. AF_08/2015</t>
  </si>
  <si>
    <t>2202019300SI91276 - PLACA VIBRATÓRIA REVERSÍVEL COM MOTOR 4 TEMPOS A GASOLINA, FORÇA CENTRÍFUGA DE 25 KN (2500 KGF), POTÊNCIA 5,5 CV - MATERIAIS NA OPERAÇÃO. AF_08/2015</t>
  </si>
  <si>
    <t>2202019300SI91274</t>
  </si>
  <si>
    <t>Serviço: PLACA VIBRATÓRIA REVERSÍVEL COM MOTOR 4 TEMPOS A GASOLINA, FORÇA CENTRÍFUGA DE 25 KN (2500 KGF), POTÊNCIA 5,5 CV - JUROS. AF_08/2015</t>
  </si>
  <si>
    <t>2202005001SI144 - COMPACTADOR DE SOLO TIPO PLACA VIBRATORIA REVERSIVEL, A GASOLINA 4 TEMPOS, PESO 125 A 150 KG, FORCA CENTRIF. 2500 A 2800 KGF, LARG. TRABALHO 400 A 450 MM, FREQ. VIBRACAO 4300 A 4500 RPM, VELOC. TRABALHO 15 A 20 M/MIN, POT. 5,5 A 6,0 HP</t>
  </si>
  <si>
    <t>2202019300SI91275</t>
  </si>
  <si>
    <t>Serviço: PLACA VIBRATÓRIA REVERSÍVEL COM MOTOR 4 TEMPOS A GASOLINA, FORÇA CENTRÍFUGA DE 25 KN (2500 KGF), POTÊNCIA 5,5 CV - MANUTENÇÃO. AF_08/2015</t>
  </si>
  <si>
    <t>2202019300SI91273</t>
  </si>
  <si>
    <t>Serviço: PLACA VIBRATÓRIA REVERSÍVEL COM MOTOR 4 TEMPOS A GASOLINA, FORÇA CENTRÍFUGA DE 25 KN (2500 KGF), POTÊNCIA 5,5 CV - DEPRECIAÇÃO. AF_08/2015</t>
  </si>
  <si>
    <t>2202019300SI91276</t>
  </si>
  <si>
    <t>Serviço: PLACA VIBRATÓRIA REVERSÍVEL COM MOTOR 4 TEMPOS A GASOLINA, FORÇA CENTRÍFUGA DE 25 KN (2500 KGF), POTÊNCIA 5,5 CV - MATERIAIS NA OPERAÇÃO. AF_08/2015</t>
  </si>
  <si>
    <t>2202019200SI91278</t>
  </si>
  <si>
    <t>Serviço: PLACA VIBRATÓRIA REVERSÍVEL COM MOTOR 4 TEMPOS A GASOLINA, FORÇA CENTRÍFUGA DE 25 KN (2500 KGF), POTÊNCIA 5,5 CV - CHI DIURNO. AF_08/2015</t>
  </si>
  <si>
    <t>8002008040SI97083</t>
  </si>
  <si>
    <t>Serviço: COMPACTAÇÃO MECÂNICA DE SOLO PARA EXECUÇÃO DE RADIER, PISO DE CONCRETO OU LAJE SOBRE SOLO, COM COMPACTADOR DE SOLOS A PERCUSSÃO. AF_09/2021</t>
  </si>
  <si>
    <t>2202019100SI95264</t>
  </si>
  <si>
    <t>Serviço: COMPACTADOR DE SOLOS DE PERCUSÃO (SOQUETE) COM MOTOR A GASOLINA, POTÊNCIA 3 CV - CHP DIURNO. AF_09/2016</t>
  </si>
  <si>
    <t>2202019300SI95260 - COMPACTADOR DE SOLOS DE PERCUSÃO (SOQUETE) COM MOTOR A GASOLINA, POTÊNCIA 3 CV - DEPRECIAÇÃO. AF_09/2016</t>
  </si>
  <si>
    <t>2202019300SI95261 - COMPACTADOR DE SOLOS DE PERCUSÃO (SOQUETE) COM MOTOR A GASOLINA, POTÊNCIA 3 CV - JUROS. AF_09/2016</t>
  </si>
  <si>
    <t>2202019300SI95262 - COMPACTADOR DE SOLOS DE PERCUSÃO (SOQUETE) COM MOTOR A GASOLINA, POTÊNCIA 3 CV - MANUTENÇÃO. AF_09/2016</t>
  </si>
  <si>
    <t>2202019300SI95263 - COMPACTADOR DE SOLOS DE PERCUSÃO (SOQUETE) COM MOTOR A GASOLINA, POTÊNCIA 3 CV - MATERIAIS NA OPERAÇÃO. AF_09/2016</t>
  </si>
  <si>
    <t>2202019300SI95260</t>
  </si>
  <si>
    <t>Serviço: COMPACTADOR DE SOLOS DE PERCUSÃO (SOQUETE) COM MOTOR A GASOLINA, POTÊNCIA 3 CV - DEPRECIAÇÃO. AF_09/2016</t>
  </si>
  <si>
    <t>2202005001SI112 - COMPACTADOR DE SOLO A PERCUSSAO (SOQUETE), A GASOLINA 4 TEMPOS, PESO 55 A 65 KG, FORCA DE IMPACTO 1.000 A 1.500 KGF, FREQ. 600 A 700 GOLPES P/ MINUTO, VELOCIDADE TRABALHO DE 10 A 15 M/MIN, POT. DE 2,00 A 3,00 HP</t>
  </si>
  <si>
    <t>2202019300SI95261</t>
  </si>
  <si>
    <t>Serviço: COMPACTADOR DE SOLOS DE PERCUSÃO (SOQUETE) COM MOTOR A GASOLINA, POTÊNCIA 3 CV - JUROS. AF_09/2016</t>
  </si>
  <si>
    <t>2202019300SI95262</t>
  </si>
  <si>
    <t>Serviço: COMPACTADOR DE SOLOS DE PERCUSÃO (SOQUETE) COM MOTOR A GASOLINA, POTÊNCIA 3 CV - MANUTENÇÃO. AF_09/2016</t>
  </si>
  <si>
    <t>2202019300SI95263</t>
  </si>
  <si>
    <t>Serviço: COMPACTADOR DE SOLOS DE PERCUSÃO (SOQUETE) COM MOTOR A GASOLINA, POTÊNCIA 3 CV - MATERIAIS NA OPERAÇÃO. AF_09/2016</t>
  </si>
  <si>
    <t>2202019200SI95265</t>
  </si>
  <si>
    <t>Serviço: COMPACTADOR DE SOLOS DE PERCUSÃO (SOQUETE) COM MOTOR A GASOLINA, POTÊNCIA 3 CV - CHI DIURNO. AF_09/2016</t>
  </si>
  <si>
    <t>8004008025SI97086</t>
  </si>
  <si>
    <t>Serviço: FABRICAÇÃO, MONTAGEM E DESMONTAGEM DE FORMA PARA RADIER, PISO DE CONCRETO OU LAJE SOBRE SOLO, EM MADEIRA SERRADA, 4 UTILIZAÇÕES. AF_09/2021</t>
  </si>
  <si>
    <t>8900103001SI619 - TABUA NAO APARELHADA *2,5 X 20* CM, EM MACARANDUBA/MASSARANDUBA, ANGELIM OU EQUIVALENTE DA REGIAO - BRUTA</t>
  </si>
  <si>
    <t>8006508030SI97087</t>
  </si>
  <si>
    <t>Serviço: CAMADA SEPARADORA PARA EXECUÇÃO DE RADIER, PISO DE CONCRETO OU LAJE SOBRE SOLO, EM LONA PLÁSTICA. AF_09/2021</t>
  </si>
  <si>
    <t>8900103001SI424 - LONA PLASTICA EXTRA FORTE PRETA, E = 200 MICRA</t>
  </si>
  <si>
    <t>8004008030SI97092</t>
  </si>
  <si>
    <t>Serviço: ARMAÇÃO PARA EXECUÇÃO DE RADIER, PISO DE CONCRETO OU LAJE SOBRE SOLO, COM USO DE TELA Q-196. AF_09/2021</t>
  </si>
  <si>
    <t>8900103001SI424 - TRELICA NERVURADA (ESPACADOR), ALTURA = 120,0 MM, DIAMETRO DOS BANZOS INFERIORES E SUPERIOR = 6,0 MM, DIAMETRO DA DIAGONAL = 4,2 MM</t>
  </si>
  <si>
    <t>8004008028SI97096</t>
  </si>
  <si>
    <t>Serviço: CONCRETAGEM DE RADIER, PISO DE CONCRETO OU LAJE SOBRE SOLO, FCK 30 MPA - LANÇAMENTO, ADENSAMENTO E ACABAMENTO. AF_09/2021</t>
  </si>
  <si>
    <t>8900103001SI152 - CONCRETO USINADO BOMBEAVEL, CLASSE DE RESISTENCIA C30, BRITA 0 E 1, SLUMP = 100 +/- 20 MM, COM BOMBEAMENTO (DISPONIBILIZACAO DE BOMBA), SEM O LANCAMENTO (NBR 8953)</t>
  </si>
  <si>
    <t>8006508030SI97097</t>
  </si>
  <si>
    <t>Serviço: ACABAMENTO POLIDO PARA PISO DE CONCRETO ARMADO OU LAJE SOBRE SOLO DE ALTA RESISTÊNCIA. AF_09/2021</t>
  </si>
  <si>
    <t>8900103001SI431 - ENDURECEDOR MINERAL DE BASE CIMENTICIA PARA PISO DE CONCRETO</t>
  </si>
  <si>
    <t>2202019100SI95282 - DESEMPENADEIRA DE CONCRETO, PESO DE 78 KG, 4 PÁS, MOTOR A GASOLINA, POTÊNCIA 5,5 HP - CHP DIURNO. AF_05/2023</t>
  </si>
  <si>
    <t>2202019100SI95282</t>
  </si>
  <si>
    <t>Serviço: DESEMPENADEIRA DE CONCRETO, PESO DE 78 KG, 4 PÁS, MOTOR A GASOLINA, POTÊNCIA 5,5 HP - CHP DIURNO. AF_05/2023</t>
  </si>
  <si>
    <t>2202019300SI95278 - DESEMPENADEIRA DE CONCRETO, PESO DE 78 KG, 4 PÁS, MOTOR A GASOLINA, POTÊNCIA 5,5 HP - DEPRECIAÇÃO. AF_05/2023</t>
  </si>
  <si>
    <t>2202019300SI95279 - DESEMPENADEIRA DE CONCRETO, PESO DE 78 KG, 4 PÁS, MOTOR A GASOLINA, POTÊNCIA 5,5 HP - JUROS. AF_05/2023</t>
  </si>
  <si>
    <t>2202019300SI95280 - DESEMPENADEIRA DE CONCRETO, PESO DE 78 KG, 4 PÁS, MOTOR A GASOLINA, POTÊNCIA 5,5 HP - MANUTENÇÃO. AF_05/2023</t>
  </si>
  <si>
    <t>2202019300SI95281 - DESEMPENADEIRA DE CONCRETO, PESO DE 78 KG, 4 PÁS, MOTOR A GASOLINA, POTÊNCIA 5,5 HP MATERIAIS NA OPERAÇÃO. AF_05/2023</t>
  </si>
  <si>
    <t>2202019300SI95278</t>
  </si>
  <si>
    <t>Serviço: DESEMPENADEIRA DE CONCRETO, PESO DE 78 KG, 4 PÁS, MOTOR A GASOLINA, POTÊNCIA 5,5 HP - DEPRECIAÇÃO. AF_05/2023</t>
  </si>
  <si>
    <t>2202005001SI106 - ALISADORA DE CONCRETO COM MOTOR A GASOLINA DE 5,5 HP, PESO COM MOTOR DE 78 KG, 4 PAS</t>
  </si>
  <si>
    <t>2202019300SI95279</t>
  </si>
  <si>
    <t>Serviço: DESEMPENADEIRA DE CONCRETO, PESO DE 78 KG, 4 PÁS, MOTOR A GASOLINA, POTÊNCIA 5,5 HP - JUROS. AF_05/2023</t>
  </si>
  <si>
    <t>2202019300SI95280</t>
  </si>
  <si>
    <t>Serviço: DESEMPENADEIRA DE CONCRETO, PESO DE 78 KG, 4 PÁS, MOTOR A GASOLINA, POTÊNCIA 5,5 HP - MANUTENÇÃO. AF_05/2023</t>
  </si>
  <si>
    <t>2202019300SI95281</t>
  </si>
  <si>
    <t>Serviço: DESEMPENADEIRA DE CONCRETO, PESO DE 78 KG, 4 PÁS, MOTOR A GASOLINA, POTÊNCIA 5,5 HP MATERIAIS NA OPERAÇÃO. AF_05/2023</t>
  </si>
  <si>
    <t>0127000200SI88261</t>
  </si>
  <si>
    <t>Serviço: CARPINTEIRO DE ESQUADRIA COM ENCARGOS COMPLEMENTARES</t>
  </si>
  <si>
    <t>0128000050SI121 - CARPINTEIRO DE ESQUADRIAS (HORISTA)</t>
  </si>
  <si>
    <t>0128000050SI95329 - CURSO DE CAPACITAÇÃO PARA CARPINTEIRO DE ESQUADRIA (ENCARGOS COMPLEMENTARES) - HORISTA</t>
  </si>
  <si>
    <t>0128000050SI95329</t>
  </si>
  <si>
    <t>Serviço: CURSO DE CAPACITAÇÃO PARA CARPINTEIRO DE ESQUADRIA (ENCARGOS COMPLEMENTARES) - HORISTA</t>
  </si>
  <si>
    <t>8004008030SI92767</t>
  </si>
  <si>
    <t>Serviço: ARMAÇÃO DE LAJE DE ESTRUTURA CONVENCIONAL DE CONCRETO ARMADO UTILIZANDO AÇO CA-60 DE 4,2 MM - MONTAGEM. AF_06/2022</t>
  </si>
  <si>
    <t>8004008030SI92799 - CORTE E DOBRA DE AÇO CA-60, DIÂMETRO DE 4,2 MM. AF_06/2022</t>
  </si>
  <si>
    <t>8004008030SI92799</t>
  </si>
  <si>
    <t>Serviço: CORTE E DOBRA DE AÇO CA-60, DIÂMETRO DE 4,2 MM. AF_06/2022</t>
  </si>
  <si>
    <t>0127000200SI88246</t>
  </si>
  <si>
    <t>Serviço: ASSENTADOR DE TUBOS COM ENCARGOS COMPLEMENTARES</t>
  </si>
  <si>
    <t>0128000050SI403 - ASSENTADOR DE MANILHAS (HORISTA)</t>
  </si>
  <si>
    <t>0128000050SI95315 - CURSO DE CAPACITAÇÃO PARA ASSENTADOR DE TUBOS (ENCARGOS COMPLEMENTARES) - HORISTA</t>
  </si>
  <si>
    <t>0128000050SI95315</t>
  </si>
  <si>
    <t>Serviço: CURSO DE CAPACITAÇÃO PARA ASSENTADOR DE TUBOS (ENCARGOS COMPLEMENTARES) - HORISTA</t>
  </si>
  <si>
    <t>0127000200SI88248</t>
  </si>
  <si>
    <t>Serviço: AUXILIAR DE ENCANADOR OU BOMBEIRO HIDRÁULICO COM ENCARGOS COMPLEMENTARES</t>
  </si>
  <si>
    <t>0128000050SI246 - AUXILIAR DE ENCANADOR OU BOMBEIRO HIDRAULICO (HORISTA)</t>
  </si>
  <si>
    <t>8900103001SI434 - EPI - FAMILIA ENCANADOR - HORISTA (ENCARGOS COMPLEMENTARES - COLETADO CAIXA)</t>
  </si>
  <si>
    <t>8900103001SI434 - FERRAMENTAS - FAMILIA ENCANADOR - HORISTA (ENCARGOS COMPLEMENTARES - COLETADO CAIXA)</t>
  </si>
  <si>
    <t>0128000050SI95317 - CURSO DE CAPACITAÇÃO PARA AUXILIAR DE ENCANADOR OU BOMBEIRO HIDRÁULICO (ENCARGOS COMPLEMENTARES) - HORISTA</t>
  </si>
  <si>
    <t>0128000050SI95317</t>
  </si>
  <si>
    <t>Serviço: CURSO DE CAPACITAÇÃO PARA AUXILIAR DE ENCANADOR OU BOMBEIRO HIDRÁULICO (ENCARGOS COMPLEMENTARES) - HORISTA</t>
  </si>
  <si>
    <t>0127000200SI88267</t>
  </si>
  <si>
    <t>Serviço: ENCANADOR OU BOMBEIRO HIDRÁULICO COM ENCARGOS COMPLEMENTARES</t>
  </si>
  <si>
    <t>0128000050SI269 - ENCANADOR OU BOMBEIRO HIDRAULICO (HORISTA)</t>
  </si>
  <si>
    <t>0128000050SI95335 - CURSO DE CAPACITAÇÃO PARA ENCANADOR OU BOMBEIRO HIDRÁULICO (ENCARGOS COMPLEMENTARES) - HORISTA</t>
  </si>
  <si>
    <t>0128000050SI95335</t>
  </si>
  <si>
    <t>Serviço: CURSO DE CAPACITAÇÃO PARA ENCANADOR OU BOMBEIRO HIDRÁULICO (ENCARGOS COMPLEMENTARES) - HORISTA</t>
  </si>
  <si>
    <t>2202019100SI93421</t>
  </si>
  <si>
    <t>Serviço: GRUPO GERADOR REBOCÁVEL, POTÊNCIA 66 KVA, MOTOR A DIESEL - CHP DIURNO. AF_03/2016</t>
  </si>
  <si>
    <t>2202019300SI93417 - GRUPO GERADOR REBOCÁVEL, POTÊNCIA 66 KVA, MOTOR A DIESEL - DEPRECIAÇÃO. AF_03/2016</t>
  </si>
  <si>
    <t>2202019300SI93419 - GRUPO GERADOR REBOCÁVEL, POTÊNCIA 66 KVA, MOTOR A DIESEL - MANUTENÇÃO. AF_03/2016</t>
  </si>
  <si>
    <t>2202019300SI93418 - GRUPO GERADOR REBOCÁVEL, POTÊNCIA 66 KVA, MOTOR A DIESEL - JUROS. AF_03/2016</t>
  </si>
  <si>
    <t>2202019300SI93420 - GRUPO GERADOR REBOCÁVEL, POTÊNCIA 66 KVA, MOTOR A DIESEL - MATERIAIS NA OPERAÇÃO. AF_03/2016</t>
  </si>
  <si>
    <t>2202019300SI93417</t>
  </si>
  <si>
    <t>Serviço: GRUPO GERADOR REBOCÁVEL, POTÊNCIA 66 KVA, MOTOR A DIESEL - DEPRECIAÇÃO. AF_03/2016</t>
  </si>
  <si>
    <t>2202005001SI365 - GRUPO GERADOR REBOCAVEL, POTENCIA *66* KVA, MOTOR A DIESEL</t>
  </si>
  <si>
    <t>2202019300SI93419</t>
  </si>
  <si>
    <t>Serviço: GRUPO GERADOR REBOCÁVEL, POTÊNCIA 66 KVA, MOTOR A DIESEL - MANUTENÇÃO. AF_03/2016</t>
  </si>
  <si>
    <t>2202019300SI93418</t>
  </si>
  <si>
    <t>Serviço: GRUPO GERADOR REBOCÁVEL, POTÊNCIA 66 KVA, MOTOR A DIESEL - JUROS. AF_03/2016</t>
  </si>
  <si>
    <t>2202019300SI93420</t>
  </si>
  <si>
    <t>Serviço: GRUPO GERADOR REBOCÁVEL, POTÊNCIA 66 KVA, MOTOR A DIESEL - MATERIAIS NA OPERAÇÃO. AF_03/2016</t>
  </si>
  <si>
    <t>2202019200SI93422</t>
  </si>
  <si>
    <t>Serviço: GRUPO GERADOR REBOCÁVEL, POTÊNCIA 66 KVA, MOTOR A DIESEL - CHI DIURNO. AF_03/2016</t>
  </si>
  <si>
    <t>Serviço: MÁQUINA DE SOLDA POR ELETROFUSÃO, POTÊNCIA 3.500 W, TENSÃO PRIMÁRIO 230 V / 60 HZ, DIMENSÕES 285 X 200 X 360 MM_ALIMENTAÇÃO ELÉTRICA _(3,60KW-SC-SMO) #AF_01/2024</t>
  </si>
  <si>
    <t>2203009001186 - MÁQUINA DE SOLDA POR ELETROFUSÃO, POTÊNCIA 3.500 W, TENSÃO PRIMÁRIO 230 V / 60 HZ, DIMENSÕES 285 X 200 X 360 MM_DEPRECIAÇÃO</t>
  </si>
  <si>
    <t>2203009001187 - MÁQUINA DE SOLDA POR ELETROFUSÃO, POTÊNCIA 3.500 W, TENSÃO PRIMÁRIO 230 V / 60 HZ, DIMENSÕES 285 X 200 X 360 MM_JUROS</t>
  </si>
  <si>
    <t>Serviço: MÁQUINA DE SOLDA POR ELETROFUSÃO, POTÊNCIA 3.500 W, TENSÃO PRIMÁRIO 230 V / 60 HZ, DIMENSÕES 285 X 200 X 360 MM_DEPRECIAÇÃO</t>
  </si>
  <si>
    <t>2207205002005 - MÁQUINA DE SOLDA POR ELETROFUSÃO, POTÊNCIA 3.500 W, TENSÃO PRIMÁRIO 230 V / 60 HZ, DIMENSÕES 285 X 200 X 360 MM</t>
  </si>
  <si>
    <t>Serviço: MÁQUINA DE SOLDA POR ELETROFUSÃO, POTÊNCIA 3.500 W, TENSÃO PRIMÁRIO 230 V / 60 HZ, DIMENSÕES 285 X 200 X 360 MM_JUROS</t>
  </si>
  <si>
    <t>2203009001190 - MÁQUINA DE SOLDA POR ELETROFUSÃO, POTÊNCIA 3.500 W, TENSÃO PRIMÁRIO 230 V / 60 HZ, DIMENSÕES 285 X 200 X 360 MM_MANUTENÇÃO</t>
  </si>
  <si>
    <t>Serviço: MÁQUINA DE SOLDA POR ELETROFUSÃO, POTÊNCIA 3.500 W, TENSÃO PRIMÁRIO 230 V / 60 HZ, DIMENSÕES 285 X 200 X 360 MM_MANUTENÇÃO</t>
  </si>
  <si>
    <t>Serviço: MÁQUINA PARA SOLDAGEM DE TUBOS PLÁSTICOS POR TERMOFUSÃO, DIÂMETRO DE 90 À 315 MM_ALIMENTAÇÃO ELÉTRICA _(2,50KW-SC-SMO) #AF_01/2024</t>
  </si>
  <si>
    <t>2203009001321 - MÁQUINA PARA SOLDAGEM DE TUBOS PLÁSTICOS POR TERMOFUSÃO, DIÂMETRO DE 90 À 315 MM_DEPRECIAÇÃO</t>
  </si>
  <si>
    <t>2203009001322 - MÁQUINA PARA SOLDAGEM DE TUBOS PLÁSTICOS POR TERMOFUSÃO, DIÂMETRO DE 90 À 315 MM_JUROS</t>
  </si>
  <si>
    <t>2203009001325 - MÁQUINA PARA SOLDAGEM DE TUBOS PLÁSTICOS POR TERMOFUSÃO, DIÂMETRO DE 90 À 315 MM_MANUTENÇÃO</t>
  </si>
  <si>
    <t>Serviço: MÁQUINA PARA SOLDAGEM DE TUBOS PLÁSTICOS POR TERMOFUSÃO, DIÂMETRO DE 90 À 315 MM_DEPRECIAÇÃO</t>
  </si>
  <si>
    <t>2207205002001 - MÁQUINA PARA SOLDAGEM DE TUBOS PLÁSTICOS POR TERMOFUSÃO, DIÂMETRO DE 90 À 315 MM</t>
  </si>
  <si>
    <t>Serviço: MÁQUINA PARA SOLDAGEM DE TUBOS PLÁSTICOS POR TERMOFUSÃO, DIÂMETRO DE 90 À 315 MM_JUROS</t>
  </si>
  <si>
    <t>Serviço: MÁQUINA PARA SOLDAGEM DE TUBOS PLÁSTICOS POR TERMOFUSÃO, DIÂMETRO DE 90 À 315 MM_MANUTENÇÃO</t>
  </si>
  <si>
    <t>Serviço: MÁQUINA PARA SOLDAGEM DE TUBOS PLÁSTICOS POR TERMOFUSÃO, DIÂMETRO DE 315 À 630 MM_ALIMENTAÇÃO ELÉTRICA _(8,00KW-SC-SMO) #AF_01/2024</t>
  </si>
  <si>
    <t>2203009001315 - MÁQUINA PARA SOLDAGEM DE TUBOS PLÁSTICOS POR TERMOFUSÃO, DIÂMETRO DE 315 À 630 MM_MANUTENÇÃO</t>
  </si>
  <si>
    <t>2203009001312 - MÁQUINA PARA SOLDAGEM DE TUBOS PLÁSTICOS POR TERMOFUSÃO, DIÂMETRO DE 315 À 630 MM_JUROS</t>
  </si>
  <si>
    <t>2203009001311 - MÁQUINA PARA SOLDAGEM DE TUBOS PLÁSTICOS POR TERMOFUSÃO, DIÂMETRO DE 315 À 630 MM_DEPRECIAÇÃO</t>
  </si>
  <si>
    <t>Serviço: MÁQUINA PARA SOLDAGEM DE TUBOS PLÁSTICOS POR TERMOFUSÃO, DIÂMETRO DE 315 À 630 MM_MANUTENÇÃO</t>
  </si>
  <si>
    <t>2207205002003 - MÁQUINA PARA SOLDAGEM DE TUBOS PLÁSTICOS POR TERMOFUSÃO, DIÂMETRO DE 315 À 630 MM</t>
  </si>
  <si>
    <t>Serviço: MÁQUINA PARA SOLDAGEM DE TUBOS PLÁSTICOS POR TERMOFUSÃO, DIÂMETRO DE 315 À 630 MM_JUROS</t>
  </si>
  <si>
    <t>Serviço: MÁQUINA PARA SOLDAGEM DE TUBOS PLÁSTICOS POR TERMOFUSÃO, DIÂMETRO DE 315 À 630 MM_DEPRECIAÇÃO</t>
  </si>
  <si>
    <t>8006508010SI88629</t>
  </si>
  <si>
    <t>Serviço: ARGAMASSA TRAÇO 1:3 (EM VOLUME DE CIMENTO E AREIA MÉDIA ÚMIDA), PREPARO MANUAL. AF_08/2019</t>
  </si>
  <si>
    <t>2202019100SI5851</t>
  </si>
  <si>
    <t>Serviço: TRATOR DE ESTEIRAS, POTÊNCIA 150 HP, PESO OPERACIONAL 16,7 T, COM RODA MOTRIZ ELEVADA E LÂMINA 3,18 M3 - CHP DIURNO. AF_06/2014</t>
  </si>
  <si>
    <t>0127000200SI88324 - TRATORISTA COM ENCARGOS COMPLEMENTARES</t>
  </si>
  <si>
    <t>2202019300SI53810 - TRATOR DE ESTEIRAS, POTÊNCIA 150 HP, PESO OPERACIONAL 16,7 T, COM RODA MOTRIZ ELEVADA E LÂMINA 3,18 M3 - MANUTENÇÃO. AF_06/2014</t>
  </si>
  <si>
    <t>2202019300SI5721 - TRATOR DE ESTEIRAS, POTÊNCIA 150 HP, PESO OPERACIONAL 16,7 T, COM RODA MOTRIZ ELEVADA E LÂMINA 3,18 M3 - MATERIAIS NA OPERAÇÃO. AF_06/2014</t>
  </si>
  <si>
    <t>2202019300SI89009 - TRATOR DE ESTEIRAS, POTÊNCIA 150 HP, PESO OPERACIONAL 16,7 T, COM RODA MOTRIZ ELEVADA E LÂMINA 3,18 M3 - DEPRECIAÇÃO. AF_06/2014</t>
  </si>
  <si>
    <t>2202019300SI89010 - TRATOR DE ESTEIRAS, POTÊNCIA 150 HP, PESO OPERACIONAL 16,7 T, COM RODA MOTRIZ ELEVADA E LÂMINA 3,18 M3 - JUROS. AF_06/2014</t>
  </si>
  <si>
    <t>0127000200SI88324</t>
  </si>
  <si>
    <t>Serviço: TRATORISTA COM ENCARGOS COMPLEMENTARES</t>
  </si>
  <si>
    <t>0128000050SI95386 - CURSO DE CAPACITAÇÃO PARA TRATORISTA (ENCARGOS COMPLEMENTARES) - HORISTA</t>
  </si>
  <si>
    <t>0128000050SI95386</t>
  </si>
  <si>
    <t>Serviço: CURSO DE CAPACITAÇÃO PARA TRATORISTA (ENCARGOS COMPLEMENTARES) - HORISTA</t>
  </si>
  <si>
    <t>2202019300SI53810</t>
  </si>
  <si>
    <t>Serviço: TRATOR DE ESTEIRAS, POTÊNCIA 150 HP, PESO OPERACIONAL 16,7 T, COM RODA MOTRIZ ELEVADA E LÂMINA 3,18 M3 - MANUTENÇÃO. AF_06/2014</t>
  </si>
  <si>
    <t>2202005001SI762 - TRATOR DE ESTEIRAS, POTENCIA DE 150 HP, PESO OPERACIONAL DE 16,7 T, COM RODA MOTRIZ ELEVADA E LAMINA COM CONTATO DE 3,18M3</t>
  </si>
  <si>
    <t>2202019300SI5721</t>
  </si>
  <si>
    <t>Serviço: TRATOR DE ESTEIRAS, POTÊNCIA 150 HP, PESO OPERACIONAL 16,7 T, COM RODA MOTRIZ ELEVADA E LÂMINA 3,18 M3 - MATERIAIS NA OPERAÇÃO. AF_06/2014</t>
  </si>
  <si>
    <t>2202019300SI89009</t>
  </si>
  <si>
    <t>Serviço: TRATOR DE ESTEIRAS, POTÊNCIA 150 HP, PESO OPERACIONAL 16,7 T, COM RODA MOTRIZ ELEVADA E LÂMINA 3,18 M3 - DEPRECIAÇÃO. AF_06/2014</t>
  </si>
  <si>
    <t>2202019300SI89010</t>
  </si>
  <si>
    <t>Serviço: TRATOR DE ESTEIRAS, POTÊNCIA 150 HP, PESO OPERACIONAL 16,7 T, COM RODA MOTRIZ ELEVADA E LÂMINA 3,18 M3 - JUROS. AF_06/2014</t>
  </si>
  <si>
    <t>2202019200SI5853</t>
  </si>
  <si>
    <t>Serviço: TRATOR DE ESTEIRAS, POTÊNCIA 150 HP, PESO OPERACIONAL 16,7 T, COM RODA MOTRIZ ELEVADA E LÂMINA 3,18 M3 - CHI DIURNO. AF_06/2014</t>
  </si>
  <si>
    <t>2202019100SI5839</t>
  </si>
  <si>
    <t>Serviço: VASSOURA MECÂNICA REBOCÁVEL COM ESCOVA CILÍNDRICA, LARGURA ÚTIL DE VARRIMENTO DE 2,44 M - CHP DIURNO. AF_06/2014</t>
  </si>
  <si>
    <t>2202019300SI53804 - VASSOURA MECÂNICA REBOCÁVEL COM ESCOVA CILÍNDRICA, LARGURA ÚTIL DE VARRIMENTO DE 2,44 M - MANUTENÇÃO. AF_06/2014</t>
  </si>
  <si>
    <t>2202019300SI89015 - VASSOURA MECÂNICA REBOCÁVEL COM ESCOVA CILÍNDRICA, LARGURA ÚTIL DE VARRIMENTO DE 2,44 M - DEPRECIAÇÃO. AF_06/2014</t>
  </si>
  <si>
    <t>2202019300SI89016 - VASSOURA MECÂNICA REBOCÁVEL COM ESCOVA CILÍNDRICA, LARGURA ÚTIL DE VARRIMENTO DE 2,44 M - JUROS. AF_06/2014</t>
  </si>
  <si>
    <t>2202019300SI53804</t>
  </si>
  <si>
    <t>Serviço: VASSOURA MECÂNICA REBOCÁVEL COM ESCOVA CILÍNDRICA, LARGURA ÚTIL DE VARRIMENTO DE 2,44 M - MANUTENÇÃO. AF_06/2014</t>
  </si>
  <si>
    <t>2202005001SI137 - VASSOURA MECANICA REBOCAVEL COM ESCOVA CILINDRICA LARGURA UTIL DE VARRIMENTO = 2,44M</t>
  </si>
  <si>
    <t>2202019300SI89015</t>
  </si>
  <si>
    <t>Serviço: VASSOURA MECÂNICA REBOCÁVEL COM ESCOVA CILÍNDRICA, LARGURA ÚTIL DE VARRIMENTO DE 2,44 M - DEPRECIAÇÃO. AF_06/2014</t>
  </si>
  <si>
    <t>2202019300SI89016</t>
  </si>
  <si>
    <t>Serviço: VASSOURA MECÂNICA REBOCÁVEL COM ESCOVA CILÍNDRICA, LARGURA ÚTIL DE VARRIMENTO DE 2,44 M - JUROS. AF_06/2014</t>
  </si>
  <si>
    <t>2202019100SI83362</t>
  </si>
  <si>
    <t>Serviço: ESPARGIDOR DE ASFALTO PRESSURIZADO, TANQUE 6 M3 COM ISOLAÇÃO TÉRMICA, AQUECIDO COM 2 MAÇARICOS, COM BARRA ESPARGIDORA 3,60 M, MONTADO SOBRE CAMINHÃO  TOCO, PBT 14.300 KG, POTÊNCIA 185 CV - CHP DIURNO. AF_05/2023</t>
  </si>
  <si>
    <t>2202019300SI83361 - ESPARGIDOR DE ASFALTO PRESSURIZADO, TANQUE 6 M3 COM ISOLAÇÃO TÉRMICA, AQUECIDO COM 2 MAÇARICOS, COM BARRA ESPARGIDORA 3,60 M, MONTADO SOBRE CAMINHÃO  TOCO, PBT 14.300 KG, POTÊNCIA 185 CV - MANUTENÇÃO. AF_08/2015</t>
  </si>
  <si>
    <t>2202019300SI91469 - ESPARGIDOR DE ASFALTO PRESSURIZADO, TANQUE 6 M3 COM ISOLAÇÃO TÉRMICA, AQUECIDO COM 2 MAÇARICOS, COM BARRA ESPARGIDORA 3,60 M, MONTADO SOBRE CAMINHÃO  TOCO, PBT 14.300 KG, POTÊNCIA 185 CV - JUROS. AF_05/2023</t>
  </si>
  <si>
    <t>2202019300SI91484 - ESPARGIDOR DE ASFALTO PRESSURIZADO, TANQUE 6 M3 COM ISOLAÇÃO TÉRMICA, AQUECIDO COM 2 MAÇARICOS, COM BARRA ESPARGIDORA 3,60 M, MONTADO SOBRE CAMINHÃO  TOCO, PBT 14.300 KG, POTÊNCIA 185 CV - IMPOSTOS E SEGUROS. AF_05/2023</t>
  </si>
  <si>
    <t>2202019300SI91468 - ESPARGIDOR DE ASFALTO PRESSURIZADO, TANQUE 6 M3 COM ISOLAÇÃO TÉRMICA, AQUECIDO COM 2 MAÇARICOS, COM BARRA ESPARGIDORA 3,60 M, MONTADO SOBRE CAMINHÃO  TOCO, PBT 14.300 KG, POTÊNCIA 185 CV - DEPRECIAÇÃO. AF_05/2023</t>
  </si>
  <si>
    <t>2202019300SI91485 - ESPARGIDOR DE ASFALTO PRESSURIZADO, TANQUE 6 M3 COM ISOLAÇÃO TÉRMICA, AQUECIDO COM 2 MAÇARICOS, COM BARRA ESPARGIDORA 3,60 M, MONTADO SOBRE CAMINHÃO  TOCO, PBT 14.300 KG, POTÊNCIA 185 CV - MATERIAIS NA OPERAÇÃO. AF_05/2023</t>
  </si>
  <si>
    <t>2202019300SI83361</t>
  </si>
  <si>
    <t>Serviço: ESPARGIDOR DE ASFALTO PRESSURIZADO, TANQUE 6 M3 COM ISOLAÇÃO TÉRMICA, AQUECIDO COM 2 MAÇARICOS, COM BARRA ESPARGIDORA 3,60 M, MONTADO SOBRE CAMINHÃO  TOCO, PBT 14.300 KG, POTÊNCIA 185 CV - MANUTENÇÃO. AF_08/2015</t>
  </si>
  <si>
    <t>2202005001SI377 - CAMINHAO TOCO, PESO BRUTO TOTAL 14300 KG, CARGA UTIL MAXIMA 9480 KG, DISTANCIA ENTRE EIXOS 4,80 M, POTENCIA 185 CV (INCLUI CABINE E CHASSI, NAO INCLUI CARROCERIA)</t>
  </si>
  <si>
    <t>2202005001SI364 - ESPARGIDOR DE ASFALTO PRESSURIZADO, TANQUE 6 M3 COM ISOLACAO TERMICA, AQUECIDO COM 2 MACARICOS, COM BARRA ESPARGIDORA 3,60 M, A SER MONTADO SOBRE CAMINHAO</t>
  </si>
  <si>
    <t>2202019300SI91469</t>
  </si>
  <si>
    <t>Serviço: ESPARGIDOR DE ASFALTO PRESSURIZADO, TANQUE 6 M3 COM ISOLAÇÃO TÉRMICA, AQUECIDO COM 2 MAÇARICOS, COM BARRA ESPARGIDORA 3,60 M, MONTADO SOBRE CAMINHÃO  TOCO, PBT 14.300 KG, POTÊNCIA 185 CV - JUROS. AF_05/2023</t>
  </si>
  <si>
    <t>2202019300SI91484</t>
  </si>
  <si>
    <t>Serviço: ESPARGIDOR DE ASFALTO PRESSURIZADO, TANQUE 6 M3 COM ISOLAÇÃO TÉRMICA, AQUECIDO COM 2 MAÇARICOS, COM BARRA ESPARGIDORA 3,60 M, MONTADO SOBRE CAMINHÃO  TOCO, PBT 14.300 KG, POTÊNCIA 185 CV - IMPOSTOS E SEGUROS. AF_05/2023</t>
  </si>
  <si>
    <t>2202019300SI91468</t>
  </si>
  <si>
    <t>Serviço: ESPARGIDOR DE ASFALTO PRESSURIZADO, TANQUE 6 M3 COM ISOLAÇÃO TÉRMICA, AQUECIDO COM 2 MAÇARICOS, COM BARRA ESPARGIDORA 3,60 M, MONTADO SOBRE CAMINHÃO  TOCO, PBT 14.300 KG, POTÊNCIA 185 CV - DEPRECIAÇÃO. AF_05/2023</t>
  </si>
  <si>
    <t>2202019300SI91485</t>
  </si>
  <si>
    <t>Serviço: ESPARGIDOR DE ASFALTO PRESSURIZADO, TANQUE 6 M3 COM ISOLAÇÃO TÉRMICA, AQUECIDO COM 2 MAÇARICOS, COM BARRA ESPARGIDORA 3,60 M, MONTADO SOBRE CAMINHÃO  TOCO, PBT 14.300 KG, POTÊNCIA 185 CV - MATERIAIS NA OPERAÇÃO. AF_05/2023</t>
  </si>
  <si>
    <t>2202019100SI89035</t>
  </si>
  <si>
    <t>Serviço: TRATOR DE PNEUS, POTÊNCIA 85 CV, TRAÇÃO 4X4, PESO COM LASTRO DE 4.675 KG - CHP DIURNO. AF_06/2014</t>
  </si>
  <si>
    <t>2202019300SI5714 - TRATOR DE PNEUS, POTÊNCIA 85 CV, TRAÇÃO 4X4, PESO COM LASTRO DE 4.675 KG - MANUTENÇÃO. AF_06/2014</t>
  </si>
  <si>
    <t>2202019300SI5715 - TRATOR DE PNEUS, POTÊNCIA 85 CV, TRAÇÃO 4X4, PESO COM LASTRO DE 4.675 KG - MATERIAIS NA OPERAÇÃO. AF_06/2014</t>
  </si>
  <si>
    <t>2202019300SI89033 - TRATOR DE PNEUS, POTÊNCIA 85 CV, TRAÇÃO 4X4, PESO COM LASTRO DE 4.675 KG - DEPRECIAÇÃO. AF_06/2014</t>
  </si>
  <si>
    <t>2202019300SI89034 - TRATOR DE PNEUS, POTÊNCIA 85 CV, TRAÇÃO 4X4, PESO COM LASTRO DE 4.675 KG - JUROS. AF_06/2014</t>
  </si>
  <si>
    <t>2202019300SI5714</t>
  </si>
  <si>
    <t>Serviço: TRATOR DE PNEUS, POTÊNCIA 85 CV, TRAÇÃO 4X4, PESO COM LASTRO DE 4.675 KG - MANUTENÇÃO. AF_06/2014</t>
  </si>
  <si>
    <t>2202005001SI764 - TRATOR DE PNEUS COM POTENCIA DE 85 CV, TRACAO 4 X 4, PESO COM LASTRO DE 4675 KG</t>
  </si>
  <si>
    <t>2202019300SI5715</t>
  </si>
  <si>
    <t>Serviço: TRATOR DE PNEUS, POTÊNCIA 85 CV, TRAÇÃO 4X4, PESO COM LASTRO DE 4.675 KG - MATERIAIS NA OPERAÇÃO. AF_06/2014</t>
  </si>
  <si>
    <t>2202019300SI89033</t>
  </si>
  <si>
    <t>Serviço: TRATOR DE PNEUS, POTÊNCIA 85 CV, TRAÇÃO 4X4, PESO COM LASTRO DE 4.675 KG - DEPRECIAÇÃO. AF_06/2014</t>
  </si>
  <si>
    <t>2202019300SI89034</t>
  </si>
  <si>
    <t>Serviço: TRATOR DE PNEUS, POTÊNCIA 85 CV, TRAÇÃO 4X4, PESO COM LASTRO DE 4.675 KG - JUROS. AF_06/2014</t>
  </si>
  <si>
    <t>2202019200SI5841</t>
  </si>
  <si>
    <t>Serviço: VASSOURA MECÂNICA REBOCÁVEL COM ESCOVA CILÍNDRICA, LARGURA ÚTIL DE VARRIMENTO DE 2,44 M - CHI DIURNO. AF_06/2014</t>
  </si>
  <si>
    <t>2202019200SI89036</t>
  </si>
  <si>
    <t>Serviço: TRATOR DE PNEUS, POTÊNCIA 85 CV, TRAÇÃO 4X4, PESO COM LASTRO DE 4.675 KG - CHI DIURNO. AF_06/2014</t>
  </si>
  <si>
    <t>2202019200SI91486</t>
  </si>
  <si>
    <t>Serviço: ESPARGIDOR DE ASFALTO PRESSURIZADO, TANQUE 6 M3 COM ISOLAÇÃO TÉRMICA, AQUECIDO COM 2 MAÇARICOS, COM BARRA ESPARGIDORA 3,60 M, MONTADO SOBRE CAMINHÃO  TOCO, PBT 14.300 KG, POTÊNCIA 185 CV - CHI DIURNO. AF_05/2023</t>
  </si>
  <si>
    <t>8004008040SI94964</t>
  </si>
  <si>
    <t>Serviço: CONCRETO FCK = 20MPA, TRAÇO 1:2,7:3 (EM MASSA SECA DE CIMENTO/ AREIA MÉDIA/ BRITA 1) - PREPARO MECÂNICO COM BETONEIRA 400 L. AF_05/2021</t>
  </si>
  <si>
    <t>2202019100SI5867</t>
  </si>
  <si>
    <t>Serviço: ROLO COMPACTADOR VIBRATÓRIO TANDEM AÇO LISO, POTÊNCIA 58 HP, PESO SEM/COM LASTRO 6,5 / 9,4 T, LARGURA DE TRABALHO 1,2 M - CHP DIURNO. AF_06/2014</t>
  </si>
  <si>
    <t>2202019300SI5729 - ROLO COMPACTADOR VIBRATÓRIO TANDEM AÇO LISO, POTÊNCIA 58 HP, PESO SEM/COM LASTRO 6,5 / 9,4 T, LARGURA DE TRABALHO 1,2 M - MANUTENÇÃO. AF_06/2014</t>
  </si>
  <si>
    <t>2202019300SI5730 - ROLO COMPACTADOR VIBRATÓRIO TANDEM AÇO LISO, POTÊNCIA 58 HP, PESO SEM/COM LASTRO 6,5 / 9,4 T, LARGURA DE TRABALHO 1,2 M - MATERIAIS NA OPERAÇÃO. AF_06/2014</t>
  </si>
  <si>
    <t>2202019300SI89280 - ROLO COMPACTADOR VIBRATÓRIO TANDEM AÇO LISO, POTÊNCIA 58 HP, PESO SEM/COM LASTRO 6,5 / 9,4 T, LARGURA DE TRABALHO 1,2 M - DEPRECIAÇÃO. AF_06/2014</t>
  </si>
  <si>
    <t>2202019300SI89281 - ROLO COMPACTADOR VIBRATÓRIO TANDEM AÇO LISO, POTÊNCIA 58 HP, PESO SEM/COM LASTRO 6,5 / 9,4 T, LARGURA DE TRABALHO 1,2 M - JUROS. AF_06/2014</t>
  </si>
  <si>
    <t>2202019300SI5729</t>
  </si>
  <si>
    <t>Serviço: ROLO COMPACTADOR VIBRATÓRIO TANDEM AÇO LISO, POTÊNCIA 58 HP, PESO SEM/COM LASTRO 6,5 / 9,4 T, LARGURA DE TRABALHO 1,2 M - MANUTENÇÃO. AF_06/2014</t>
  </si>
  <si>
    <t>2202005001SI606 - ROLO COMPACTADOR VIBRATORIO TANDEM, ACO LISO, POTENCIA 58 CV, PESO SEM/COM LASTRO 6,5/9,4 T, LARGURA DE TRABALHO 1,20 M</t>
  </si>
  <si>
    <t>2202019300SI5730</t>
  </si>
  <si>
    <t>Serviço: ROLO COMPACTADOR VIBRATÓRIO TANDEM AÇO LISO, POTÊNCIA 58 HP, PESO SEM/COM LASTRO 6,5 / 9,4 T, LARGURA DE TRABALHO 1,2 M - MATERIAIS NA OPERAÇÃO. AF_06/2014</t>
  </si>
  <si>
    <t>2202019300SI89280</t>
  </si>
  <si>
    <t>Serviço: ROLO COMPACTADOR VIBRATÓRIO TANDEM AÇO LISO, POTÊNCIA 58 HP, PESO SEM/COM LASTRO 6,5 / 9,4 T, LARGURA DE TRABALHO 1,2 M - DEPRECIAÇÃO. AF_06/2014</t>
  </si>
  <si>
    <t>2202019300SI89281</t>
  </si>
  <si>
    <t>Serviço: ROLO COMPACTADOR VIBRATÓRIO TANDEM AÇO LISO, POTÊNCIA 58 HP, PESO SEM/COM LASTRO 6,5 / 9,4 T, LARGURA DE TRABALHO 1,2 M - JUROS. AF_06/2014</t>
  </si>
  <si>
    <t>2202019200SI5869</t>
  </si>
  <si>
    <t>Serviço: ROLO COMPACTADOR VIBRATÓRIO TANDEM AÇO LISO, POTÊNCIA 58 HP, PESO SEM/COM LASTRO 6,5 / 9,4 T, LARGURA DE TRABALHO 1,2 M - CHI DIURNO. AF_06/2014</t>
  </si>
  <si>
    <t>8001508040SI97636</t>
  </si>
  <si>
    <t>Serviço: DEMOLIÇÃO PARCIAL DE PAVIMENTO ASFÁLTICO, DE FORMA MECANIZADA, SEM REAPROVEITAMENTO. AF_09/2023</t>
  </si>
  <si>
    <t>2202019100SI91283</t>
  </si>
  <si>
    <t>Serviço: CORTADORA DE PISO COM MOTOR 4 TEMPOS A GASOLINA, POTÊNCIA DE 13 HP, COM DISCO DE CORTE DIAMANTADO SEGMENTADO PARA CONCRETO, DIÂMETRO DE 350 MM, FURO DE 1 (14 X 1) - CHP DIURNO. AF_08/2015</t>
  </si>
  <si>
    <t>2202019300SI91279 - CORTADORA DE PISO COM MOTOR 4 TEMPOS A GASOLINA, POTÊNCIA DE 13 HP, COM DISCO DE CORTE DIAMANTADO SEGMENTADO PARA CONCRETO, DIÂMETRO DE 350 MM, FURO DE 1 (14 X 1) - DEPRECIAÇÃO. AF_08/2015</t>
  </si>
  <si>
    <t>2202019300SI91282 - CORTADORA DE PISO COM MOTOR 4 TEMPOS A GASOLINA, POTÊNCIA DE 13 HP, COM DISCO DE CORTE DIAMANTADO SEGMENTADO PARA CONCRETO, DIÂMETRO DE 350 MM, FURO DE 1 (14 X 1) - MATERIAIS NA OPERAÇÃO. AF_08/2015</t>
  </si>
  <si>
    <t>2202019300SI91281 - CORTADORA DE PISO COM MOTOR 4 TEMPOS A GASOLINA, POTÊNCIA DE 13 HP, COM DISCO DE CORTE DIAMANTADO SEGMENTADO PARA CONCRETO, DIÂMETRO DE 350 MM, FURO DE 1 (14 X 1) - MANUTENÇÃO. AF_08/2015</t>
  </si>
  <si>
    <t>2202019300SI91280 - CORTADORA DE PISO COM MOTOR 4 TEMPOS A GASOLINA, POTÊNCIA DE 13 HP, COM DISCO DE CORTE DIAMANTADO SEGMENTADO PARA CONCRETO, DIÂMETRO DE 350 MM, FURO DE 1 (14 X 1) - JUROS. AF_08/2015</t>
  </si>
  <si>
    <t>2202019300SI91279</t>
  </si>
  <si>
    <t>Serviço: CORTADORA DE PISO COM MOTOR 4 TEMPOS A GASOLINA, POTÊNCIA DE 13 HP, COM DISCO DE CORTE DIAMANTADO SEGMENTADO PARA CONCRETO, DIÂMETRO DE 350 MM, FURO DE 1 (14 X 1) - DEPRECIAÇÃO. AF_08/2015</t>
  </si>
  <si>
    <t>2202005001SI112 - CORTADEIRA DE PISO DE CONCRETO E ASFALTO, PARA DISCO PADRAO DE DIAMETRO 350 MM (14) OU 450 MM (18), MOTOR A GASOLINA, POTENCIA 13 HP, SEM DISCO</t>
  </si>
  <si>
    <t>8900103001SI138 - DISCO DE CORTE DIAMANTADO SEGMENTADO PARA CONCRETO/ASFALTO, DIAMETRO DE *350* MM, FURO DE 25,40 MM</t>
  </si>
  <si>
    <t>2202019300SI91282</t>
  </si>
  <si>
    <t>Serviço: CORTADORA DE PISO COM MOTOR 4 TEMPOS A GASOLINA, POTÊNCIA DE 13 HP, COM DISCO DE CORTE DIAMANTADO SEGMENTADO PARA CONCRETO, DIÂMETRO DE 350 MM, FURO DE 1 (14 X 1) - MATERIAIS NA OPERAÇÃO. AF_08/2015</t>
  </si>
  <si>
    <t>2202019300SI91281</t>
  </si>
  <si>
    <t>Serviço: CORTADORA DE PISO COM MOTOR 4 TEMPOS A GASOLINA, POTÊNCIA DE 13 HP, COM DISCO DE CORTE DIAMANTADO SEGMENTADO PARA CONCRETO, DIÂMETRO DE 350 MM, FURO DE 1 (14 X 1) - MANUTENÇÃO. AF_08/2015</t>
  </si>
  <si>
    <t>2202019300SI91280</t>
  </si>
  <si>
    <t>Serviço: CORTADORA DE PISO COM MOTOR 4 TEMPOS A GASOLINA, POTÊNCIA DE 13 HP, COM DISCO DE CORTE DIAMANTADO SEGMENTADO PARA CONCRETO, DIÂMETRO DE 350 MM, FURO DE 1 (14 X 1) - JUROS. AF_08/2015</t>
  </si>
  <si>
    <t>2202019200SI91285</t>
  </si>
  <si>
    <t>Serviço: CORTADORA DE PISO COM MOTOR 4 TEMPOS A GASOLINA, POTÊNCIA DE 13 HP, COM DISCO DE CORTE DIAMANTADO SEGMENTADO PARA CONCRETO, DIÂMETRO DE 350 MM, FURO DE 1 (14 X 1) - CHI DIURNO. AF_08/2015</t>
  </si>
  <si>
    <t>2202019100SI5932</t>
  </si>
  <si>
    <t>Serviço: MOTONIVELADORA POTÊNCIA BÁSICA LÍQUIDA (PRIMEIRA MARCHA) 125 HP, PESO BRUTO 13032 KG, LARGURA DA LÂMINA DE 3,7 M - CHP DIURNO. AF_06/2014</t>
  </si>
  <si>
    <t>0127000200SI88300 - OPERADOR DE MOTONIVELADORA COM ENCARGOS COMPLEMENTARES</t>
  </si>
  <si>
    <t>2202019300SI53849 - MOTONIVELADORA POTÊNCIA BÁSICA LÍQUIDA (PRIMEIRA MARCHA) 125 HP, PESO BRUTO 13032 KG, LARGURA DA LÂMINA DE 3,7 M - MATERIAIS NA OPERAÇÃO. AF_06/2014</t>
  </si>
  <si>
    <t>2202019300SI5779 - MOTONIVELADORA POTÊNCIA BÁSICA LÍQUIDA (PRIMEIRA MARCHA) 125 HP, PESO BRUTO 13032 KG, LARGURA DA LÂMINA DE 3,7 M - MANUTENÇÃO. AF_06/2014</t>
  </si>
  <si>
    <t>2202019300SI89228 - MOTONIVELADORA POTÊNCIA BÁSICA LÍQUIDA (PRIMEIRA MARCHA) 125 HP, PESO BRUTO 13032 KG, LARGURA DA LÂMINA DE 3,7 M - DEPRECIAÇÃO. AF_06/2014</t>
  </si>
  <si>
    <t>2202019300SI89229 - MOTONIVELADORA POTÊNCIA BÁSICA LÍQUIDA (PRIMEIRA MARCHA) 125 HP, PESO BRUTO 13032 KG, LARGURA DA LÂMINA DE 3,7 M - JUROS. AF_06/2014</t>
  </si>
  <si>
    <t>0127000200SI88300</t>
  </si>
  <si>
    <t>Serviço: OPERADOR DE MOTONIVELADORA COM ENCARGOS COMPLEMENTARES</t>
  </si>
  <si>
    <t>0128000050SI423 - OPERADOR DE MOTONIVELADORA (HORISTA)</t>
  </si>
  <si>
    <t>0128000050SI95363 - CURSO DE CAPACITAÇÃO PARA OPERADOR DE MOTONIVELADORA (ENCARGOS COMPLEMENTARES) - HORISTA</t>
  </si>
  <si>
    <t>0128000050SI95363</t>
  </si>
  <si>
    <t>Serviço: CURSO DE CAPACITAÇÃO PARA OPERADOR DE MOTONIVELADORA (ENCARGOS COMPLEMENTARES) - HORISTA</t>
  </si>
  <si>
    <t>2202019300SI53849</t>
  </si>
  <si>
    <t>Serviço: MOTONIVELADORA POTÊNCIA BÁSICA LÍQUIDA (PRIMEIRA MARCHA) 125 HP, PESO BRUTO 13032 KG, LARGURA DA LÂMINA DE 3,7 M - MATERIAIS NA OPERAÇÃO. AF_06/2014</t>
  </si>
  <si>
    <t>2202019300SI5779</t>
  </si>
  <si>
    <t>Serviço: MOTONIVELADORA POTÊNCIA BÁSICA LÍQUIDA (PRIMEIRA MARCHA) 125 HP, PESO BRUTO 13032 KG, LARGURA DA LÂMINA DE 3,7 M - MANUTENÇÃO. AF_06/2014</t>
  </si>
  <si>
    <t>2202005001SI409 - MOTONIVELADORA POTENCIA BASICA LIQUIDA (PRIMEIRA MARCHA) 125 HP, PESO BRUTO 13843 KG, LARGURA DA LAMINA DE 3,7 M</t>
  </si>
  <si>
    <t>2202019300SI89228</t>
  </si>
  <si>
    <t>Serviço: MOTONIVELADORA POTÊNCIA BÁSICA LÍQUIDA (PRIMEIRA MARCHA) 125 HP, PESO BRUTO 13032 KG, LARGURA DA LÂMINA DE 3,7 M - DEPRECIAÇÃO. AF_06/2014</t>
  </si>
  <si>
    <t>2202019300SI89229</t>
  </si>
  <si>
    <t>Serviço: MOTONIVELADORA POTÊNCIA BÁSICA LÍQUIDA (PRIMEIRA MARCHA) 125 HP, PESO BRUTO 13032 KG, LARGURA DA LÂMINA DE 3,7 M - JUROS. AF_06/2014</t>
  </si>
  <si>
    <t>2202019200SI5934</t>
  </si>
  <si>
    <t>Serviço: MOTONIVELADORA POTÊNCIA BÁSICA LÍQUIDA (PRIMEIRA MARCHA) 125 HP, PESO BRUTO 13032 KG, LARGURA DA LÂMINA DE 3,7 M - CHI DIURNO. AF_06/2014</t>
  </si>
  <si>
    <t>0127000200SI88323</t>
  </si>
  <si>
    <t>Serviço: TELHADISTA COM ENCARGOS COMPLEMENTARES</t>
  </si>
  <si>
    <t>0128000050SI128 - TELHADOR / TELHADISTA (HORISTA)</t>
  </si>
  <si>
    <t>0128000050SI95385 - CURSO DE CAPACITAÇÃO PARA TELHADISTA (ENCARGOS COMPLEMENTARES) - HORISTA</t>
  </si>
  <si>
    <t>0128000050SI95385</t>
  </si>
  <si>
    <t>Serviço: CURSO DE CAPACITAÇÃO PARA TELHADISTA (ENCARGOS COMPLEMENTARES) - HORISTA</t>
  </si>
  <si>
    <t>2202019100SI93281</t>
  </si>
  <si>
    <t>Serviço: GUINCHO ELÉTRICO DE COLUNA, CAPACIDADE 400 KG, COM MOTO FREIO, MOTOR TRIFÁSICO DE 1,25 CV - CHP DIURNO. AF_03/2016</t>
  </si>
  <si>
    <t>0127000200SI88295 - OPERADOR DE GUINCHO COM ENCARGOS COMPLEMENTARES</t>
  </si>
  <si>
    <t>2202019300SI93277 - GUINCHO ELÉTRICO DE COLUNA, CAPACIDADE 400 KG, COM MOTO FREIO, MOTOR TRIFÁSICO DE 1,25 CV - DEPRECIAÇÃO. AF_03/2016</t>
  </si>
  <si>
    <t>2202019300SI93278 - GUINCHO ELÉTRICO DE COLUNA, CAPACIDADE 400 KG, COM MOTO FREIO, MOTOR TRIFÁSICO DE 1,25 CV - JUROS. AF_03/2016</t>
  </si>
  <si>
    <t>2202019300SI93279 - GUINCHO ELÉTRICO DE COLUNA, CAPACIDADE 400 KG, COM MOTO FREIO, MOTOR TRIFÁSICO DE 1,25 CV - MANUTENÇÃO. AF_03/2016</t>
  </si>
  <si>
    <t>2202019300SI93280 - GUINCHO ELÉTRICO DE COLUNA, CAPACIDADE 400 KG, COM MOTO FREIO, MOTOR TRIFÁSICO DE 1,25 CV - MATERIAIS NA OPERAÇÃO. AF_03/2016</t>
  </si>
  <si>
    <t>0127000200SI88295</t>
  </si>
  <si>
    <t>Serviço: OPERADOR DE GUINCHO COM ENCARGOS COMPLEMENTARES</t>
  </si>
  <si>
    <t>0128000050SI425 - OPERADOR DE GUINCHO OU GUINCHEIRO (HORISTA)</t>
  </si>
  <si>
    <t>0128000050SI95358 - CURSO DE CAPACITAÇÃO PARA OPERADOR DE GUINCHO (ENCARGOS COMPLEMENTARES) - HORISTA</t>
  </si>
  <si>
    <t>0128000050SI95358</t>
  </si>
  <si>
    <t>Serviço: CURSO DE CAPACITAÇÃO PARA OPERADOR DE GUINCHO (ENCARGOS COMPLEMENTARES) - HORISTA</t>
  </si>
  <si>
    <t>2202019300SI93277</t>
  </si>
  <si>
    <t>Serviço: GUINCHO ELÉTRICO DE COLUNA, CAPACIDADE 400 KG, COM MOTO FREIO, MOTOR TRIFÁSICO DE 1,25 CV - DEPRECIAÇÃO. AF_03/2016</t>
  </si>
  <si>
    <t>2202005001SI364 - GUINCHO ELETRICO DE COLUNA, CAPACIDADE 400 KG, COM MOTO FREIO, MOTOR TRIFASICO DE 1,25 CV</t>
  </si>
  <si>
    <t>2202019300SI93278</t>
  </si>
  <si>
    <t>Serviço: GUINCHO ELÉTRICO DE COLUNA, CAPACIDADE 400 KG, COM MOTO FREIO, MOTOR TRIFÁSICO DE 1,25 CV - JUROS. AF_03/2016</t>
  </si>
  <si>
    <t>2202019300SI93279</t>
  </si>
  <si>
    <t>Serviço: GUINCHO ELÉTRICO DE COLUNA, CAPACIDADE 400 KG, COM MOTO FREIO, MOTOR TRIFÁSICO DE 1,25 CV - MANUTENÇÃO. AF_03/2016</t>
  </si>
  <si>
    <t>2202019300SI93280</t>
  </si>
  <si>
    <t>Serviço: GUINCHO ELÉTRICO DE COLUNA, CAPACIDADE 400 KG, COM MOTO FREIO, MOTOR TRIFÁSICO DE 1,25 CV - MATERIAIS NA OPERAÇÃO. AF_03/2016</t>
  </si>
  <si>
    <t>2202019200SI93282</t>
  </si>
  <si>
    <t>Serviço: GUINCHO ELÉTRICO DE COLUNA, CAPACIDADE 400 KG, COM MOTO FREIO, MOTOR TRIFÁSICO DE 1,25 CV - CHI DIURNO. AF_03/2016</t>
  </si>
  <si>
    <t>0127000200SI88278</t>
  </si>
  <si>
    <t>Serviço: MONTADOR DE ESTRUTURA METÁLICA COM ENCARGOS COMPLEMENTARES</t>
  </si>
  <si>
    <t>0128000050SI444 - MONTADOR DE ESTRUTURAS METALICAS HORISTA</t>
  </si>
  <si>
    <t>0128000050SI95344 - CURSO DE CAPACITAÇÃO PARA MONTADOR DE ESTRUTURA METÁLICA (ENCARGOS COMPLEMENTARES) - HORISTA</t>
  </si>
  <si>
    <t>0128000050SI95344</t>
  </si>
  <si>
    <t>Serviço: CURSO DE CAPACITAÇÃO PARA MONTADOR DE ESTRUTURA METÁLICA (ENCARGOS COMPLEMENTARES) - HORISTA</t>
  </si>
  <si>
    <t>8006508010SI87292</t>
  </si>
  <si>
    <t>Serviço: ARGAMASSA TRAÇO 1:2:8 (EM VOLUME DE CIMENTO, CAL E AREIA MÉDIA ÚMIDA) PARA EMBOÇO/MASSA ÚNICA/ASSENTAMENTO DE ALVENARIA DE VEDAÇÃO, PREPARO MECÂNICO COM BETONEIRA 400 L. AF_08/2019</t>
  </si>
  <si>
    <t>0127000200SI88270</t>
  </si>
  <si>
    <t>Serviço: IMPERMEABILIZADOR COM ENCARGOS COMPLEMENTARES</t>
  </si>
  <si>
    <t>0128000050SI128 - IMPERMEABILIZADOR (HORISTA)</t>
  </si>
  <si>
    <t>0128000050SI95338 - CURSO DE CAPACITAÇÃO PARA IMPERMEABILIZADOR (ENCARGOS COMPLEMENTARES) - HORISTA</t>
  </si>
  <si>
    <t>0128000050SI95338</t>
  </si>
  <si>
    <t>Serviço: CURSO DE CAPACITAÇÃO PARA IMPERMEABILIZADOR (ENCARGOS COMPLEMENTARES) - HORISTA</t>
  </si>
  <si>
    <t>8004008095SI97738</t>
  </si>
  <si>
    <t>Serviço: PEÇA CIRCULAR PRÉ-MOLDADA, VOLUME DE CONCRETO DE 10 A 30 LITROS, TAXA DE FIBRA DE POLIPROPILENO APROXIMADA DE 6 KG/M³. AF_03/2024_PS</t>
  </si>
  <si>
    <t>8900103001SI436 - CHAPA/PAINEL DE MADEIRA COMPENSADA RESINADA (MADEIRITE RESINADO ROSA) PARA FORMA DE CONCRETO, DE 2200 X 1100 MM, E = 20 MM</t>
  </si>
  <si>
    <t>8900103001SI436 - CHAPA/PAINEL DE MADEIRA COMPENSADA RESINADA (MADEIRITE RESINADO ROSA) PARA FORMA DE CONCRETO, DE 2200 X 1100 MM, E = 6 MM</t>
  </si>
  <si>
    <t>8900103001SI390 - FIBRA DE ACO PARA REFORCO DO CONCRETO, SOLTA, TIPO A-I, FATOR DE FORMA *50* L / D, COMPRIMENTO DE *30* MM E RESISTENCIA A TRACAO DO ACO MAIOR 1000 MPA</t>
  </si>
  <si>
    <t>8004008095SI97740</t>
  </si>
  <si>
    <t>Serviço: PEÇA CIRCULAR PRÉ-MOLDADA, VOLUME DE CONCRETO ACIMA DE 100 LITROS, TAXA DE AÇO APROXIMADA DE 30KG/M³. AF_03/2024</t>
  </si>
  <si>
    <t>8900103001SI399 - POLIESTIRENO EXPANDIDO/EPS (ISOPOR), TIPO 2F, BLOCO</t>
  </si>
  <si>
    <t>8900103001SI507 - PREGO DE ACO POLIDO COM CABECA 17 X 24 (2 1/4 X 11)</t>
  </si>
  <si>
    <t>8004008030SI92768 - ARMAÇÃO DE LAJE DE ESTRUTURA CONVENCIONAL DE CONCRETO ARMADO UTILIZANDO AÇO CA-60 DE 5,0 MM - MONTAGEM. AF_06/2022</t>
  </si>
  <si>
    <t>8004008040SI94972 - CONCRETO FCK = 30MPA, TRAÇO 1:2,1:2,5 (EM MASSA SECA DE CIMENTO/ AREIA MÉDIA/ BRITA 1) - PREPARO MECÂNICO COM BETONEIRA 600 L. AF_05/2021</t>
  </si>
  <si>
    <t>8004008030SI92768</t>
  </si>
  <si>
    <t>Serviço: ARMAÇÃO DE LAJE DE ESTRUTURA CONVENCIONAL DE CONCRETO ARMADO UTILIZANDO AÇO CA-60 DE 5,0 MM - MONTAGEM. AF_06/2022</t>
  </si>
  <si>
    <t>8004008040SI94972</t>
  </si>
  <si>
    <t>Serviço: CONCRETO FCK = 30MPA, TRAÇO 1:2,1:2,5 (EM MASSA SECA DE CIMENTO/ AREIA MÉDIA/ BRITA 1) - PREPARO MECÂNICO COM BETONEIRA 600 L. AF_05/2021</t>
  </si>
  <si>
    <t>8002508020SI101624</t>
  </si>
  <si>
    <t>Serviço: PREPARO DE FUNDO DE VALA COM LARGURA MAIOR OU IGUAL A 1,5 M E MENOR QUE 2,5 M, COM CAMADA DE BRITA, LANÇAMENTO MECANIZADO. AF_08/2020</t>
  </si>
  <si>
    <t>8006508010SI100475</t>
  </si>
  <si>
    <t>Serviço: ARGAMASSA TRAÇO 1:3 (EM VOLUME DE CIMENTO E AREIA MÉDIA ÚMIDA) COM ADIÇÃO DE IMPERMEABILIZANTE, PREPARO MECÂNICO COM BETONEIRA 400 L. AF_08/2019</t>
  </si>
  <si>
    <t>8900103001SI123 - ADITIVO IMPERMEABILIZANTE DE PEGA NORMAL PARA ARGAMASSAS E CONCRETOS SEM ARMACAO, LIQUIDO E ISENTO DE CLORETOS</t>
  </si>
  <si>
    <t>0127000200SI88441</t>
  </si>
  <si>
    <t>Serviço: JARDINEIRO COM ENCARGOS COMPLEMENTARES</t>
  </si>
  <si>
    <t>0128000050SI445 - JARDINEIRO (HORISTA)</t>
  </si>
  <si>
    <t>0128000050SI95390 - CURSO DE CAPACITAÇÃO PARA JARDINEIRO (ENCARGOS COMPLEMENTARES) - HORISTA</t>
  </si>
  <si>
    <t>0128000050SI95390</t>
  </si>
  <si>
    <t>Serviço: CURSO DE CAPACITAÇÃO PARA JARDINEIRO (ENCARGOS COMPLEMENTARES) - HORISTA</t>
  </si>
  <si>
    <t>2202019100SCE9540</t>
  </si>
  <si>
    <t>Serviço: TRATOR SOBRE ESTEIRAS COM LÂMINA - 127 KW</t>
  </si>
  <si>
    <t>2203009001SCE9540D - Trator sobre esteiras com lâmina - 127 kW_DEPRECIAÇÃO</t>
  </si>
  <si>
    <t>2203009001SCE9540J - Trator sobre esteiras com lâmina - 127 kW_JUROS</t>
  </si>
  <si>
    <t>2203009001SCE9540CM - Trator sobre esteiras com lâmina - 127 kW_MATERIAL NA OPERAÇÃO</t>
  </si>
  <si>
    <t>2203009001SCE9540M - Trator sobre esteiras com lâmina - 127 kW_MANUTENÇÃO</t>
  </si>
  <si>
    <t>2203009001SCE9540D</t>
  </si>
  <si>
    <t>Serviço: Trator sobre esteiras com lâmina - 127 kW_DEPRECIAÇÃO</t>
  </si>
  <si>
    <t>2201005001SCE95 - TRATOR SOBRE ESTEIRAS COM LÂMINA - 127 KW</t>
  </si>
  <si>
    <t>2203009001SCE9540J</t>
  </si>
  <si>
    <t>Serviço: Trator sobre esteiras com lâmina - 127 kW_JUROS</t>
  </si>
  <si>
    <t>2203009001SCE9540CM</t>
  </si>
  <si>
    <t>Serviço: Trator sobre esteiras com lâmina - 127 kW_MATERIAL NA OPERAÇÃO</t>
  </si>
  <si>
    <t>2203009001SCE9540M</t>
  </si>
  <si>
    <t>Serviço: Trator sobre esteiras com lâmina - 127 kW_MANUTENÇÃO</t>
  </si>
  <si>
    <t>8004008080XX28</t>
  </si>
  <si>
    <t>Serviço: PILAR DE CONCRETO ARMADO PRÉ-MOLDADO (COM FORMATO DE POLÍGONO COMPOSTO POR RETÂNGULO E TRIÂNGULO) E ALTURA TOTAL DE 2,45 M</t>
  </si>
  <si>
    <t>8004008025011 - FORMAS PLANAS PARA ESTRUTURA EM CHAPA DE MADEIRA COMPENSADA DE 12 MM, 5 REAPROVEITAMENTOS, INCLUSIVE DESFORMA</t>
  </si>
  <si>
    <t>8004008040004 - PREPARO, LANÇAMENTO E ADENSAMENTO DE CONCRETO VIRADO EM OBRA FCK &gt; 18,0 MPA</t>
  </si>
  <si>
    <t>Serviço: FORMAS PLANAS PARA ESTRUTURA EM CHAPA DE MADEIRA COMPENSADA DE 12 MM, 5 REAPROVEITAMENTOS, INCLUSIVE DESFORMA</t>
  </si>
  <si>
    <t>Serviço: PREPARO, LANÇAMENTO E ADENSAMENTO DE CONCRETO VIRADO EM OBRA FCK &gt; 18,0 MPA</t>
  </si>
  <si>
    <t>8004008080XX38</t>
  </si>
  <si>
    <t>Serviço: VIGA SUPERIOR DE CONCRETO ARMADO (PRÉ-MOLDADO) DE 0,17X0,10X0,81CM, COM  06 (SEIS) FUROS DE Ø = 1 PARA FIXAÇÃO NOS FERROS DOS PILARES.</t>
  </si>
  <si>
    <t>8004008025013 - FORMAS PLANAS PARA ESTRUTURA EM CHAPA DE MADEIRA COMPENSADA DE 12 MM, 15 REAPROVEITAMENTOS, INCLUSIVE DESFORMA (PARA CONFECÇÃO DE PRÉ-MOLDADOS)</t>
  </si>
  <si>
    <t>Serviço: FORMAS PLANAS PARA ESTRUTURA EM CHAPA DE MADEIRA COMPENSADA DE 12 MM, 15 REAPROVEITAMENTOS, INCLUSIVE DESFORMA (PARA CONFECÇÃO DE PRÉ-MOLDADOS)</t>
  </si>
  <si>
    <t>8004008080XX39</t>
  </si>
  <si>
    <t>Serviço: CINTA INFERIOR DE CONCRETO SIMPLES DE 20X30CM NO NÍVEL DO TERRENO, MOLDADO NO LOCAL DA CERCA.</t>
  </si>
  <si>
    <t>8004008035011 - PREPARO, LANÇAMENTO E ADENSAMENTO DE CONCRETO SIMPLES, COM CONSUMO MÍNIMO DE 210 KG DE CIMENTO/M3</t>
  </si>
  <si>
    <t>8004008025SI96539 - FABRICAÇÃO, MONTAGEM E DESMONTAGEM DE FÔRMA PARA VIGA BALDRAME, EM CHAPA DE MADEIRA COMPENSADA RESINADA, E=17 MM, 2 UTILIZAÇÕES. AF_01/2024</t>
  </si>
  <si>
    <t>8004008020SI100322 - LASTRO COM MATERIAL GRANULAR (PEDRA BRITADA N.3), APLICADO EM PISOS OU LAJES SOBRE SOLO, ESPESSURA DE *10 CM*. AF_01/2024</t>
  </si>
  <si>
    <t>Serviço: PREPARO, LANÇAMENTO E ADENSAMENTO DE CONCRETO SIMPLES, COM CONSUMO MÍNIMO DE 210 KG DE CIMENTO/M3</t>
  </si>
  <si>
    <t>8004008025SI96539</t>
  </si>
  <si>
    <t>Serviço: FABRICAÇÃO, MONTAGEM E DESMONTAGEM DE FÔRMA PARA VIGA BALDRAME, EM CHAPA DE MADEIRA COMPENSADA RESINADA, E=17 MM, 2 UTILIZAÇÕES. AF_01/2024</t>
  </si>
  <si>
    <t>8900103001SI403 - PREGO DE ACO POLIDO COM CABECA DUPLA 17 X 27 (2 1/2 X 11)</t>
  </si>
  <si>
    <t>8004008020SI100322</t>
  </si>
  <si>
    <t>Serviço: LASTRO COM MATERIAL GRANULAR (PEDRA BRITADA N.3), APLICADO EM PISOS OU LAJES SOBRE SOLO, ESPESSURA DE *10 CM*. AF_01/2024</t>
  </si>
  <si>
    <t>8900103001SI472 - PEDRA BRITADA N. 3 (38 A 50 MM) POSTO PEDREIRA/FORNECEDOR, SEM FRETE</t>
  </si>
  <si>
    <t>8006508010SI87372</t>
  </si>
  <si>
    <t>Serviço: ARGAMASSA TRAÇO 1:3 (EM VOLUME DE CIMENTO E AREIA MÉDIA ÚMIDA) PARA CONTRAPISO, PREPARO MANUAL. AF_08/2019</t>
  </si>
  <si>
    <t>8002008099SC5914333</t>
  </si>
  <si>
    <t>Serviço: CARGA, MANOBRA E DESCARGA DE MATERIAIS DIVERSOS EM CAMINHÃO CARROCERIA DE 15 T - CARGA E DESCARGA COM CAMINHÃO GUINDAUTO DE 20 T.M</t>
  </si>
  <si>
    <t>2202019100SCE9686 - CAMINHÃO CARROCERIA COM GUINDAUTO COM CAPACIDADE DE 20 T.M - 136 KW</t>
  </si>
  <si>
    <t>2202019200SCE9592 - CAMINHÃO CARROCERIA COM CAPACIDADE DE 15 T - 188 KW</t>
  </si>
  <si>
    <t>2202019100SCE9686</t>
  </si>
  <si>
    <t>Serviço: CAMINHÃO CARROCERIA COM GUINDAUTO COM CAPACIDADE DE 20 T.M - 136 KW</t>
  </si>
  <si>
    <t>2203009001SCA9308D - Caminhão plataforma 4 x 2, PBT 16.000 kg e distância entre eixos 4,8 m - 136 kW - motorista de veículo especial_DEPRECIAÇÃO</t>
  </si>
  <si>
    <t>2203009001SCA9308CM - Caminhão plataforma 4 x 2, PBT 16.000 kg e distância entre eixos 4,8 m - 136 kW - motorista de veículo especial_MATERIAL NA OPERAÇÃO</t>
  </si>
  <si>
    <t>2203009001SCA9308IS - Caminhão plataforma 4 x 2, PBT 16.000 kg e distância entre eixos 4,8 m - 136 kW - motorista de veículo especial_IMPOSTOS E SEGUROS</t>
  </si>
  <si>
    <t>2203009001SCA9308J - Caminhão plataforma 4 x 2, PBT 16.000 kg e distância entre eixos 4,8 m - 136 kW - motorista de veículo especial_JUROS</t>
  </si>
  <si>
    <t>2203009001SCA9308M - Caminhão plataforma 4 x 2, PBT 16.000 kg e distância entre eixos 4,8 m - 136 kW - motorista de veículo especial_MANUTENÇÃO</t>
  </si>
  <si>
    <t>2203009001SCA9349D - Carroceria de madeira com capacidade de 7 t_DEPRECIAÇÃO</t>
  </si>
  <si>
    <t>2203009001SCA9349J - Carroceria de madeira com capacidade de 7 t_JUROS</t>
  </si>
  <si>
    <t>2203009001SCA9349M - Carroceria de madeira com capacidade de 7 t_MANUTENÇÃO</t>
  </si>
  <si>
    <t>2203009001SCA9372D - Guindaste articulado montado sobre chassi com capacidade de 20 t.m_DEPRECIAÇÃO</t>
  </si>
  <si>
    <t>2203009001SCA9372J - Guindaste articulado montado sobre chassi com capacidade de 20 t.m_JUROS</t>
  </si>
  <si>
    <t>2203009001SCA9372M - Guindaste articulado montado sobre chassi com capacidade de 20 t.m_MANUTENÇÃO</t>
  </si>
  <si>
    <t>2203009001SCA9308D</t>
  </si>
  <si>
    <t>Serviço: Caminhão plataforma 4 x 2, PBT 16.000 kg e distância entre eixos 4,8 m - 136 kW - motorista de veículo especial_DEPRECIAÇÃO</t>
  </si>
  <si>
    <t>2201005001SCA93 - CAMINHÃO PLATAFORMA 4 X 2, PBT 16.000 KG E DISTÂNCIA ENTRE EIXOS 4,8 M - 136 KW - MOTORISTA DE VEÍCULO ESPECIAL</t>
  </si>
  <si>
    <t>2203009001SCA9308CM</t>
  </si>
  <si>
    <t>Serviço: Caminhão plataforma 4 x 2, PBT 16.000 kg e distância entre eixos 4,8 m - 136 kW - motorista de veículo especial_MATERIAL NA OPERAÇÃO</t>
  </si>
  <si>
    <t>2203009001SCA9308IS</t>
  </si>
  <si>
    <t>Serviço: Caminhão plataforma 4 x 2, PBT 16.000 kg e distância entre eixos 4,8 m - 136 kW - motorista de veículo especial_IMPOSTOS E SEGUROS</t>
  </si>
  <si>
    <t>2203009001SCA9308J</t>
  </si>
  <si>
    <t>Serviço: Caminhão plataforma 4 x 2, PBT 16.000 kg e distância entre eixos 4,8 m - 136 kW - motorista de veículo especial_JUROS</t>
  </si>
  <si>
    <t>2203009001SCA9308M</t>
  </si>
  <si>
    <t>Serviço: Caminhão plataforma 4 x 2, PBT 16.000 kg e distância entre eixos 4,8 m - 136 kW - motorista de veículo especial_MANUTENÇÃO</t>
  </si>
  <si>
    <t>2203009001SCA9349D</t>
  </si>
  <si>
    <t>Serviço: Carroceria de madeira com capacidade de 7 t_DEPRECIAÇÃO</t>
  </si>
  <si>
    <t>2201005001SCA93 - CARROCERIA DE MADEIRA COM CAPACIDADE DE 7 T</t>
  </si>
  <si>
    <t>2203009001SCA9349J</t>
  </si>
  <si>
    <t>Serviço: Carroceria de madeira com capacidade de 7 t_JUROS</t>
  </si>
  <si>
    <t>2203009001SCA9349M</t>
  </si>
  <si>
    <t>Serviço: Carroceria de madeira com capacidade de 7 t_MANUTENÇÃO</t>
  </si>
  <si>
    <t>2203009001SCA9372D</t>
  </si>
  <si>
    <t>Serviço: Guindaste articulado montado sobre chassi com capacidade de 20 t.m_DEPRECIAÇÃO</t>
  </si>
  <si>
    <t>2201005001SCA93 - GUINDASTE ARTICULADO MONTADO SOBRE CHASSI COM CAPACIDADE DE 20 T.M</t>
  </si>
  <si>
    <t>2203009001SCA9372J</t>
  </si>
  <si>
    <t>Serviço: Guindaste articulado montado sobre chassi com capacidade de 20 t.m_JUROS</t>
  </si>
  <si>
    <t>2203009001SCA9372M</t>
  </si>
  <si>
    <t>Serviço: Guindaste articulado montado sobre chassi com capacidade de 20 t.m_MANUTENÇÃO</t>
  </si>
  <si>
    <t>2202019200SCE9592</t>
  </si>
  <si>
    <t>8002008099SC5915476</t>
  </si>
  <si>
    <t>Serviço: CARGA, MANOBRA E DESCARGA DE AGREGADOS OU SOLOS EM CAMINHÃO BASCULANTE DE 6 M³ - CARGA MANUAL E DESCARGA LIVRE</t>
  </si>
  <si>
    <t>8006508050SI102234</t>
  </si>
  <si>
    <t>Serviço: PINTURA IMUNIZANTE PARA MADEIRA, 2 DEMÃOS. AF_01/2021</t>
  </si>
  <si>
    <t>8900103001SI734 - IMUNIZANTE PARA MADEIRA, INCOLOR</t>
  </si>
  <si>
    <t>2202019100SI89032</t>
  </si>
  <si>
    <t>Serviço: TRATOR DE ESTEIRAS, POTÊNCIA 100 HP, PESO OPERACIONAL 9,4 T, COM LÂMINA 2,19 M3 - CHP DIURNO. AF_06/2014</t>
  </si>
  <si>
    <t>2202019300SI53817 - TRATOR DE ESTEIRAS, POTÊNCIA 100 HP, PESO OPERACIONAL 9,4 T, COM LÂMINA 2,19 M3 - MATERIAIS NA OPERAÇÃO. AF_06/2014</t>
  </si>
  <si>
    <t>2202019300SI5724 - TRATOR DE ESTEIRAS, POTÊNCIA 100 HP, PESO OPERACIONAL 9,4 T, COM LÂMINA 2,19 M3 - MANUTENÇÃO. AF_06/2014</t>
  </si>
  <si>
    <t>2202019300SI89029 - TRATOR DE ESTEIRAS, POTÊNCIA 100 HP, PESO OPERACIONAL 9,4 T, COM LÂMINA 2,19 M3 - DEPRECIAÇÃO. AF_06/2014</t>
  </si>
  <si>
    <t>2202019300SI89030 - TRATOR DE ESTEIRAS, POTÊNCIA 100 HP, PESO OPERACIONAL 9,4 T, COM LÂMINA 2,19 M3 - JUROS. AF_06/2014</t>
  </si>
  <si>
    <t>2202019300SI53817</t>
  </si>
  <si>
    <t>Serviço: TRATOR DE ESTEIRAS, POTÊNCIA 100 HP, PESO OPERACIONAL 9,4 T, COM LÂMINA 2,19 M3 - MATERIAIS NA OPERAÇÃO. AF_06/2014</t>
  </si>
  <si>
    <t>2202019300SI5724</t>
  </si>
  <si>
    <t>Serviço: TRATOR DE ESTEIRAS, POTÊNCIA 100 HP, PESO OPERACIONAL 9,4 T, COM LÂMINA 2,19 M3 - MANUTENÇÃO. AF_06/2014</t>
  </si>
  <si>
    <t>2202005001SI762 - TRATOR DE ESTEIRAS, POTENCIA DE 100 HP, PESO OPERACIONAL DE 9,4 T, COM LAMINA COM CAPACIDADE DE 2,19 M3</t>
  </si>
  <si>
    <t>2202019300SI89029</t>
  </si>
  <si>
    <t>Serviço: TRATOR DE ESTEIRAS, POTÊNCIA 100 HP, PESO OPERACIONAL 9,4 T, COM LÂMINA 2,19 M3 - DEPRECIAÇÃO. AF_06/2014</t>
  </si>
  <si>
    <t>2202019300SI89030</t>
  </si>
  <si>
    <t>Serviço: TRATOR DE ESTEIRAS, POTÊNCIA 100 HP, PESO OPERACIONAL 9,4 T, COM LÂMINA 2,19 M3 - JUROS. AF_06/2014</t>
  </si>
  <si>
    <t>2202019200SI89031</t>
  </si>
  <si>
    <t>Serviço: TRATOR DE ESTEIRAS, POTÊNCIA 100 HP, PESO OPERACIONAL 9,4 T, COM LÂMINA 2,19 M3 - CHI DIURNO. AF_06/2014</t>
  </si>
  <si>
    <t>0127000200SI88315</t>
  </si>
  <si>
    <t>Serviço: SERRALHEIRO COM ENCARGOS COMPLEMENTARES</t>
  </si>
  <si>
    <t>0128000050SI611 - SERRALHEIRO (HORISTA)</t>
  </si>
  <si>
    <t>0128000050SI95377 - CURSO DE CAPACITAÇÃO PARA SERRALHEIRO (ENCARGOS COMPLEMENTARES) - HORISTA</t>
  </si>
  <si>
    <t>0128000050SI95377</t>
  </si>
  <si>
    <t>Serviço: CURSO DE CAPACITAÇÃO PARA SERRALHEIRO (ENCARGOS COMPLEMENTARES) - HORISTA</t>
  </si>
  <si>
    <t>2202019100SCE9507</t>
  </si>
  <si>
    <t>Serviço: PLOTADORA DE RECORTE COM COMPUTADOR E PROGRAMA COMPUTACIONAL</t>
  </si>
  <si>
    <t>2203009001SCE9507D - Plotadora de recorte com computador e programa computacional_DEPRECIAÇÃO</t>
  </si>
  <si>
    <t>2203009001SCE9507J - Plotadora de recorte com computador e programa computacional_JUROS</t>
  </si>
  <si>
    <t>2203009001SCE9507CM - Plotadora de recorte com computador e programa computacional_MATERIAL NA OPERAÇÃO</t>
  </si>
  <si>
    <t>2203009001SCE9507M - Plotadora de recorte com computador e programa computacional_MANUTENÇÃO</t>
  </si>
  <si>
    <t>2203009001SCE9507D</t>
  </si>
  <si>
    <t>Serviço: Plotadora de recorte com computador e programa computacional_DEPRECIAÇÃO</t>
  </si>
  <si>
    <t>2201005001SCE95 - PLOTADORA DE RECORTE COM COMPUTADOR E PROGRAMA COMPUTACIONAL</t>
  </si>
  <si>
    <t>2203009001SCE9507J</t>
  </si>
  <si>
    <t>Serviço: Plotadora de recorte com computador e programa computacional_JUROS</t>
  </si>
  <si>
    <t>2203009001SCE9507CM</t>
  </si>
  <si>
    <t>Serviço: Plotadora de recorte com computador e programa computacional_MATERIAL NA OPERAÇÃO</t>
  </si>
  <si>
    <t>2203009001SCE9507M</t>
  </si>
  <si>
    <t>Serviço: Plotadora de recorte com computador e programa computacional_MANUTENÇÃO</t>
  </si>
  <si>
    <t>2202019100SCE9568</t>
  </si>
  <si>
    <t>Serviço: FURADEIRA DE IMPACTO DE 12,5 MM - 0,80 KW</t>
  </si>
  <si>
    <t>2203009001SCE9568D - Furadeira de impacto de 12,5 mm - 0,80 kW_DEPRECIAÇÃO</t>
  </si>
  <si>
    <t>2203009001SCE9568J - Furadeira de impacto de 12,5 mm - 0,80 kW_JUROS</t>
  </si>
  <si>
    <t>2203009001SCE9568CM - Furadeira de impacto de 12,5 mm - 0,80 kW_MATERIAL NA OPERAÇÃO</t>
  </si>
  <si>
    <t>2203009001SCE9568M - Furadeira de impacto de 12,5 mm - 0,80 kW_MANUTENÇÃO</t>
  </si>
  <si>
    <t>2203009001SCE9568D</t>
  </si>
  <si>
    <t>Serviço: Furadeira de impacto de 12,5 mm - 0,80 kW_DEPRECIAÇÃO</t>
  </si>
  <si>
    <t>2201005001SCE95 - FURADEIRA DE IMPACTO DE 12,5 MM - 0,80 KW</t>
  </si>
  <si>
    <t>2203009001SCE9568J</t>
  </si>
  <si>
    <t>Serviço: Furadeira de impacto de 12,5 mm - 0,80 kW_JUROS</t>
  </si>
  <si>
    <t>2203009001SCE9568CM</t>
  </si>
  <si>
    <t>Serviço: Furadeira de impacto de 12,5 mm - 0,80 kW_MATERIAL NA OPERAÇÃO</t>
  </si>
  <si>
    <t>2203009001SCE9568M</t>
  </si>
  <si>
    <t>Serviço: Furadeira de impacto de 12,5 mm - 0,80 kW_MANUTENÇÃO</t>
  </si>
  <si>
    <t>2202019100SCE9622</t>
  </si>
  <si>
    <t>Serviço: MÁQUINA DE BANCADA UNIVERSAL PARA CORTE DE CHAPA - 1,50 KW</t>
  </si>
  <si>
    <t>2203009001SCE9622D - Máquina de bancada universal para corte de chapa - 1,50 kW_DEPRECIAÇÃO</t>
  </si>
  <si>
    <t>2203009001SCE9622J - Máquina de bancada universal para corte de chapa - 1,50 kW_JUROS</t>
  </si>
  <si>
    <t>2203009001SCE9622CM - Máquina de bancada universal para corte de chapa - 1,50 kW_MATERIAL NA OPERAÇÃO</t>
  </si>
  <si>
    <t>2203009001SCE9622M - Máquina de bancada universal para corte de chapa - 1,50 kW_MANUTENÇÃO</t>
  </si>
  <si>
    <t>2203009001SCE9622D</t>
  </si>
  <si>
    <t>Serviço: Máquina de bancada universal para corte de chapa - 1,50 kW_DEPRECIAÇÃO</t>
  </si>
  <si>
    <t>2201005001SCE96 - MÁQUINA DE BANCADA UNIVERSAL PARA CORTE DE CHAPA - 1,50 KW</t>
  </si>
  <si>
    <t>2203009001SCE9622J</t>
  </si>
  <si>
    <t>Serviço: Máquina de bancada universal para corte de chapa - 1,50 kW_JUROS</t>
  </si>
  <si>
    <t>2203009001SCE9622CM</t>
  </si>
  <si>
    <t>Serviço: Máquina de bancada universal para corte de chapa - 1,50 kW_MATERIAL NA OPERAÇÃO</t>
  </si>
  <si>
    <t>2203009001SCE9622M</t>
  </si>
  <si>
    <t>Serviço: Máquina de bancada universal para corte de chapa - 1,50 kW_MANUTENÇÃO</t>
  </si>
  <si>
    <t>2202019100SCE9623</t>
  </si>
  <si>
    <t>Serviço: MÁQUINA DE BANCADA GUILHOTINA - 4,00 KW</t>
  </si>
  <si>
    <t>2203009001SCE9623D - Máquina de bancada guilhotina - 4,00 kW_DEPRECIAÇÃO</t>
  </si>
  <si>
    <t>2203009001SCE9623J - Máquina de bancada guilhotina - 4,00 kW_JUROS</t>
  </si>
  <si>
    <t>2203009001SCE9623CM - Máquina de bancada guilhotina - 4,00 kW_MATERIAL NA OPERAÇÃO</t>
  </si>
  <si>
    <t>2203009001SCE9623M - Máquina de bancada guilhotina - 4,00 kW_MANUTENÇÃO</t>
  </si>
  <si>
    <t>2203009001SCE9623D</t>
  </si>
  <si>
    <t>Serviço: Máquina de bancada guilhotina - 4,00 kW_DEPRECIAÇÃO</t>
  </si>
  <si>
    <t>2201005001SCE96 - MÁQUINA DE BANCADA GUILHOTINA - 4,00 KW</t>
  </si>
  <si>
    <t>2203009001SCE9623J</t>
  </si>
  <si>
    <t>Serviço: Máquina de bancada guilhotina - 4,00 kW_JUROS</t>
  </si>
  <si>
    <t>2203009001SCE9623CM</t>
  </si>
  <si>
    <t>Serviço: Máquina de bancada guilhotina - 4,00 kW_MATERIAL NA OPERAÇÃO</t>
  </si>
  <si>
    <t>2203009001SCE9623M</t>
  </si>
  <si>
    <t>Serviço: Máquina de bancada guilhotina - 4,00 kW_MANUTENÇÃO</t>
  </si>
  <si>
    <t>8008008040SC5212552</t>
  </si>
  <si>
    <t>Serviço: PINTURA ELETROSTÁTICA A PÓ COM TINTA POLIÉSTER EM CHAPA DE AÇO</t>
  </si>
  <si>
    <t>8900103002SCM31 - TINTA EM PÓ À BASE DE RESINA POLIÉSTER</t>
  </si>
  <si>
    <t>2202019100SCE9076 - EQUIPAMENTO PARA PINTURA ELETROSTÁTICA COM CABINE DUPLA DE 7,00 KW E ESTUFA DE 80.000 KCAL</t>
  </si>
  <si>
    <t>2202019100SCE9076</t>
  </si>
  <si>
    <t>Serviço: EQUIPAMENTO PARA PINTURA ELETROSTÁTICA COM CABINE DUPLA DE 7,00 KW E ESTUFA DE 80.000 KCAL</t>
  </si>
  <si>
    <t>2203009001SCE9076D - Equipamento para pintura eletrostática com cabine dupla de 7,00 kW e estufa de 80.000 kCal_DEPRECIAÇÃO</t>
  </si>
  <si>
    <t>2203009001SCE9076J - Equipamento para pintura eletrostática com cabine dupla de 7,00 kW e estufa de 80.000 kCal_JUROS</t>
  </si>
  <si>
    <t>2203009001SCE9076CM - Equipamento para pintura eletrostática com cabine dupla de 7,00 kW e estufa de 80.000 kCal_MATERIAL NA OPERAÇÃO</t>
  </si>
  <si>
    <t>2203009001SCE9076M - Equipamento para pintura eletrostática com cabine dupla de 7,00 kW e estufa de 80.000 kCal_MANUTENÇÃO</t>
  </si>
  <si>
    <t>2203009001SCE9076D</t>
  </si>
  <si>
    <t>Serviço: Equipamento para pintura eletrostática com cabine dupla de 7,00 kW e estufa de 80.000 kCal_DEPRECIAÇÃO</t>
  </si>
  <si>
    <t>2201005001SCE90 - EQUIPAMENTO PARA PINTURA ELETROSTÁTICA COM CABINE DUPLA DE 7,00 KW E ESTUFA DE 80.000 KCAL</t>
  </si>
  <si>
    <t>2203009001SCE9076J</t>
  </si>
  <si>
    <t>Serviço: Equipamento para pintura eletrostática com cabine dupla de 7,00 kW e estufa de 80.000 kCal_JUROS</t>
  </si>
  <si>
    <t>2203009001SCE9076CM</t>
  </si>
  <si>
    <t>Serviço: Equipamento para pintura eletrostática com cabine dupla de 7,00 kW e estufa de 80.000 kCal_MATERIAL NA OPERAÇÃO</t>
  </si>
  <si>
    <t>2203009001SCE9076M</t>
  </si>
  <si>
    <t>Serviço: Equipamento para pintura eletrostática com cabine dupla de 7,00 kW e estufa de 80.000 kCal_MANUTENÇÃO</t>
  </si>
  <si>
    <t>8004006001SC2408057</t>
  </si>
  <si>
    <t>Serviço: SOLDA ELÉTRICA DE PERFIS METÁLICOS E CHAPAS DE AÇO COM ELETRODO E60XX</t>
  </si>
  <si>
    <t>8900103002SCM13 - ELETRODO REVESTIDO E60XX</t>
  </si>
  <si>
    <t>2202019100SCE9547 - MÁQUINA DE SOLDA ELÉTRICA TRANSFORMADORA 250 A - 9,20 KW</t>
  </si>
  <si>
    <t>2202019100SCE9547</t>
  </si>
  <si>
    <t>Serviço: MÁQUINA DE SOLDA ELÉTRICA TRANSFORMADORA 250 A - 9,20 KW</t>
  </si>
  <si>
    <t>2203009001SCE9547D - Máquina de solda elétrica transformadora 250 A - 9,20 kW_DEPRECIAÇÃO</t>
  </si>
  <si>
    <t>2203009001SCE9547J - Máquina de solda elétrica transformadora 250 A - 9,20 kW_JUROS</t>
  </si>
  <si>
    <t>2203009001SCE9547CM - Máquina de solda elétrica transformadora 250 A - 9,20 kW_MATERIAL NA OPERAÇÃO</t>
  </si>
  <si>
    <t>2203009001SCE9547M - Máquina de solda elétrica transformadora 250 A - 9,20 kW_MANUTENÇÃO</t>
  </si>
  <si>
    <t>2203009001SCE9547D</t>
  </si>
  <si>
    <t>Serviço: Máquina de solda elétrica transformadora 250 A - 9,20 kW_DEPRECIAÇÃO</t>
  </si>
  <si>
    <t>2201005001SCE95 - MÁQUINA DE SOLDA ELÉTRICA TRANSFORMADORA 250 A - 9,20 KW</t>
  </si>
  <si>
    <t>2203009001SCE9547J</t>
  </si>
  <si>
    <t>Serviço: Máquina de solda elétrica transformadora 250 A - 9,20 kW_JUROS</t>
  </si>
  <si>
    <t>2203009001SCE9547CM</t>
  </si>
  <si>
    <t>Serviço: Máquina de solda elétrica transformadora 250 A - 9,20 kW_MATERIAL NA OPERAÇÃO</t>
  </si>
  <si>
    <t>2203009001SCE9547M</t>
  </si>
  <si>
    <t>Serviço: Máquina de solda elétrica transformadora 250 A - 9,20 kW_MANUTENÇÃO</t>
  </si>
  <si>
    <t>2202019100SI93287</t>
  </si>
  <si>
    <t>Serviço: GUINDASTE HIDRÁULICO AUTOPROPELIDO, COM LANÇA TELESCÓPICA 40 M, CAPACIDADE MÁXIMA 60 T, POTÊNCIA 260 KW - CHP DIURNO. AF_03/2016</t>
  </si>
  <si>
    <t>0127000200SI88296 - OPERADOR DE GUINDASTE COM ENCARGOS COMPLEMENTARES</t>
  </si>
  <si>
    <t>2202019300SI93283 - GUINDASTE HIDRÁULICO AUTOPROPELIDO, COM LANÇA TELESCÓPICA 40 M, CAPACIDADE MÁXIMA 60 T, POTÊNCIA 260 KW - DEPRECIAÇÃO. AF_03/2016</t>
  </si>
  <si>
    <t>2202019300SI93284 - GUINDASTE HIDRÁULICO AUTOPROPELIDO, COM LANÇA TELESCÓPICA 40 M, CAPACIDADE MÁXIMA 60 T, POTÊNCIA 260 KW - JUROS. AF_03/2016</t>
  </si>
  <si>
    <t>2202019300SI93286 - GUINDASTE HIDRÁULICO AUTOPROPELIDO, COM LANÇA TELESCÓPICA 40 M, CAPACIDADE MÁXIMA 60 T, POTÊNCIA 260 KW - MATERIAIS NA OPERAÇÃO. AF_03/2016</t>
  </si>
  <si>
    <t>2202019300SI93285 - GUINDASTE HIDRÁULICO AUTOPROPELIDO, COM LANÇA TELESCÓPICA 40 M, CAPACIDADE MÁXIMA 60 T, POTÊNCIA 260 KW - MANUTENÇÃO. AF_03/2016</t>
  </si>
  <si>
    <t>2202019300SI93296 - GUINDASTE HIDRÁULICO AUTOPROPELIDO, COM LANÇA TELESCÓPICA 40 M, CAPACIDADE MÁXIMA 60 T, POTÊNCIA 260 KW - IMPOSTOS E SEGUROS. AF_03/2016</t>
  </si>
  <si>
    <t>0127000200SI88296</t>
  </si>
  <si>
    <t>Serviço: OPERADOR DE GUINDASTE COM ENCARGOS COMPLEMENTARES</t>
  </si>
  <si>
    <t>0128000050SI425 - OPERADOR DE GUINDASTE (HORISTA)</t>
  </si>
  <si>
    <t>0128000050SI95359 - CURSO DE CAPACITAÇÃO PARA OPERADOR DE GUINDASTE (ENCARGOS COMPLEMENTARES) - HORISTA</t>
  </si>
  <si>
    <t>0128000050SI95359</t>
  </si>
  <si>
    <t>Serviço: CURSO DE CAPACITAÇÃO PARA OPERADOR DE GUINDASTE (ENCARGOS COMPLEMENTARES) - HORISTA</t>
  </si>
  <si>
    <t>2202019300SI93283</t>
  </si>
  <si>
    <t>Serviço: GUINDASTE HIDRÁULICO AUTOPROPELIDO, COM LANÇA TELESCÓPICA 40 M, CAPACIDADE MÁXIMA 60 T, POTÊNCIA 260 KW - DEPRECIAÇÃO. AF_03/2016</t>
  </si>
  <si>
    <t>2202005001SI444 - GUINDASTE HIDRAULICO AUTOPROPELIDO, COM LANCA TELESCOPICA 40 M, CAPACIDADE MAXIMA 60 T, POTENCIA 260 KW, TRACAO  6 X 6</t>
  </si>
  <si>
    <t>2202019300SI93284</t>
  </si>
  <si>
    <t>Serviço: GUINDASTE HIDRÁULICO AUTOPROPELIDO, COM LANÇA TELESCÓPICA 40 M, CAPACIDADE MÁXIMA 60 T, POTÊNCIA 260 KW - JUROS. AF_03/2016</t>
  </si>
  <si>
    <t>2202019300SI93286</t>
  </si>
  <si>
    <t>Serviço: GUINDASTE HIDRÁULICO AUTOPROPELIDO, COM LANÇA TELESCÓPICA 40 M, CAPACIDADE MÁXIMA 60 T, POTÊNCIA 260 KW - MATERIAIS NA OPERAÇÃO. AF_03/2016</t>
  </si>
  <si>
    <t>2202019300SI93285</t>
  </si>
  <si>
    <t>Serviço: GUINDASTE HIDRÁULICO AUTOPROPELIDO, COM LANÇA TELESCÓPICA 40 M, CAPACIDADE MÁXIMA 60 T, POTÊNCIA 260 KW - MANUTENÇÃO. AF_03/2016</t>
  </si>
  <si>
    <t>2202019300SI93296</t>
  </si>
  <si>
    <t>Serviço: GUINDASTE HIDRÁULICO AUTOPROPELIDO, COM LANÇA TELESCÓPICA 40 M, CAPACIDADE MÁXIMA 60 T, POTÊNCIA 260 KW - IMPOSTOS E SEGUROS. AF_03/2016</t>
  </si>
  <si>
    <t>2202019200SI93288</t>
  </si>
  <si>
    <t>Serviço: GUINDASTE HIDRÁULICO AUTOPROPELIDO, COM LANÇA TELESCÓPICA 40 M, CAPACIDADE MÁXIMA 60 T, POTÊNCIA 260 KW - CHI DIURNO. AF_03/2016</t>
  </si>
  <si>
    <t>Serviço: ENGENHEIRO AMBIENTAL SÊNIOR COM ENCARGOS COMPLEMENTARES</t>
  </si>
  <si>
    <t>0128000017012 - ENGENHEIRO AMBIENTAL SÊNIOR (HORISTA)</t>
  </si>
  <si>
    <t>8900103001SI434 - EPI - FAMILIA ENGENHEIRO CIVIL - HORISTA (ENCARGOS COMPLEMENTARES - COLETADO CAIXA)</t>
  </si>
  <si>
    <t>8900103001SI434 - FERRAMENTAS - FAMILIA ENGENHEIRO CIVIL - HORISTA (ENCARGOS COMPLEMENTARES - COLETADO CAIXA)</t>
  </si>
  <si>
    <t>0128100118006 - CURSO DE CAPACITAÇÃO PARA ENGENHEIRO AMBIENTAL SÊNIOR (ENCARGOS COMPLEMENTARES) - HORISTA</t>
  </si>
  <si>
    <t>Serviço: CURSO DE CAPACITAÇÃO PARA ENGENHEIRO AMBIENTAL SÊNIOR (ENCARGOS COMPLEMENTARES) - HORISTA</t>
  </si>
  <si>
    <t>Serviço: ESMERIL DE CHICOTE, ELÉTRICO, POTÊNCIA 3,0 CV (2,2 KW)_ALIMENTAÇÃO ELÉTRICA _(2,20KW-SC-SMO) #AF_01/2024</t>
  </si>
  <si>
    <t>2203009001125 - ESMERIL DE CHICOTE, ELÉTRICO, POTÊNCIA 3,0 CV (2,2 KW)_MANUTENÇÃO</t>
  </si>
  <si>
    <t>2203009001122 - ESMERIL DE CHICOTE, ELÉTRICO, POTÊNCIA 3,0 CV (2,2 KW)_JUROS</t>
  </si>
  <si>
    <t>2203009001121 - ESMERIL DE CHICOTE, ELÉTRICO, POTÊNCIA 3,0 CV (2,2 KW)_DEPRECIAÇÃO</t>
  </si>
  <si>
    <t>Serviço: ESMERIL DE CHICOTE, ELÉTRICO, POTÊNCIA 3,0 CV (2,2 KW)_MANUTENÇÃO</t>
  </si>
  <si>
    <t>2240005001002 - ESMERIL DE CHICOTE, ELÉTRICO, POTÊNCIA 3,0 CV (2,2 KW)</t>
  </si>
  <si>
    <t>Serviço: ESMERIL DE CHICOTE, ELÉTRICO, POTÊNCIA 3,0 CV (2,2 KW)_JUROS</t>
  </si>
  <si>
    <t>Serviço: ESMERIL DE CHICOTE, ELÉTRICO, POTÊNCIA 3,0 CV (2,2 KW)_DEPRECIAÇÃO</t>
  </si>
  <si>
    <t>Serviço: GERADOR, GASOLINA, POTÊNCIA NOMINAL DE 6,5 KVA E POTÊNCIA MÁXIMA DE 7,0 KVA_ALIMENTAÇÃO A GASOLINA _(10,00KW-G-SMO) #AF_01/2024</t>
  </si>
  <si>
    <t>2203009001155 - GERADOR, GASOLINA, POTÊNCIA NOMINAL DE 6,5 KVA E POTÊNCIA MÁXIMA DE 7,0 KVA_MANUTENÇÃO</t>
  </si>
  <si>
    <t>2203009001151 - GERADOR, GASOLINA, POTÊNCIA NOMINAL DE 6,5 KVA E POTÊNCIA MÁXIMA DE 7,0 KVA_DEPRECIAÇÃO</t>
  </si>
  <si>
    <t>2203009001154 - GERADOR, GASOLINA, POTÊNCIA NOMINAL DE 6,5 KVA E POTÊNCIA MÁXIMA DE 7,0 KVA_MATERIAL NA OPERAÇÃO</t>
  </si>
  <si>
    <t>2203009001152 - GERADOR, GASOLINA, POTÊNCIA NOMINAL DE 6,5 KVA E POTÊNCIA MÁXIMA DE 7,0 KVA_JUROS</t>
  </si>
  <si>
    <t>Serviço: GERADOR, GASOLINA, POTÊNCIA NOMINAL DE 6,5 KVA E POTÊNCIA MÁXIMA DE 7,0 KVA_MANUTENÇÃO</t>
  </si>
  <si>
    <t>2207005004005 - GERADOR, GASOLINA, POTÊNCIA NOMINAL DE 6,5 KVA E POTÊNCIA MÁXIMA DE 7,0 KVA</t>
  </si>
  <si>
    <t>Serviço: GERADOR, GASOLINA, POTÊNCIA NOMINAL DE 6,5 KVA E POTÊNCIA MÁXIMA DE 7,0 KVA_DEPRECIAÇÃO</t>
  </si>
  <si>
    <t>Serviço: GERADOR, GASOLINA, POTÊNCIA NOMINAL DE 6,5 KVA E POTÊNCIA MÁXIMA DE 7,0 KVA_MATERIAL NA OPERAÇÃO</t>
  </si>
  <si>
    <t>Serviço: GERADOR, GASOLINA, POTÊNCIA NOMINAL DE 6,5 KVA E POTÊNCIA MÁXIMA DE 7,0 KVA_JUROS</t>
  </si>
  <si>
    <t>2203009001191 - MÁQUINA DE SOLDA PARA TUBOS PEAD POR ELETROFUSÃO_ALIMENTAÇÃO ELÉTRICA _(3,60KW-SC-SMO) #AF_01/2023_DEPRECIAÇÃO</t>
  </si>
  <si>
    <t>2203009001192 - MÁQUINA DE SOLDA PARA TUBOS PEAD POR ELETROFUSÃO_ALIMENTAÇÃO ELÉTRICA _(3,60KW-SC-SMO) #AF_01/2023_JUROS</t>
  </si>
  <si>
    <t>2203009001195 - MÁQUINA DE SOLDA PARA TUBOS PEAD POR ELETROFUSÃO_ALIMENTAÇÃO ELÉTRICA _(3,60KW-SC-SMO) #AF_01/2023_MANUTENÇÃO</t>
  </si>
  <si>
    <t>Serviço: CAMINHAO TOCO, PBT 8500 KG, CARGA UTIL MAXIMA 5600 KG, DISTANCIA ENTRE EIXOS 3,40 M INCLUSIVE CABINE SUPLEMENTAR P/4 PASSAGEIROS E CARROCERIA FIXA ABERTA DE MADEIRA P/ TRANSPORTE GERAL DE CARGA SECA_ALIMENTAÇÃO A DIESEL _(123,00KW-D-SMO) #AF_01/2024</t>
  </si>
  <si>
    <t>2203009001468 - CAMINHAO TOCO, PESO BRUTO TOTAL 8500 KG, CARGA UTIL MAXIMA 5600 KG, DISTANCIA ENTRE EIXOS 3,40 M, POTENCIA 167 CV (INCLUI CABINE E CHASSI, NAO INCLUI CARROCERIA)_IMPOSTOS E SEGUROS</t>
  </si>
  <si>
    <t>2203009001470 - CAMINHAO TOCO, PESO BRUTO TOTAL 8500 KG, CARGA UTIL MAXIMA 5600 KG, DISTANCIA ENTRE EIXOS 3,40 M, POTENCIA 167 CV (INCLUI CABINE E CHASSI, NAO INCLUI CARROCERIA)_MANUTENÇÃO</t>
  </si>
  <si>
    <t>2203009001466 - CAMINHAO TOCO, PESO BRUTO TOTAL 8500 KG, CARGA UTIL MAXIMA 5600 KG, DISTANCIA ENTRE EIXOS 3,40 M, POTENCIA 167 CV (INCLUI CABINE E CHASSI, NAO INCLUI CARROCERIA)_DEPRECIAÇÃO</t>
  </si>
  <si>
    <t>2203009001467 - CAMINHAO TOCO, PESO BRUTO TOTAL 8500 KG, CARGA UTIL MAXIMA 5600 KG, DISTANCIA ENTRE EIXOS 3,40 M, POTENCIA 167 CV (INCLUI CABINE E CHASSI, NAO INCLUI CARROCERIA)_JUROS</t>
  </si>
  <si>
    <t>2203009001469 - CAMINHAO TOCO, PESO BRUTO TOTAL 8500 KG, CARGA UTIL MAXIMA 5600 KG, DISTANCIA ENTRE EIXOS 3,40 M, POTENCIA 167 CV (INCLUI CABINE E CHASSI, NAO INCLUI CARROCERIA)_MATERIAL NA OPERAÇÃO</t>
  </si>
  <si>
    <t>Serviço: CAMINHAO TOCO, PESO BRUTO TOTAL 8500 KG, CARGA UTIL MAXIMA 5600 KG, DISTANCIA ENTRE EIXOS 3,40 M, POTENCIA 167 CV (INCLUI CABINE E CHASSI, NAO INCLUI CARROCERIA)_IMPOSTOS E SEGUROS</t>
  </si>
  <si>
    <t>2202005001SI440 - CAMINHAO TOCO, PESO BRUTO TOTAL 8500 KG, CARGA UTIL MAXIMA 5600 KG, DISTANCIA ENTRE EIXOS 3,40 M, POTENCIA 167 CV (INCLUI CABINE E CHASSI, NAO INCLUI CARROCERIA)</t>
  </si>
  <si>
    <t>Serviço: CAMINHAO TOCO, PESO BRUTO TOTAL 8500 KG, CARGA UTIL MAXIMA 5600 KG, DISTANCIA ENTRE EIXOS 3,40 M, POTENCIA 167 CV (INCLUI CABINE E CHASSI, NAO INCLUI CARROCERIA)_MANUTENÇÃO</t>
  </si>
  <si>
    <t>Serviço: CAMINHAO TOCO, PESO BRUTO TOTAL 8500 KG, CARGA UTIL MAXIMA 5600 KG, DISTANCIA ENTRE EIXOS 3,40 M, POTENCIA 167 CV (INCLUI CABINE E CHASSI, NAO INCLUI CARROCERIA)_DEPRECIAÇÃO</t>
  </si>
  <si>
    <t>Serviço: CAMINHAO TOCO, PESO BRUTO TOTAL 8500 KG, CARGA UTIL MAXIMA 5600 KG, DISTANCIA ENTRE EIXOS 3,40 M, POTENCIA 167 CV (INCLUI CABINE E CHASSI, NAO INCLUI CARROCERIA)_JUROS</t>
  </si>
  <si>
    <t>Serviço: CAMINHAO TOCO, PESO BRUTO TOTAL 8500 KG, CARGA UTIL MAXIMA 5600 KG, DISTANCIA ENTRE EIXOS 3,40 M, POTENCIA 167 CV (INCLUI CABINE E CHASSI, NAO INCLUI CARROCERIA)_MATERIAL NA OPERAÇÃO</t>
  </si>
  <si>
    <t>Serviço: ENCANADOR OU BOMBEIRO HIDRÁULICO ( LÍDER DE EQUIPE) COM ENCARGOS COMPLEMENTARES</t>
  </si>
  <si>
    <t>0129000010005 - ENCANADOR OU BOMBEIRO HIDRÁULICO (LIDER DE EQUIPE) (HORISTA)</t>
  </si>
  <si>
    <t>0129000010006 - CURSO DE ENCANADOR OU BOMBEIRO HIDRÁULICO ( LÍDER DE EQUIPE) COM ENCARGOS COMPLEMENTARES</t>
  </si>
  <si>
    <t>Serviço: CURSO DE ENCANADOR OU BOMBEIRO HIDRÁULICO ( LÍDER DE EQUIPE) COM ENCARGOS COMPLEMENTARES</t>
  </si>
  <si>
    <t>2203009001SCE9779D</t>
  </si>
  <si>
    <t>Serviço: Grupo gerador - 113 kVA_DEPRECIAÇÃO</t>
  </si>
  <si>
    <t>2201005001SCE97 - GRUPO GERADOR - 113 KVA</t>
  </si>
  <si>
    <t>2203009001SCE9779J</t>
  </si>
  <si>
    <t>Serviço: Grupo gerador - 113 kVA_JUROS</t>
  </si>
  <si>
    <t>2203009001SCE9779CM</t>
  </si>
  <si>
    <t>Serviço: Grupo gerador - 113 kVA_MATERIAL NA OPERAÇÃO</t>
  </si>
  <si>
    <t>2203009001SCE9779M</t>
  </si>
  <si>
    <t>Serviço: Grupo gerador - 113 kVA_MANUTENÇÃO</t>
  </si>
  <si>
    <t>Pavimento</t>
  </si>
  <si>
    <t>P. unitário</t>
  </si>
  <si>
    <t>CBUQ</t>
  </si>
  <si>
    <t>BGS</t>
  </si>
  <si>
    <t>P.U cheio</t>
  </si>
  <si>
    <t>Execução de rede coletora de esgoto DN 150 - PAVIMENTADO, prof até 1,25m (fornecimento de CBUQ e BGS por faturamento direto)</t>
  </si>
  <si>
    <t>Asfalto</t>
  </si>
  <si>
    <t>Execução de rede coletora de esgoto DN 150 - NÃO PAVIMENTADO, prof até 1,25m</t>
  </si>
  <si>
    <t>Terra</t>
  </si>
  <si>
    <t>Execução de rede coletora de esgoto DN 150 - PAVIMENTADO, prof de 1,25 até 1,50m (fornecimento de CBUQ e BGS por faturamento direto)</t>
  </si>
  <si>
    <t>Execução de rede coletora de esgoto DN 150 - NÃO PAVIMENTADO, prof de 1,25 até 1,50m</t>
  </si>
  <si>
    <t>Execução de rede coletora de esgoto DN 150 - PAVIMENTADO, prof de 1,50 até 2,00m com a utilização de escoramento tipo blindado (fornecimento de CBUQ e BGS por faturamento direto)</t>
  </si>
  <si>
    <t>Execução de rede coletora de esgoto DN 150 - NÃO PAVIMENTADO, prof de 1,50 até 2,00m com a utilização de escoramento tipo blindado</t>
  </si>
  <si>
    <t>Execução de rede coletora de esgoto DN 150 - PAVIMENTADO, prof de 2,01 até 3,00m com a utilização de escoramento tipo blindado (fornecimento de CBUQ e BGS por faturamento direto)</t>
  </si>
  <si>
    <t>Execução de rede coletora de esgoto DN 150 - NÃO PAVIMENTADO, prof de 2,01 até 3,00m com a utilização de escoramento tipo blindado</t>
  </si>
  <si>
    <t>Execução de ligações domiciliares de esgoto - PAVIMENTADO (fornecimento de CBUQ e BGS por faturamento direto)</t>
  </si>
  <si>
    <t>unid</t>
  </si>
  <si>
    <t>Execução de ligações domiciliares de esgoto - NÃO PAVIMENTADO</t>
  </si>
  <si>
    <t>Melhoria de solo com o tratamento quimico</t>
  </si>
  <si>
    <t>Troca de solo, com o fornecimento de solo para reaterro de vala</t>
  </si>
  <si>
    <t>Fornecimento e execução de areia para realização de adensamento hidráulico com equivalente acima de 55%</t>
  </si>
  <si>
    <t>Fornecimento e aplicação de pedra nº 03 para estabilização de fundo de vala</t>
  </si>
  <si>
    <t>TIPO</t>
  </si>
  <si>
    <t>CODIGO</t>
  </si>
  <si>
    <t>ALTURA</t>
  </si>
  <si>
    <t>TL</t>
  </si>
  <si>
    <t>PV</t>
  </si>
</sst>
</file>

<file path=xl/styles.xml><?xml version="1.0" encoding="utf-8"?>
<styleSheet xmlns="http://schemas.openxmlformats.org/spreadsheetml/2006/main" xmlns:mc="http://schemas.openxmlformats.org/markup-compatibility/2006" xmlns:xr9="http://schemas.microsoft.com/office/spreadsheetml/2016/revision9" mc:Ignorable="xr9">
  <numFmts count="27">
    <numFmt numFmtId="176" formatCode="_(* #,##0.00_);_(* \(#,##0.00\);_(* &quot;-&quot;??_);_(@_)"/>
    <numFmt numFmtId="177" formatCode="_(&quot;R$ &quot;* #,##0.00_);_(&quot;R$ &quot;* \(#,##0.00\);_(&quot;R$ &quot;* &quot;-&quot;??_);_(@_)"/>
    <numFmt numFmtId="178" formatCode="_-* #,##0_-;\-* #,##0_-;_-* &quot;-&quot;_-;_-@_-"/>
    <numFmt numFmtId="179" formatCode="_-&quot;R$&quot;\ * #,##0_-;\-&quot;R$&quot;\ * #,##0_-;_-&quot;R$&quot;\ * &quot;-&quot;_-;_-@_-"/>
    <numFmt numFmtId="180" formatCode="_([$€]* #,##0.00_);_([$€]* \(#,##0.00\);_([$€]* &quot;-&quot;??_);_(@_)"/>
    <numFmt numFmtId="181" formatCode="_(* #,##0.000_);_(* \(#,##0.000\);_(* &quot;-&quot;??_);_(@_)"/>
    <numFmt numFmtId="182" formatCode="_-&quot;R$&quot;\ * #,##0.00_-;\-&quot;R$&quot;\ * #,##0.00_-;_-&quot;R$&quot;\ * &quot;-&quot;??_-;_-@_-"/>
    <numFmt numFmtId="183" formatCode="_(&quot;R$&quot;* #,##0.00_);_(&quot;R$&quot;* \(#,##0.00\);_(&quot;R$&quot;* &quot;-&quot;??_);_(@_)"/>
    <numFmt numFmtId="184" formatCode="#,##0.00_ ;[Red]\-#,##0.00\ "/>
    <numFmt numFmtId="185" formatCode="&quot;R$ &quot;#,##0_);[Red]\(&quot;R$ &quot;#,##0\)"/>
    <numFmt numFmtId="186" formatCode="_-* #,##0.00_-;\-* #,##0.00_-;_-* &quot;-&quot;??_-;_-@_-"/>
    <numFmt numFmtId="187" formatCode="_(* #,##0_);_(* \(#,##0\);_(* &quot;-&quot;??_);_(@_)"/>
    <numFmt numFmtId="188" formatCode="_(* #,##0.00_);_(* \(#,##0.00\);_(* \-??_);_(@_)"/>
    <numFmt numFmtId="189" formatCode="&quot;R$&quot;\ #,##0.00"/>
    <numFmt numFmtId="190" formatCode="\R\$\ #,##0.00"/>
    <numFmt numFmtId="191" formatCode="&quot;R$&quot;#,##0.00_);[Red]\(&quot;R$&quot;#,##0.00\)"/>
    <numFmt numFmtId="192" formatCode="0000000000000"/>
    <numFmt numFmtId="193" formatCode="00"/>
    <numFmt numFmtId="194" formatCode="00000"/>
    <numFmt numFmtId="195" formatCode="0.000"/>
    <numFmt numFmtId="196" formatCode="0.0"/>
    <numFmt numFmtId="197" formatCode="_(* #,##0.0_);_(* \(#,##0.0\);_(* &quot;-&quot;??_);_(@_)"/>
    <numFmt numFmtId="198" formatCode="_-&quot;R$&quot;\ * #,##0_-;\-&quot;R$&quot;\ * #,##0_-;_-&quot;R$&quot;\ * &quot;-&quot;??_-;_-@_-"/>
    <numFmt numFmtId="199" formatCode="0.00\ &quot;MESES&quot;"/>
    <numFmt numFmtId="200" formatCode="[$-416]mmm\-yy;@"/>
    <numFmt numFmtId="201" formatCode="0.0%"/>
    <numFmt numFmtId="202" formatCode="0\ &quot;meses&quot;"/>
  </numFmts>
  <fonts count="119">
    <font>
      <sz val="10"/>
      <name val="Arial"/>
      <charset val="134"/>
    </font>
    <font>
      <b/>
      <sz val="12"/>
      <color rgb="FF000000"/>
      <name val="Arial"/>
      <charset val="134"/>
    </font>
    <font>
      <sz val="11"/>
      <color rgb="FF000000"/>
      <name val="Arial"/>
      <charset val="134"/>
    </font>
    <font>
      <b/>
      <sz val="7"/>
      <color rgb="FF000000"/>
      <name val="Arial"/>
      <charset val="134"/>
    </font>
    <font>
      <b/>
      <sz val="6"/>
      <color rgb="FF000000"/>
      <name val="Arial"/>
      <charset val="134"/>
    </font>
    <font>
      <sz val="6"/>
      <color rgb="FF000000"/>
      <name val="Arial"/>
      <charset val="134"/>
    </font>
    <font>
      <sz val="8"/>
      <name val="Arial"/>
      <charset val="134"/>
    </font>
    <font>
      <sz val="10"/>
      <name val="Arial"/>
      <charset val="134"/>
    </font>
    <font>
      <b/>
      <sz val="8"/>
      <name val="Arial"/>
      <charset val="134"/>
    </font>
    <font>
      <sz val="8"/>
      <color rgb="FFFF0000"/>
      <name val="Arial"/>
      <charset val="134"/>
    </font>
    <font>
      <sz val="11"/>
      <color indexed="8"/>
      <name val="Calibri"/>
      <charset val="134"/>
    </font>
    <font>
      <sz val="11"/>
      <color theme="1"/>
      <name val="Calibri"/>
      <charset val="134"/>
      <scheme val="minor"/>
    </font>
    <font>
      <sz val="10"/>
      <color theme="1"/>
      <name val="Arial"/>
      <charset val="134"/>
    </font>
    <font>
      <sz val="10"/>
      <color rgb="FF000000"/>
      <name val="Arial"/>
      <charset val="134"/>
    </font>
    <font>
      <b/>
      <sz val="10"/>
      <color rgb="FF000000"/>
      <name val="Arial"/>
      <charset val="134"/>
    </font>
    <font>
      <sz val="10"/>
      <color rgb="FFFF0000"/>
      <name val="Arial"/>
      <charset val="134"/>
    </font>
    <font>
      <b/>
      <sz val="10"/>
      <name val="Arial"/>
      <charset val="134"/>
    </font>
    <font>
      <b/>
      <sz val="10"/>
      <color rgb="FFFF0000"/>
      <name val="Arial"/>
      <charset val="134"/>
    </font>
    <font>
      <u/>
      <sz val="10"/>
      <color rgb="FFFF0000"/>
      <name val="Arial"/>
      <charset val="134"/>
    </font>
    <font>
      <b/>
      <sz val="10"/>
      <color theme="0"/>
      <name val="Arial"/>
      <charset val="134"/>
    </font>
    <font>
      <b/>
      <sz val="11"/>
      <color rgb="FFFF0000"/>
      <name val="Calibri"/>
      <charset val="134"/>
    </font>
    <font>
      <sz val="11"/>
      <name val="Calibri"/>
      <charset val="134"/>
      <scheme val="minor"/>
    </font>
    <font>
      <b/>
      <sz val="11"/>
      <color theme="1"/>
      <name val="Calibri"/>
      <charset val="134"/>
      <scheme val="minor"/>
    </font>
    <font>
      <b/>
      <sz val="8"/>
      <color theme="0"/>
      <name val="Arial"/>
      <charset val="134"/>
    </font>
    <font>
      <b/>
      <sz val="8"/>
      <color rgb="FFFF0000"/>
      <name val="Arial"/>
      <charset val="134"/>
    </font>
    <font>
      <b/>
      <sz val="8"/>
      <color theme="1"/>
      <name val="Arial"/>
      <charset val="134"/>
    </font>
    <font>
      <sz val="8"/>
      <color theme="1"/>
      <name val="Arial"/>
      <charset val="134"/>
    </font>
    <font>
      <b/>
      <sz val="18"/>
      <name val="Calibri"/>
      <charset val="134"/>
      <scheme val="minor"/>
    </font>
    <font>
      <sz val="18"/>
      <name val="Calibri"/>
      <charset val="134"/>
      <scheme val="minor"/>
    </font>
    <font>
      <b/>
      <sz val="14"/>
      <name val="Calibri"/>
      <charset val="134"/>
      <scheme val="minor"/>
    </font>
    <font>
      <b/>
      <sz val="14"/>
      <color theme="1"/>
      <name val="Calibri"/>
      <charset val="134"/>
      <scheme val="minor"/>
    </font>
    <font>
      <b/>
      <sz val="16"/>
      <color theme="1"/>
      <name val="Calibri"/>
      <charset val="134"/>
      <scheme val="minor"/>
    </font>
    <font>
      <sz val="26"/>
      <name val="Calibri"/>
      <charset val="134"/>
      <scheme val="minor"/>
    </font>
    <font>
      <b/>
      <sz val="14"/>
      <color theme="0"/>
      <name val="Calibri"/>
      <charset val="134"/>
      <scheme val="minor"/>
    </font>
    <font>
      <sz val="11"/>
      <color theme="0"/>
      <name val="Calibri"/>
      <charset val="134"/>
      <scheme val="minor"/>
    </font>
    <font>
      <b/>
      <sz val="16"/>
      <color theme="0"/>
      <name val="Calibri"/>
      <charset val="134"/>
      <scheme val="minor"/>
    </font>
    <font>
      <b/>
      <sz val="11"/>
      <color indexed="9"/>
      <name val="Calibri"/>
      <charset val="134"/>
      <scheme val="minor"/>
    </font>
    <font>
      <b/>
      <sz val="18"/>
      <color theme="1"/>
      <name val="Calibri"/>
      <charset val="134"/>
      <scheme val="minor"/>
    </font>
    <font>
      <b/>
      <sz val="11"/>
      <name val="Calibri"/>
      <charset val="134"/>
      <scheme val="minor"/>
    </font>
    <font>
      <sz val="10"/>
      <name val="Calibri"/>
      <charset val="134"/>
      <scheme val="minor"/>
    </font>
    <font>
      <b/>
      <sz val="11"/>
      <color indexed="18"/>
      <name val="Calibri"/>
      <charset val="134"/>
      <scheme val="minor"/>
    </font>
    <font>
      <b/>
      <sz val="16"/>
      <name val="Calibri"/>
      <charset val="134"/>
      <scheme val="minor"/>
    </font>
    <font>
      <sz val="11"/>
      <color indexed="18"/>
      <name val="Calibri"/>
      <charset val="134"/>
      <scheme val="minor"/>
    </font>
    <font>
      <b/>
      <sz val="12"/>
      <color theme="1"/>
      <name val="Calibri"/>
      <charset val="134"/>
      <scheme val="minor"/>
    </font>
    <font>
      <sz val="12"/>
      <name val="Calibri"/>
      <charset val="134"/>
      <scheme val="minor"/>
    </font>
    <font>
      <b/>
      <sz val="12"/>
      <name val="Calibri"/>
      <charset val="134"/>
      <scheme val="minor"/>
    </font>
    <font>
      <b/>
      <sz val="11"/>
      <color rgb="FFFF0000"/>
      <name val="Calibri"/>
      <charset val="134"/>
      <scheme val="minor"/>
    </font>
    <font>
      <sz val="10"/>
      <color indexed="18"/>
      <name val="Arial"/>
      <charset val="134"/>
    </font>
    <font>
      <b/>
      <sz val="10"/>
      <name val="Calibri"/>
      <charset val="134"/>
      <scheme val="minor"/>
    </font>
    <font>
      <sz val="10"/>
      <color theme="1"/>
      <name val="Calibri"/>
      <charset val="134"/>
      <scheme val="minor"/>
    </font>
    <font>
      <sz val="12"/>
      <color rgb="FF00B050"/>
      <name val="Calibri"/>
      <charset val="134"/>
      <scheme val="minor"/>
    </font>
    <font>
      <sz val="12"/>
      <color rgb="FFFF0000"/>
      <name val="Calibri"/>
      <charset val="134"/>
      <scheme val="minor"/>
    </font>
    <font>
      <sz val="12"/>
      <color theme="1"/>
      <name val="Calibri"/>
      <charset val="134"/>
      <scheme val="minor"/>
    </font>
    <font>
      <sz val="10"/>
      <color rgb="FF00B050"/>
      <name val="Arial"/>
      <charset val="134"/>
    </font>
    <font>
      <b/>
      <sz val="11"/>
      <name val="Arial"/>
      <charset val="134"/>
    </font>
    <font>
      <b/>
      <sz val="12"/>
      <name val="Arial"/>
      <charset val="134"/>
    </font>
    <font>
      <b/>
      <sz val="12"/>
      <color rgb="FFFF0000"/>
      <name val="Calibri"/>
      <charset val="134"/>
      <scheme val="minor"/>
    </font>
    <font>
      <sz val="10"/>
      <color rgb="FFFF0000"/>
      <name val="Calibri"/>
      <charset val="134"/>
      <scheme val="minor"/>
    </font>
    <font>
      <b/>
      <sz val="10"/>
      <color theme="1"/>
      <name val="Calibri"/>
      <charset val="134"/>
      <scheme val="minor"/>
    </font>
    <font>
      <u/>
      <sz val="10"/>
      <color theme="10"/>
      <name val="Arial"/>
      <charset val="134"/>
    </font>
    <font>
      <u/>
      <sz val="14"/>
      <name val="Aptos"/>
      <charset val="134"/>
    </font>
    <font>
      <u/>
      <sz val="16"/>
      <name val="Aptos"/>
      <charset val="134"/>
    </font>
    <font>
      <sz val="14"/>
      <name val="Aptos"/>
      <charset val="134"/>
    </font>
    <font>
      <b/>
      <sz val="12"/>
      <name val="Aptos"/>
      <charset val="134"/>
    </font>
    <font>
      <sz val="12"/>
      <name val="Aptos"/>
      <charset val="134"/>
    </font>
    <font>
      <sz val="12"/>
      <name val="Symbol"/>
      <charset val="2"/>
    </font>
    <font>
      <b/>
      <sz val="20"/>
      <color theme="0"/>
      <name val="Arial"/>
      <charset val="134"/>
    </font>
    <font>
      <b/>
      <sz val="14"/>
      <color theme="0"/>
      <name val="Arial"/>
      <charset val="134"/>
    </font>
    <font>
      <b/>
      <sz val="18"/>
      <color theme="0"/>
      <name val="Arial"/>
      <charset val="134"/>
    </font>
    <font>
      <b/>
      <sz val="15"/>
      <color theme="0"/>
      <name val="Arial"/>
      <charset val="134"/>
    </font>
    <font>
      <sz val="20"/>
      <name val="Arial"/>
      <charset val="134"/>
    </font>
    <font>
      <b/>
      <sz val="14"/>
      <name val="Arial"/>
      <charset val="134"/>
    </font>
    <font>
      <sz val="10"/>
      <color theme="1"/>
      <name val="Calibri"/>
      <charset val="134"/>
      <scheme val="minor"/>
    </font>
    <font>
      <u/>
      <sz val="11"/>
      <color rgb="FF800080"/>
      <name val="Calibri"/>
      <charset val="0"/>
      <scheme val="minor"/>
    </font>
    <font>
      <sz val="11"/>
      <color rgb="FFFF0000"/>
      <name val="Calibri"/>
      <charset val="0"/>
      <scheme val="minor"/>
    </font>
    <font>
      <b/>
      <sz val="18"/>
      <color theme="3"/>
      <name val="Calibri"/>
      <charset val="134"/>
      <scheme val="minor"/>
    </font>
    <font>
      <i/>
      <sz val="11"/>
      <color rgb="FF7F7F7F"/>
      <name val="Calibri"/>
      <charset val="0"/>
      <scheme val="minor"/>
    </font>
    <font>
      <b/>
      <sz val="15"/>
      <color theme="3"/>
      <name val="Calibri"/>
      <charset val="134"/>
      <scheme val="minor"/>
    </font>
    <font>
      <b/>
      <sz val="13"/>
      <color theme="3"/>
      <name val="Calibri"/>
      <charset val="134"/>
      <scheme val="minor"/>
    </font>
    <font>
      <b/>
      <sz val="11"/>
      <color theme="3"/>
      <name val="Calibri"/>
      <charset val="134"/>
      <scheme val="minor"/>
    </font>
    <font>
      <sz val="11"/>
      <color rgb="FF3F3F76"/>
      <name val="Calibri"/>
      <charset val="0"/>
      <scheme val="minor"/>
    </font>
    <font>
      <b/>
      <sz val="11"/>
      <color rgb="FF3F3F3F"/>
      <name val="Calibri"/>
      <charset val="0"/>
      <scheme val="minor"/>
    </font>
    <font>
      <b/>
      <sz val="11"/>
      <color rgb="FFFA7D00"/>
      <name val="Calibri"/>
      <charset val="0"/>
      <scheme val="minor"/>
    </font>
    <font>
      <b/>
      <sz val="11"/>
      <color rgb="FFFFFFFF"/>
      <name val="Calibri"/>
      <charset val="0"/>
      <scheme val="minor"/>
    </font>
    <font>
      <sz val="11"/>
      <color rgb="FFFA7D00"/>
      <name val="Calibri"/>
      <charset val="0"/>
      <scheme val="minor"/>
    </font>
    <font>
      <b/>
      <sz val="11"/>
      <color theme="1"/>
      <name val="Calibri"/>
      <charset val="0"/>
      <scheme val="minor"/>
    </font>
    <font>
      <sz val="11"/>
      <color rgb="FF006100"/>
      <name val="Calibri"/>
      <charset val="0"/>
      <scheme val="minor"/>
    </font>
    <font>
      <sz val="11"/>
      <color rgb="FF9C0006"/>
      <name val="Calibri"/>
      <charset val="0"/>
      <scheme val="minor"/>
    </font>
    <font>
      <sz val="11"/>
      <color rgb="FF9C6500"/>
      <name val="Calibri"/>
      <charset val="0"/>
      <scheme val="minor"/>
    </font>
    <font>
      <sz val="11"/>
      <color theme="0"/>
      <name val="Calibri"/>
      <charset val="0"/>
      <scheme val="minor"/>
    </font>
    <font>
      <sz val="11"/>
      <color theme="1"/>
      <name val="Calibri"/>
      <charset val="0"/>
      <scheme val="minor"/>
    </font>
    <font>
      <sz val="11"/>
      <color indexed="9"/>
      <name val="Calibri"/>
      <charset val="134"/>
    </font>
    <font>
      <sz val="11"/>
      <color indexed="20"/>
      <name val="Calibri"/>
      <charset val="134"/>
    </font>
    <font>
      <sz val="11"/>
      <color indexed="17"/>
      <name val="Calibri"/>
      <charset val="134"/>
    </font>
    <font>
      <b/>
      <sz val="11"/>
      <color indexed="52"/>
      <name val="Calibri"/>
      <charset val="134"/>
    </font>
    <font>
      <b/>
      <sz val="11"/>
      <color indexed="9"/>
      <name val="Calibri"/>
      <charset val="134"/>
    </font>
    <font>
      <sz val="11"/>
      <color indexed="52"/>
      <name val="Calibri"/>
      <charset val="134"/>
    </font>
    <font>
      <sz val="11"/>
      <color indexed="62"/>
      <name val="Calibri"/>
      <charset val="134"/>
    </font>
    <font>
      <sz val="10"/>
      <name val="Times New Roman"/>
      <charset val="134"/>
    </font>
    <font>
      <i/>
      <sz val="11"/>
      <color indexed="23"/>
      <name val="Calibri"/>
      <charset val="134"/>
    </font>
    <font>
      <b/>
      <sz val="15"/>
      <color indexed="56"/>
      <name val="Calibri"/>
      <charset val="134"/>
    </font>
    <font>
      <b/>
      <sz val="13"/>
      <color indexed="56"/>
      <name val="Calibri"/>
      <charset val="134"/>
    </font>
    <font>
      <b/>
      <sz val="11"/>
      <color indexed="56"/>
      <name val="Calibri"/>
      <charset val="134"/>
    </font>
    <font>
      <u/>
      <sz val="10"/>
      <color theme="10"/>
      <name val="Times New Roman"/>
      <charset val="134"/>
    </font>
    <font>
      <sz val="10"/>
      <name val="Times New Roman"/>
      <charset val="204"/>
    </font>
    <font>
      <sz val="12"/>
      <name val="Verdana"/>
      <charset val="134"/>
    </font>
    <font>
      <sz val="11"/>
      <color indexed="60"/>
      <name val="Calibri"/>
      <charset val="134"/>
    </font>
    <font>
      <sz val="10"/>
      <name val="Verdana"/>
      <charset val="134"/>
    </font>
    <font>
      <sz val="10"/>
      <color rgb="FF000000"/>
      <name val="Times New Roman"/>
      <charset val="134"/>
    </font>
    <font>
      <sz val="11"/>
      <name val="Garamond"/>
      <charset val="134"/>
    </font>
    <font>
      <b/>
      <sz val="11"/>
      <color indexed="63"/>
      <name val="Calibri"/>
      <charset val="134"/>
    </font>
    <font>
      <sz val="11"/>
      <color indexed="10"/>
      <name val="Calibri"/>
      <charset val="134"/>
    </font>
    <font>
      <b/>
      <sz val="18"/>
      <color indexed="56"/>
      <name val="Cambria"/>
      <charset val="134"/>
    </font>
    <font>
      <b/>
      <sz val="11"/>
      <color indexed="8"/>
      <name val="Calibri"/>
      <charset val="134"/>
    </font>
    <font>
      <sz val="11"/>
      <color rgb="FF000000"/>
      <name val="Calibri"/>
      <charset val="134"/>
    </font>
    <font>
      <sz val="7"/>
      <name val="Times New Roman"/>
      <charset val="134"/>
    </font>
    <font>
      <i/>
      <sz val="12"/>
      <name val="Aptos"/>
      <charset val="134"/>
    </font>
    <font>
      <b/>
      <sz val="9"/>
      <name val="Segoe UI"/>
      <charset val="134"/>
    </font>
    <font>
      <sz val="9"/>
      <name val="Segoe UI"/>
      <charset val="134"/>
    </font>
  </fonts>
  <fills count="92">
    <fill>
      <patternFill patternType="none"/>
    </fill>
    <fill>
      <patternFill patternType="gray125"/>
    </fill>
    <fill>
      <patternFill patternType="solid">
        <fgColor theme="9" tint="-0.499984740745262"/>
        <bgColor indexed="64"/>
      </patternFill>
    </fill>
    <fill>
      <patternFill patternType="solid">
        <fgColor theme="8" tint="0.399975585192419"/>
        <bgColor indexed="64"/>
      </patternFill>
    </fill>
    <fill>
      <patternFill patternType="solid">
        <fgColor theme="8" tint="0.599993896298105"/>
        <bgColor indexed="64"/>
      </patternFill>
    </fill>
    <fill>
      <patternFill patternType="solid">
        <fgColor theme="9" tint="0.599993896298105"/>
        <bgColor indexed="64"/>
      </patternFill>
    </fill>
    <fill>
      <patternFill patternType="solid">
        <fgColor rgb="FFFFFFFF"/>
        <bgColor indexed="64"/>
      </patternFill>
    </fill>
    <fill>
      <patternFill patternType="solid">
        <fgColor theme="7" tint="0.799981688894314"/>
        <bgColor indexed="64"/>
      </patternFill>
    </fill>
    <fill>
      <patternFill patternType="solid">
        <fgColor theme="9" tint="0.799981688894314"/>
        <bgColor indexed="64"/>
      </patternFill>
    </fill>
    <fill>
      <patternFill patternType="solid">
        <fgColor theme="7" tint="0.599993896298105"/>
        <bgColor indexed="64"/>
      </patternFill>
    </fill>
    <fill>
      <patternFill patternType="solid">
        <fgColor rgb="FF00B0F0"/>
        <bgColor indexed="64"/>
      </patternFill>
    </fill>
    <fill>
      <patternFill patternType="solid">
        <fgColor rgb="FF92D050"/>
        <bgColor indexed="64"/>
      </patternFill>
    </fill>
    <fill>
      <patternFill patternType="solid">
        <fgColor rgb="FFBFBFBF"/>
        <bgColor indexed="64"/>
      </patternFill>
    </fill>
    <fill>
      <patternFill patternType="solid">
        <fgColor theme="0"/>
        <bgColor indexed="64"/>
      </patternFill>
    </fill>
    <fill>
      <patternFill patternType="solid">
        <fgColor theme="8" tint="0.799981688894314"/>
        <bgColor indexed="64"/>
      </patternFill>
    </fill>
    <fill>
      <patternFill patternType="solid">
        <fgColor rgb="FFFFC000"/>
        <bgColor indexed="64"/>
      </patternFill>
    </fill>
    <fill>
      <patternFill patternType="solid">
        <fgColor rgb="FFFFFF00"/>
        <bgColor indexed="64"/>
      </patternFill>
    </fill>
    <fill>
      <patternFill patternType="solid">
        <fgColor theme="6" tint="0.599993896298105"/>
        <bgColor indexed="64"/>
      </patternFill>
    </fill>
    <fill>
      <patternFill patternType="solid">
        <fgColor rgb="FF00B050"/>
        <bgColor indexed="64"/>
      </patternFill>
    </fill>
    <fill>
      <patternFill patternType="solid">
        <fgColor rgb="FFFF99FF"/>
        <bgColor indexed="64"/>
      </patternFill>
    </fill>
    <fill>
      <patternFill patternType="solid">
        <fgColor rgb="FFFF0000"/>
        <bgColor indexed="64"/>
      </patternFill>
    </fill>
    <fill>
      <patternFill patternType="solid">
        <fgColor rgb="FF7030A0"/>
        <bgColor indexed="64"/>
      </patternFill>
    </fill>
    <fill>
      <patternFill patternType="solid">
        <fgColor rgb="FF99CCFF"/>
        <bgColor indexed="64"/>
      </patternFill>
    </fill>
    <fill>
      <patternFill patternType="solid">
        <fgColor theme="5" tint="0.799981688894314"/>
        <bgColor indexed="64"/>
      </patternFill>
    </fill>
    <fill>
      <patternFill patternType="solid">
        <fgColor rgb="FFE6D5F3"/>
        <bgColor indexed="64"/>
      </patternFill>
    </fill>
    <fill>
      <patternFill patternType="solid">
        <fgColor theme="7" tint="-0.249977111117893"/>
        <bgColor indexed="64"/>
      </patternFill>
    </fill>
    <fill>
      <patternFill patternType="solid">
        <fgColor theme="0" tint="-0.499984740745262"/>
        <bgColor indexed="64"/>
      </patternFill>
    </fill>
    <fill>
      <patternFill patternType="solid">
        <fgColor rgb="FF00FF00"/>
        <bgColor indexed="64"/>
      </patternFill>
    </fill>
    <fill>
      <patternFill patternType="solid">
        <fgColor rgb="FFCCCCFF"/>
        <bgColor indexed="64"/>
      </patternFill>
    </fill>
    <fill>
      <patternFill patternType="solid">
        <fgColor theme="5" tint="0.599993896298105"/>
        <bgColor indexed="64"/>
      </patternFill>
    </fill>
    <fill>
      <patternFill patternType="solid">
        <fgColor theme="5" tint="0.599871822260201"/>
        <bgColor rgb="FFFFCC99"/>
      </patternFill>
    </fill>
    <fill>
      <patternFill patternType="solid">
        <fgColor rgb="FF002060"/>
        <bgColor indexed="64"/>
      </patternFill>
    </fill>
    <fill>
      <patternFill patternType="solid">
        <fgColor theme="9" tint="0.399975585192419"/>
        <bgColor indexed="64"/>
      </patternFill>
    </fill>
    <fill>
      <patternFill patternType="solid">
        <fgColor theme="7" tint="0.399975585192419"/>
        <bgColor indexed="64"/>
      </patternFill>
    </fill>
    <fill>
      <patternFill patternType="solid">
        <fgColor theme="9" tint="-0.249977111117893"/>
        <bgColor indexed="64"/>
      </patternFill>
    </fill>
    <fill>
      <patternFill patternType="solid">
        <fgColor rgb="FFFFF2CC"/>
        <bgColor indexed="64"/>
      </patternFill>
    </fill>
    <fill>
      <patternFill patternType="solid">
        <fgColor theme="6" tint="0.799981688894314"/>
        <bgColor indexed="64"/>
      </patternFill>
    </fill>
    <fill>
      <patternFill patternType="solid">
        <fgColor theme="4" tint="-0.499984740745262"/>
        <bgColor indexed="64"/>
      </patternFill>
    </fill>
    <fill>
      <patternFill patternType="solid">
        <fgColor theme="4" tint="0.399975585192419"/>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indexed="31"/>
        <bgColor indexed="64"/>
      </patternFill>
    </fill>
    <fill>
      <patternFill patternType="solid">
        <fgColor indexed="45"/>
        <bgColor indexed="64"/>
      </patternFill>
    </fill>
    <fill>
      <patternFill patternType="solid">
        <fgColor indexed="42"/>
        <bgColor indexed="64"/>
      </patternFill>
    </fill>
    <fill>
      <patternFill patternType="solid">
        <fgColor indexed="46"/>
        <bgColor indexed="64"/>
      </patternFill>
    </fill>
    <fill>
      <patternFill patternType="solid">
        <fgColor indexed="27"/>
        <bgColor indexed="64"/>
      </patternFill>
    </fill>
    <fill>
      <patternFill patternType="solid">
        <fgColor indexed="47"/>
        <bgColor indexed="64"/>
      </patternFill>
    </fill>
    <fill>
      <patternFill patternType="solid">
        <fgColor indexed="44"/>
        <bgColor indexed="64"/>
      </patternFill>
    </fill>
    <fill>
      <patternFill patternType="solid">
        <fgColor indexed="29"/>
        <bgColor indexed="64"/>
      </patternFill>
    </fill>
    <fill>
      <patternFill patternType="solid">
        <fgColor indexed="11"/>
        <bgColor indexed="64"/>
      </patternFill>
    </fill>
    <fill>
      <patternFill patternType="solid">
        <fgColor indexed="51"/>
        <bgColor indexed="64"/>
      </patternFill>
    </fill>
    <fill>
      <patternFill patternType="solid">
        <fgColor indexed="30"/>
        <bgColor indexed="64"/>
      </patternFill>
    </fill>
    <fill>
      <patternFill patternType="solid">
        <fgColor indexed="36"/>
        <bgColor indexed="64"/>
      </patternFill>
    </fill>
    <fill>
      <patternFill patternType="solid">
        <fgColor indexed="49"/>
        <bgColor indexed="64"/>
      </patternFill>
    </fill>
    <fill>
      <patternFill patternType="solid">
        <fgColor indexed="52"/>
        <bgColor indexed="64"/>
      </patternFill>
    </fill>
    <fill>
      <patternFill patternType="solid">
        <fgColor indexed="62"/>
        <bgColor indexed="64"/>
      </patternFill>
    </fill>
    <fill>
      <patternFill patternType="solid">
        <fgColor indexed="10"/>
        <bgColor indexed="64"/>
      </patternFill>
    </fill>
    <fill>
      <patternFill patternType="solid">
        <fgColor indexed="57"/>
        <bgColor indexed="64"/>
      </patternFill>
    </fill>
    <fill>
      <patternFill patternType="solid">
        <fgColor indexed="53"/>
        <bgColor indexed="64"/>
      </patternFill>
    </fill>
    <fill>
      <patternFill patternType="solid">
        <fgColor indexed="22"/>
        <bgColor indexed="64"/>
      </patternFill>
    </fill>
    <fill>
      <patternFill patternType="solid">
        <fgColor indexed="55"/>
        <bgColor indexed="64"/>
      </patternFill>
    </fill>
    <fill>
      <patternFill patternType="solid">
        <fgColor indexed="43"/>
        <bgColor indexed="64"/>
      </patternFill>
    </fill>
    <fill>
      <patternFill patternType="solid">
        <fgColor indexed="26"/>
        <bgColor indexed="64"/>
      </patternFill>
    </fill>
  </fills>
  <borders count="89">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rgb="FF000000"/>
      </left>
      <right style="thin">
        <color rgb="FF000000"/>
      </right>
      <top/>
      <bottom style="thin">
        <color rgb="FF000000"/>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style="thin">
        <color auto="1"/>
      </bottom>
      <diagonal/>
    </border>
    <border>
      <left/>
      <right/>
      <top style="thin">
        <color auto="1"/>
      </top>
      <bottom style="thin">
        <color auto="1"/>
      </bottom>
      <diagonal/>
    </border>
    <border>
      <left/>
      <right style="medium">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medium">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style="thin">
        <color auto="1"/>
      </top>
      <bottom style="medium">
        <color auto="1"/>
      </bottom>
      <diagonal/>
    </border>
    <border>
      <left style="thin">
        <color indexed="22"/>
      </left>
      <right style="thin">
        <color indexed="22"/>
      </right>
      <top style="thin">
        <color indexed="22"/>
      </top>
      <bottom style="thin">
        <color indexed="22"/>
      </bottom>
      <diagonal/>
    </border>
    <border>
      <left style="medium">
        <color auto="1"/>
      </left>
      <right style="thin">
        <color indexed="22"/>
      </right>
      <top style="thin">
        <color indexed="22"/>
      </top>
      <bottom style="thin">
        <color indexed="22"/>
      </bottom>
      <diagonal/>
    </border>
    <border>
      <left style="thin">
        <color indexed="22"/>
      </left>
      <right style="medium">
        <color auto="1"/>
      </right>
      <top style="thin">
        <color indexed="22"/>
      </top>
      <bottom style="thin">
        <color indexed="22"/>
      </bottom>
      <diagonal/>
    </border>
    <border>
      <left style="medium">
        <color auto="1"/>
      </left>
      <right/>
      <top style="thin">
        <color indexed="22"/>
      </top>
      <bottom style="thin">
        <color indexed="22"/>
      </bottom>
      <diagonal/>
    </border>
    <border>
      <left/>
      <right/>
      <top style="thin">
        <color indexed="22"/>
      </top>
      <bottom style="thin">
        <color indexed="22"/>
      </bottom>
      <diagonal/>
    </border>
    <border>
      <left/>
      <right style="medium">
        <color auto="1"/>
      </right>
      <top style="thin">
        <color indexed="22"/>
      </top>
      <bottom style="thin">
        <color indexed="22"/>
      </bottom>
      <diagonal/>
    </border>
    <border>
      <left style="medium">
        <color auto="1"/>
      </left>
      <right style="thin">
        <color indexed="22"/>
      </right>
      <top/>
      <bottom style="thin">
        <color indexed="22"/>
      </bottom>
      <diagonal/>
    </border>
    <border>
      <left style="thin">
        <color indexed="22"/>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style="medium">
        <color auto="1"/>
      </right>
      <top/>
      <bottom style="thin">
        <color indexed="22"/>
      </bottom>
      <diagonal/>
    </border>
    <border>
      <left/>
      <right style="thin">
        <color indexed="22"/>
      </right>
      <top style="thin">
        <color indexed="22"/>
      </top>
      <bottom style="thin">
        <color indexed="22"/>
      </bottom>
      <diagonal/>
    </border>
    <border>
      <left style="medium">
        <color auto="1"/>
      </left>
      <right/>
      <top/>
      <bottom/>
      <diagonal/>
    </border>
    <border>
      <left/>
      <right style="medium">
        <color auto="1"/>
      </right>
      <top/>
      <bottom/>
      <diagonal/>
    </border>
    <border>
      <left style="medium">
        <color auto="1"/>
      </left>
      <right/>
      <top style="thin">
        <color indexed="22"/>
      </top>
      <bottom style="medium">
        <color auto="1"/>
      </bottom>
      <diagonal/>
    </border>
    <border>
      <left/>
      <right/>
      <top style="thin">
        <color indexed="22"/>
      </top>
      <bottom style="medium">
        <color auto="1"/>
      </bottom>
      <diagonal/>
    </border>
    <border>
      <left/>
      <right style="thin">
        <color indexed="22"/>
      </right>
      <top style="thin">
        <color indexed="22"/>
      </top>
      <bottom style="medium">
        <color auto="1"/>
      </bottom>
      <diagonal/>
    </border>
    <border>
      <left style="thin">
        <color indexed="22"/>
      </left>
      <right/>
      <top style="thin">
        <color indexed="22"/>
      </top>
      <bottom style="medium">
        <color auto="1"/>
      </bottom>
      <diagonal/>
    </border>
    <border>
      <left/>
      <right style="medium">
        <color auto="1"/>
      </right>
      <top style="thin">
        <color indexed="22"/>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bottom style="medium">
        <color auto="1"/>
      </bottom>
      <diagonal/>
    </border>
    <border>
      <left style="medium">
        <color auto="1"/>
      </left>
      <right style="thin">
        <color auto="1"/>
      </right>
      <top style="medium">
        <color auto="1"/>
      </top>
      <bottom/>
      <diagonal/>
    </border>
    <border>
      <left style="thin">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hair">
        <color auto="1"/>
      </left>
      <right style="hair">
        <color auto="1"/>
      </right>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483">
    <xf numFmtId="0" fontId="0" fillId="0" borderId="0"/>
    <xf numFmtId="176" fontId="7" fillId="0" borderId="0" applyFont="0" applyFill="0" applyBorder="0" applyAlignment="0" applyProtection="0"/>
    <xf numFmtId="177" fontId="7" fillId="0" borderId="0" applyFont="0" applyFill="0" applyBorder="0" applyAlignment="0" applyProtection="0"/>
    <xf numFmtId="9" fontId="7" fillId="0" borderId="0" applyFont="0" applyFill="0" applyBorder="0" applyAlignment="0" applyProtection="0"/>
    <xf numFmtId="178" fontId="72" fillId="0" borderId="0" applyFont="0" applyFill="0" applyBorder="0" applyAlignment="0" applyProtection="0">
      <alignment vertical="center"/>
    </xf>
    <xf numFmtId="179" fontId="72" fillId="0" borderId="0" applyFont="0" applyFill="0" applyBorder="0" applyAlignment="0" applyProtection="0">
      <alignment vertical="center"/>
    </xf>
    <xf numFmtId="0" fontId="59" fillId="0" borderId="0" applyNumberFormat="0" applyFill="0" applyBorder="0" applyAlignment="0" applyProtection="0"/>
    <xf numFmtId="0" fontId="73" fillId="0" borderId="0" applyNumberFormat="0" applyFill="0" applyBorder="0" applyAlignment="0" applyProtection="0">
      <alignment vertical="center"/>
    </xf>
    <xf numFmtId="0" fontId="72" fillId="39" borderId="73" applyNumberFormat="0" applyFont="0" applyAlignment="0" applyProtection="0">
      <alignment vertical="center"/>
    </xf>
    <xf numFmtId="0" fontId="74" fillId="0" borderId="0" applyNumberFormat="0" applyFill="0" applyBorder="0" applyAlignment="0" applyProtection="0">
      <alignment vertical="center"/>
    </xf>
    <xf numFmtId="0" fontId="75"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7" fillId="0" borderId="74" applyNumberFormat="0" applyFill="0" applyAlignment="0" applyProtection="0">
      <alignment vertical="center"/>
    </xf>
    <xf numFmtId="0" fontId="78" fillId="0" borderId="74" applyNumberFormat="0" applyFill="0" applyAlignment="0" applyProtection="0">
      <alignment vertical="center"/>
    </xf>
    <xf numFmtId="0" fontId="79" fillId="0" borderId="75" applyNumberFormat="0" applyFill="0" applyAlignment="0" applyProtection="0">
      <alignment vertical="center"/>
    </xf>
    <xf numFmtId="0" fontId="79" fillId="0" borderId="0" applyNumberFormat="0" applyFill="0" applyBorder="0" applyAlignment="0" applyProtection="0">
      <alignment vertical="center"/>
    </xf>
    <xf numFmtId="0" fontId="80" fillId="40" borderId="76" applyNumberFormat="0" applyAlignment="0" applyProtection="0">
      <alignment vertical="center"/>
    </xf>
    <xf numFmtId="0" fontId="81" fillId="41" borderId="77" applyNumberFormat="0" applyAlignment="0" applyProtection="0">
      <alignment vertical="center"/>
    </xf>
    <xf numFmtId="0" fontId="82" fillId="41" borderId="76" applyNumberFormat="0" applyAlignment="0" applyProtection="0">
      <alignment vertical="center"/>
    </xf>
    <xf numFmtId="0" fontId="83" fillId="42" borderId="78" applyNumberFormat="0" applyAlignment="0" applyProtection="0">
      <alignment vertical="center"/>
    </xf>
    <xf numFmtId="0" fontId="84" fillId="0" borderId="79" applyNumberFormat="0" applyFill="0" applyAlignment="0" applyProtection="0">
      <alignment vertical="center"/>
    </xf>
    <xf numFmtId="0" fontId="85" fillId="0" borderId="80" applyNumberFormat="0" applyFill="0" applyAlignment="0" applyProtection="0">
      <alignment vertical="center"/>
    </xf>
    <xf numFmtId="0" fontId="86" fillId="43" borderId="0" applyNumberFormat="0" applyBorder="0" applyAlignment="0" applyProtection="0">
      <alignment vertical="center"/>
    </xf>
    <xf numFmtId="0" fontId="87" fillId="44" borderId="0" applyNumberFormat="0" applyBorder="0" applyAlignment="0" applyProtection="0">
      <alignment vertical="center"/>
    </xf>
    <xf numFmtId="0" fontId="88" fillId="45" borderId="0" applyNumberFormat="0" applyBorder="0" applyAlignment="0" applyProtection="0">
      <alignment vertical="center"/>
    </xf>
    <xf numFmtId="0" fontId="89" fillId="46" borderId="0" applyNumberFormat="0" applyBorder="0" applyAlignment="0" applyProtection="0">
      <alignment vertical="center"/>
    </xf>
    <xf numFmtId="0" fontId="90" fillId="47" borderId="0" applyNumberFormat="0" applyBorder="0" applyAlignment="0" applyProtection="0">
      <alignment vertical="center"/>
    </xf>
    <xf numFmtId="0" fontId="90" fillId="48" borderId="0" applyNumberFormat="0" applyBorder="0" applyAlignment="0" applyProtection="0">
      <alignment vertical="center"/>
    </xf>
    <xf numFmtId="0" fontId="89" fillId="49" borderId="0" applyNumberFormat="0" applyBorder="0" applyAlignment="0" applyProtection="0">
      <alignment vertical="center"/>
    </xf>
    <xf numFmtId="0" fontId="89" fillId="50" borderId="0" applyNumberFormat="0" applyBorder="0" applyAlignment="0" applyProtection="0">
      <alignment vertical="center"/>
    </xf>
    <xf numFmtId="0" fontId="90" fillId="51" borderId="0" applyNumberFormat="0" applyBorder="0" applyAlignment="0" applyProtection="0">
      <alignment vertical="center"/>
    </xf>
    <xf numFmtId="0" fontId="90" fillId="52" borderId="0" applyNumberFormat="0" applyBorder="0" applyAlignment="0" applyProtection="0">
      <alignment vertical="center"/>
    </xf>
    <xf numFmtId="0" fontId="89" fillId="53" borderId="0" applyNumberFormat="0" applyBorder="0" applyAlignment="0" applyProtection="0">
      <alignment vertical="center"/>
    </xf>
    <xf numFmtId="0" fontId="89" fillId="54" borderId="0" applyNumberFormat="0" applyBorder="0" applyAlignment="0" applyProtection="0">
      <alignment vertical="center"/>
    </xf>
    <xf numFmtId="0" fontId="90" fillId="55" borderId="0" applyNumberFormat="0" applyBorder="0" applyAlignment="0" applyProtection="0">
      <alignment vertical="center"/>
    </xf>
    <xf numFmtId="0" fontId="90" fillId="56" borderId="0" applyNumberFormat="0" applyBorder="0" applyAlignment="0" applyProtection="0">
      <alignment vertical="center"/>
    </xf>
    <xf numFmtId="0" fontId="89" fillId="57" borderId="0" applyNumberFormat="0" applyBorder="0" applyAlignment="0" applyProtection="0">
      <alignment vertical="center"/>
    </xf>
    <xf numFmtId="0" fontId="89" fillId="58" borderId="0" applyNumberFormat="0" applyBorder="0" applyAlignment="0" applyProtection="0">
      <alignment vertical="center"/>
    </xf>
    <xf numFmtId="0" fontId="90" fillId="59" borderId="0" applyNumberFormat="0" applyBorder="0" applyAlignment="0" applyProtection="0">
      <alignment vertical="center"/>
    </xf>
    <xf numFmtId="0" fontId="90" fillId="60" borderId="0" applyNumberFormat="0" applyBorder="0" applyAlignment="0" applyProtection="0">
      <alignment vertical="center"/>
    </xf>
    <xf numFmtId="0" fontId="89" fillId="61" borderId="0" applyNumberFormat="0" applyBorder="0" applyAlignment="0" applyProtection="0">
      <alignment vertical="center"/>
    </xf>
    <xf numFmtId="0" fontId="89" fillId="62" borderId="0" applyNumberFormat="0" applyBorder="0" applyAlignment="0" applyProtection="0">
      <alignment vertical="center"/>
    </xf>
    <xf numFmtId="0" fontId="90" fillId="63" borderId="0" applyNumberFormat="0" applyBorder="0" applyAlignment="0" applyProtection="0">
      <alignment vertical="center"/>
    </xf>
    <xf numFmtId="0" fontId="90" fillId="64" borderId="0" applyNumberFormat="0" applyBorder="0" applyAlignment="0" applyProtection="0">
      <alignment vertical="center"/>
    </xf>
    <xf numFmtId="0" fontId="89" fillId="65" borderId="0" applyNumberFormat="0" applyBorder="0" applyAlignment="0" applyProtection="0">
      <alignment vertical="center"/>
    </xf>
    <xf numFmtId="0" fontId="89" fillId="66" borderId="0" applyNumberFormat="0" applyBorder="0" applyAlignment="0" applyProtection="0">
      <alignment vertical="center"/>
    </xf>
    <xf numFmtId="0" fontId="90" fillId="67" borderId="0" applyNumberFormat="0" applyBorder="0" applyAlignment="0" applyProtection="0">
      <alignment vertical="center"/>
    </xf>
    <xf numFmtId="0" fontId="90" fillId="68" borderId="0" applyNumberFormat="0" applyBorder="0" applyAlignment="0" applyProtection="0">
      <alignment vertical="center"/>
    </xf>
    <xf numFmtId="0" fontId="89" fillId="69" borderId="0" applyNumberFormat="0" applyBorder="0" applyAlignment="0" applyProtection="0">
      <alignment vertical="center"/>
    </xf>
    <xf numFmtId="0" fontId="10" fillId="70" borderId="0" applyNumberFormat="0" applyBorder="0" applyAlignment="0" applyProtection="0"/>
    <xf numFmtId="0" fontId="10" fillId="71" borderId="0" applyNumberFormat="0" applyBorder="0" applyAlignment="0" applyProtection="0"/>
    <xf numFmtId="0" fontId="10" fillId="72" borderId="0" applyNumberFormat="0" applyBorder="0" applyAlignment="0" applyProtection="0"/>
    <xf numFmtId="0" fontId="10" fillId="73" borderId="0" applyNumberFormat="0" applyBorder="0" applyAlignment="0" applyProtection="0"/>
    <xf numFmtId="0" fontId="10" fillId="74" borderId="0" applyNumberFormat="0" applyBorder="0" applyAlignment="0" applyProtection="0"/>
    <xf numFmtId="0" fontId="10" fillId="75"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6" borderId="0" applyNumberFormat="0" applyBorder="0" applyAlignment="0" applyProtection="0"/>
    <xf numFmtId="0" fontId="10" fillId="77" borderId="0" applyNumberFormat="0" applyBorder="0" applyAlignment="0" applyProtection="0"/>
    <xf numFmtId="0" fontId="10" fillId="78" borderId="0" applyNumberFormat="0" applyBorder="0" applyAlignment="0" applyProtection="0"/>
    <xf numFmtId="0" fontId="10" fillId="73" borderId="0" applyNumberFormat="0" applyBorder="0" applyAlignment="0" applyProtection="0"/>
    <xf numFmtId="0" fontId="10" fillId="76" borderId="0" applyNumberFormat="0" applyBorder="0" applyAlignment="0" applyProtection="0"/>
    <xf numFmtId="0" fontId="10" fillId="79"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8" borderId="0" applyNumberFormat="0" applyBorder="0" applyAlignment="0" applyProtection="0"/>
    <xf numFmtId="0" fontId="10" fillId="78" borderId="0" applyNumberFormat="0" applyBorder="0" applyAlignment="0" applyProtection="0"/>
    <xf numFmtId="0" fontId="10" fillId="78" borderId="0" applyNumberFormat="0" applyBorder="0" applyAlignment="0" applyProtection="0"/>
    <xf numFmtId="0" fontId="10" fillId="78"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9" borderId="0" applyNumberFormat="0" applyBorder="0" applyAlignment="0" applyProtection="0"/>
    <xf numFmtId="0" fontId="10" fillId="79" borderId="0" applyNumberFormat="0" applyBorder="0" applyAlignment="0" applyProtection="0"/>
    <xf numFmtId="0" fontId="10" fillId="79" borderId="0" applyNumberFormat="0" applyBorder="0" applyAlignment="0" applyProtection="0"/>
    <xf numFmtId="0" fontId="10" fillId="79" borderId="0" applyNumberFormat="0" applyBorder="0" applyAlignment="0" applyProtection="0"/>
    <xf numFmtId="0" fontId="91" fillId="80" borderId="0" applyNumberFormat="0" applyBorder="0" applyAlignment="0" applyProtection="0"/>
    <xf numFmtId="0" fontId="91" fillId="77" borderId="0" applyNumberFormat="0" applyBorder="0" applyAlignment="0" applyProtection="0"/>
    <xf numFmtId="0" fontId="91" fillId="78" borderId="0" applyNumberFormat="0" applyBorder="0" applyAlignment="0" applyProtection="0"/>
    <xf numFmtId="0" fontId="91" fillId="81" borderId="0" applyNumberFormat="0" applyBorder="0" applyAlignment="0" applyProtection="0"/>
    <xf numFmtId="0" fontId="91" fillId="82" borderId="0" applyNumberFormat="0" applyBorder="0" applyAlignment="0" applyProtection="0"/>
    <xf numFmtId="0" fontId="91" fillId="83" borderId="0" applyNumberFormat="0" applyBorder="0" applyAlignment="0" applyProtection="0"/>
    <xf numFmtId="0" fontId="91" fillId="80" borderId="0" applyNumberFormat="0" applyBorder="0" applyAlignment="0" applyProtection="0"/>
    <xf numFmtId="0" fontId="91" fillId="80" borderId="0" applyNumberFormat="0" applyBorder="0" applyAlignment="0" applyProtection="0"/>
    <xf numFmtId="0" fontId="91" fillId="80" borderId="0" applyNumberFormat="0" applyBorder="0" applyAlignment="0" applyProtection="0"/>
    <xf numFmtId="0" fontId="91" fillId="80" borderId="0" applyNumberFormat="0" applyBorder="0" applyAlignment="0" applyProtection="0"/>
    <xf numFmtId="0" fontId="91" fillId="77" borderId="0" applyNumberFormat="0" applyBorder="0" applyAlignment="0" applyProtection="0"/>
    <xf numFmtId="0" fontId="91" fillId="77" borderId="0" applyNumberFormat="0" applyBorder="0" applyAlignment="0" applyProtection="0"/>
    <xf numFmtId="0" fontId="91" fillId="77" borderId="0" applyNumberFormat="0" applyBorder="0" applyAlignment="0" applyProtection="0"/>
    <xf numFmtId="0" fontId="91" fillId="77" borderId="0" applyNumberFormat="0" applyBorder="0" applyAlignment="0" applyProtection="0"/>
    <xf numFmtId="0" fontId="91" fillId="78" borderId="0" applyNumberFormat="0" applyBorder="0" applyAlignment="0" applyProtection="0"/>
    <xf numFmtId="0" fontId="91" fillId="78" borderId="0" applyNumberFormat="0" applyBorder="0" applyAlignment="0" applyProtection="0"/>
    <xf numFmtId="0" fontId="91" fillId="78" borderId="0" applyNumberFormat="0" applyBorder="0" applyAlignment="0" applyProtection="0"/>
    <xf numFmtId="0" fontId="91" fillId="78" borderId="0" applyNumberFormat="0" applyBorder="0" applyAlignment="0" applyProtection="0"/>
    <xf numFmtId="0" fontId="91" fillId="81" borderId="0" applyNumberFormat="0" applyBorder="0" applyAlignment="0" applyProtection="0"/>
    <xf numFmtId="0" fontId="91" fillId="81" borderId="0" applyNumberFormat="0" applyBorder="0" applyAlignment="0" applyProtection="0"/>
    <xf numFmtId="0" fontId="91" fillId="81" borderId="0" applyNumberFormat="0" applyBorder="0" applyAlignment="0" applyProtection="0"/>
    <xf numFmtId="0" fontId="91" fillId="81" borderId="0" applyNumberFormat="0" applyBorder="0" applyAlignment="0" applyProtection="0"/>
    <xf numFmtId="0" fontId="91" fillId="82" borderId="0" applyNumberFormat="0" applyBorder="0" applyAlignment="0" applyProtection="0"/>
    <xf numFmtId="0" fontId="91" fillId="82" borderId="0" applyNumberFormat="0" applyBorder="0" applyAlignment="0" applyProtection="0"/>
    <xf numFmtId="0" fontId="91" fillId="82" borderId="0" applyNumberFormat="0" applyBorder="0" applyAlignment="0" applyProtection="0"/>
    <xf numFmtId="0" fontId="91" fillId="82" borderId="0" applyNumberFormat="0" applyBorder="0" applyAlignment="0" applyProtection="0"/>
    <xf numFmtId="0" fontId="91" fillId="83" borderId="0" applyNumberFormat="0" applyBorder="0" applyAlignment="0" applyProtection="0"/>
    <xf numFmtId="0" fontId="91" fillId="83" borderId="0" applyNumberFormat="0" applyBorder="0" applyAlignment="0" applyProtection="0"/>
    <xf numFmtId="0" fontId="91" fillId="83" borderId="0" applyNumberFormat="0" applyBorder="0" applyAlignment="0" applyProtection="0"/>
    <xf numFmtId="0" fontId="91" fillId="83" borderId="0" applyNumberFormat="0" applyBorder="0" applyAlignment="0" applyProtection="0"/>
    <xf numFmtId="0" fontId="91" fillId="84" borderId="0" applyNumberFormat="0" applyBorder="0" applyAlignment="0" applyProtection="0"/>
    <xf numFmtId="0" fontId="91" fillId="85" borderId="0" applyNumberFormat="0" applyBorder="0" applyAlignment="0" applyProtection="0"/>
    <xf numFmtId="0" fontId="91" fillId="86" borderId="0" applyNumberFormat="0" applyBorder="0" applyAlignment="0" applyProtection="0"/>
    <xf numFmtId="0" fontId="91" fillId="81" borderId="0" applyNumberFormat="0" applyBorder="0" applyAlignment="0" applyProtection="0"/>
    <xf numFmtId="0" fontId="91" fillId="82" borderId="0" applyNumberFormat="0" applyBorder="0" applyAlignment="0" applyProtection="0"/>
    <xf numFmtId="0" fontId="91" fillId="87" borderId="0" applyNumberFormat="0" applyBorder="0" applyAlignment="0" applyProtection="0"/>
    <xf numFmtId="0" fontId="92" fillId="71" borderId="0" applyNumberFormat="0" applyBorder="0" applyAlignment="0" applyProtection="0"/>
    <xf numFmtId="0" fontId="93" fillId="72" borderId="0" applyNumberFormat="0" applyBorder="0" applyAlignment="0" applyProtection="0"/>
    <xf numFmtId="0" fontId="93" fillId="72" borderId="0" applyNumberFormat="0" applyBorder="0" applyAlignment="0" applyProtection="0"/>
    <xf numFmtId="0" fontId="93" fillId="72" borderId="0" applyNumberFormat="0" applyBorder="0" applyAlignment="0" applyProtection="0"/>
    <xf numFmtId="0" fontId="93" fillId="72" borderId="0" applyNumberFormat="0" applyBorder="0" applyAlignment="0" applyProtection="0"/>
    <xf numFmtId="0" fontId="94" fillId="88" borderId="81" applyNumberFormat="0" applyAlignment="0" applyProtection="0"/>
    <xf numFmtId="0" fontId="94" fillId="88" borderId="81" applyNumberFormat="0" applyAlignment="0" applyProtection="0"/>
    <xf numFmtId="0" fontId="94" fillId="88" borderId="81" applyNumberFormat="0" applyAlignment="0" applyProtection="0"/>
    <xf numFmtId="0" fontId="94" fillId="88" borderId="81" applyNumberFormat="0" applyAlignment="0" applyProtection="0"/>
    <xf numFmtId="0" fontId="94" fillId="88" borderId="81" applyNumberFormat="0" applyAlignment="0" applyProtection="0"/>
    <xf numFmtId="0" fontId="95" fillId="89" borderId="82" applyNumberFormat="0" applyAlignment="0" applyProtection="0"/>
    <xf numFmtId="0" fontId="95" fillId="89" borderId="82" applyNumberFormat="0" applyAlignment="0" applyProtection="0"/>
    <xf numFmtId="0" fontId="95" fillId="89" borderId="82" applyNumberFormat="0" applyAlignment="0" applyProtection="0"/>
    <xf numFmtId="0" fontId="95" fillId="89" borderId="82" applyNumberFormat="0" applyAlignment="0" applyProtection="0"/>
    <xf numFmtId="0" fontId="96" fillId="0" borderId="83" applyNumberFormat="0" applyFill="0" applyAlignment="0" applyProtection="0"/>
    <xf numFmtId="0" fontId="96" fillId="0" borderId="83" applyNumberFormat="0" applyFill="0" applyAlignment="0" applyProtection="0"/>
    <xf numFmtId="0" fontId="96" fillId="0" borderId="83" applyNumberFormat="0" applyFill="0" applyAlignment="0" applyProtection="0"/>
    <xf numFmtId="0" fontId="96" fillId="0" borderId="83" applyNumberFormat="0" applyFill="0" applyAlignment="0" applyProtection="0"/>
    <xf numFmtId="0" fontId="95" fillId="89" borderId="82" applyNumberFormat="0" applyAlignment="0" applyProtection="0"/>
    <xf numFmtId="0" fontId="91" fillId="84" borderId="0" applyNumberFormat="0" applyBorder="0" applyAlignment="0" applyProtection="0"/>
    <xf numFmtId="0" fontId="91" fillId="84" borderId="0" applyNumberFormat="0" applyBorder="0" applyAlignment="0" applyProtection="0"/>
    <xf numFmtId="0" fontId="91" fillId="84" borderId="0" applyNumberFormat="0" applyBorder="0" applyAlignment="0" applyProtection="0"/>
    <xf numFmtId="0" fontId="91" fillId="84" borderId="0" applyNumberFormat="0" applyBorder="0" applyAlignment="0" applyProtection="0"/>
    <xf numFmtId="0" fontId="91" fillId="85" borderId="0" applyNumberFormat="0" applyBorder="0" applyAlignment="0" applyProtection="0"/>
    <xf numFmtId="0" fontId="91" fillId="85" borderId="0" applyNumberFormat="0" applyBorder="0" applyAlignment="0" applyProtection="0"/>
    <xf numFmtId="0" fontId="91" fillId="85" borderId="0" applyNumberFormat="0" applyBorder="0" applyAlignment="0" applyProtection="0"/>
    <xf numFmtId="0" fontId="91" fillId="85" borderId="0" applyNumberFormat="0" applyBorder="0" applyAlignment="0" applyProtection="0"/>
    <xf numFmtId="0" fontId="91" fillId="86" borderId="0" applyNumberFormat="0" applyBorder="0" applyAlignment="0" applyProtection="0"/>
    <xf numFmtId="0" fontId="91" fillId="86" borderId="0" applyNumberFormat="0" applyBorder="0" applyAlignment="0" applyProtection="0"/>
    <xf numFmtId="0" fontId="91" fillId="86" borderId="0" applyNumberFormat="0" applyBorder="0" applyAlignment="0" applyProtection="0"/>
    <xf numFmtId="0" fontId="91" fillId="86" borderId="0" applyNumberFormat="0" applyBorder="0" applyAlignment="0" applyProtection="0"/>
    <xf numFmtId="0" fontId="91" fillId="81" borderId="0" applyNumberFormat="0" applyBorder="0" applyAlignment="0" applyProtection="0"/>
    <xf numFmtId="0" fontId="91" fillId="81" borderId="0" applyNumberFormat="0" applyBorder="0" applyAlignment="0" applyProtection="0"/>
    <xf numFmtId="0" fontId="91" fillId="81" borderId="0" applyNumberFormat="0" applyBorder="0" applyAlignment="0" applyProtection="0"/>
    <xf numFmtId="0" fontId="91" fillId="81" borderId="0" applyNumberFormat="0" applyBorder="0" applyAlignment="0" applyProtection="0"/>
    <xf numFmtId="0" fontId="91" fillId="82" borderId="0" applyNumberFormat="0" applyBorder="0" applyAlignment="0" applyProtection="0"/>
    <xf numFmtId="0" fontId="91" fillId="82" borderId="0" applyNumberFormat="0" applyBorder="0" applyAlignment="0" applyProtection="0"/>
    <xf numFmtId="0" fontId="91" fillId="82" borderId="0" applyNumberFormat="0" applyBorder="0" applyAlignment="0" applyProtection="0"/>
    <xf numFmtId="0" fontId="91" fillId="82" borderId="0" applyNumberFormat="0" applyBorder="0" applyAlignment="0" applyProtection="0"/>
    <xf numFmtId="0" fontId="91" fillId="87" borderId="0" applyNumberFormat="0" applyBorder="0" applyAlignment="0" applyProtection="0"/>
    <xf numFmtId="0" fontId="91" fillId="87" borderId="0" applyNumberFormat="0" applyBorder="0" applyAlignment="0" applyProtection="0"/>
    <xf numFmtId="0" fontId="91" fillId="87" borderId="0" applyNumberFormat="0" applyBorder="0" applyAlignment="0" applyProtection="0"/>
    <xf numFmtId="0" fontId="91" fillId="87" borderId="0" applyNumberFormat="0" applyBorder="0" applyAlignment="0" applyProtection="0"/>
    <xf numFmtId="0" fontId="97" fillId="75" borderId="81" applyNumberFormat="0" applyAlignment="0" applyProtection="0"/>
    <xf numFmtId="0" fontId="97" fillId="75" borderId="81" applyNumberFormat="0" applyAlignment="0" applyProtection="0"/>
    <xf numFmtId="0" fontId="97" fillId="75" borderId="81" applyNumberFormat="0" applyAlignment="0" applyProtection="0"/>
    <xf numFmtId="0" fontId="97" fillId="75" borderId="81" applyNumberFormat="0" applyAlignment="0" applyProtection="0"/>
    <xf numFmtId="180" fontId="98" fillId="0" borderId="0" applyFont="0" applyFill="0" applyBorder="0" applyAlignment="0" applyProtection="0"/>
    <xf numFmtId="0" fontId="99" fillId="0" borderId="0" applyNumberFormat="0" applyFill="0" applyBorder="0" applyAlignment="0" applyProtection="0"/>
    <xf numFmtId="0" fontId="93" fillId="72" borderId="0" applyNumberFormat="0" applyBorder="0" applyAlignment="0" applyProtection="0"/>
    <xf numFmtId="0" fontId="100" fillId="0" borderId="84" applyNumberFormat="0" applyFill="0" applyAlignment="0" applyProtection="0"/>
    <xf numFmtId="0" fontId="101" fillId="0" borderId="85" applyNumberFormat="0" applyFill="0" applyAlignment="0" applyProtection="0"/>
    <xf numFmtId="0" fontId="102" fillId="0" borderId="86" applyNumberFormat="0" applyFill="0" applyAlignment="0" applyProtection="0"/>
    <xf numFmtId="0" fontId="102" fillId="0" borderId="0" applyNumberFormat="0" applyFill="0" applyBorder="0" applyAlignment="0" applyProtection="0"/>
    <xf numFmtId="0" fontId="103" fillId="0" borderId="0" applyNumberFormat="0" applyFill="0" applyBorder="0" applyAlignment="0" applyProtection="0"/>
    <xf numFmtId="0" fontId="92" fillId="71" borderId="0" applyNumberFormat="0" applyBorder="0" applyAlignment="0" applyProtection="0"/>
    <xf numFmtId="0" fontId="92" fillId="71" borderId="0" applyNumberFormat="0" applyBorder="0" applyAlignment="0" applyProtection="0"/>
    <xf numFmtId="0" fontId="92" fillId="71" borderId="0" applyNumberFormat="0" applyBorder="0" applyAlignment="0" applyProtection="0"/>
    <xf numFmtId="0" fontId="97" fillId="75" borderId="81" applyNumberFormat="0" applyAlignment="0" applyProtection="0"/>
    <xf numFmtId="0" fontId="96" fillId="0" borderId="83" applyNumberFormat="0" applyFill="0" applyAlignment="0" applyProtection="0"/>
    <xf numFmtId="177" fontId="7" fillId="0" borderId="0" applyFont="0" applyFill="0" applyBorder="0" applyAlignment="0" applyProtection="0"/>
    <xf numFmtId="181" fontId="7" fillId="0" borderId="0" applyFont="0" applyFill="0" applyBorder="0" applyAlignment="0" applyProtection="0"/>
    <xf numFmtId="182" fontId="7" fillId="0" borderId="0" applyFont="0" applyFill="0" applyBorder="0" applyAlignment="0" applyProtection="0"/>
    <xf numFmtId="177" fontId="7" fillId="0" borderId="0" applyFont="0" applyFill="0" applyBorder="0" applyAlignment="0" applyProtection="0"/>
    <xf numFmtId="183" fontId="7" fillId="0" borderId="0" applyFont="0" applyFill="0" applyBorder="0" applyAlignment="0" applyProtection="0"/>
    <xf numFmtId="183" fontId="11" fillId="0" borderId="0" applyFont="0" applyFill="0" applyBorder="0" applyAlignment="0" applyProtection="0"/>
    <xf numFmtId="177" fontId="104" fillId="0" borderId="0" applyFont="0" applyFill="0" applyBorder="0" applyAlignment="0" applyProtection="0">
      <alignment vertical="top" wrapText="1"/>
    </xf>
    <xf numFmtId="0" fontId="105" fillId="0" borderId="0" applyFont="0" applyFill="0" applyBorder="0" applyAlignment="0" applyProtection="0"/>
    <xf numFmtId="183" fontId="7" fillId="0" borderId="0" applyFont="0" applyFill="0" applyBorder="0" applyAlignment="0" applyProtection="0"/>
    <xf numFmtId="0" fontId="106" fillId="90" borderId="0" applyNumberFormat="0" applyBorder="0" applyAlignment="0" applyProtection="0"/>
    <xf numFmtId="0" fontId="106" fillId="90" borderId="0" applyNumberFormat="0" applyBorder="0" applyAlignment="0" applyProtection="0"/>
    <xf numFmtId="0" fontId="106" fillId="90" borderId="0" applyNumberFormat="0" applyBorder="0" applyAlignment="0" applyProtection="0"/>
    <xf numFmtId="0" fontId="106" fillId="90" borderId="0" applyNumberFormat="0" applyBorder="0" applyAlignment="0" applyProtection="0"/>
    <xf numFmtId="0" fontId="107" fillId="0" borderId="0"/>
    <xf numFmtId="0" fontId="11" fillId="0" borderId="0"/>
    <xf numFmtId="0" fontId="11" fillId="0" borderId="0"/>
    <xf numFmtId="0" fontId="11" fillId="0" borderId="0"/>
    <xf numFmtId="0" fontId="7" fillId="0" borderId="0"/>
    <xf numFmtId="0" fontId="11" fillId="0" borderId="0"/>
    <xf numFmtId="0" fontId="10" fillId="0" borderId="0"/>
    <xf numFmtId="0" fontId="10" fillId="0" borderId="0"/>
    <xf numFmtId="0" fontId="10" fillId="0" borderId="0"/>
    <xf numFmtId="0" fontId="11" fillId="0" borderId="0"/>
    <xf numFmtId="0" fontId="7" fillId="0" borderId="0"/>
    <xf numFmtId="0" fontId="11" fillId="0" borderId="0"/>
    <xf numFmtId="0" fontId="11" fillId="0" borderId="0"/>
    <xf numFmtId="0" fontId="7" fillId="0" borderId="0"/>
    <xf numFmtId="0" fontId="7" fillId="0" borderId="0"/>
    <xf numFmtId="0" fontId="7" fillId="0" borderId="0"/>
    <xf numFmtId="0" fontId="104" fillId="0" borderId="0" applyNumberFormat="0" applyFill="0" applyBorder="0" applyProtection="0">
      <alignment vertical="top" wrapText="1"/>
    </xf>
    <xf numFmtId="0" fontId="10" fillId="0" borderId="0"/>
    <xf numFmtId="0" fontId="10" fillId="0" borderId="0"/>
    <xf numFmtId="0" fontId="10" fillId="0" borderId="0"/>
    <xf numFmtId="0" fontId="10" fillId="0" borderId="0"/>
    <xf numFmtId="0" fontId="7" fillId="0" borderId="0"/>
    <xf numFmtId="0" fontId="7" fillId="0" borderId="0"/>
    <xf numFmtId="0" fontId="7" fillId="0" borderId="0"/>
    <xf numFmtId="0" fontId="7" fillId="0" borderId="0"/>
    <xf numFmtId="0" fontId="7" fillId="0" borderId="0"/>
    <xf numFmtId="0" fontId="7" fillId="0" borderId="0"/>
    <xf numFmtId="0" fontId="10" fillId="0" borderId="0"/>
    <xf numFmtId="0" fontId="7" fillId="0" borderId="0"/>
    <xf numFmtId="0" fontId="7" fillId="0" borderId="0"/>
    <xf numFmtId="0" fontId="7" fillId="0" borderId="0"/>
    <xf numFmtId="0" fontId="10" fillId="0" borderId="0"/>
    <xf numFmtId="0" fontId="7" fillId="0" borderId="0"/>
    <xf numFmtId="0" fontId="7" fillId="0" borderId="0"/>
    <xf numFmtId="0" fontId="10" fillId="0" borderId="0"/>
    <xf numFmtId="0" fontId="10" fillId="0" borderId="0"/>
    <xf numFmtId="0" fontId="7" fillId="0" borderId="0"/>
    <xf numFmtId="0" fontId="10" fillId="0" borderId="0"/>
    <xf numFmtId="0" fontId="10" fillId="0" borderId="0"/>
    <xf numFmtId="0" fontId="10" fillId="0" borderId="0"/>
    <xf numFmtId="0" fontId="7" fillId="0" borderId="0"/>
    <xf numFmtId="0" fontId="7" fillId="0" borderId="0"/>
    <xf numFmtId="0" fontId="10"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0" fillId="0" borderId="0"/>
    <xf numFmtId="0" fontId="10" fillId="0" borderId="0"/>
    <xf numFmtId="0" fontId="7" fillId="0" borderId="0"/>
    <xf numFmtId="0" fontId="7" fillId="0" borderId="0"/>
    <xf numFmtId="0" fontId="10" fillId="0" borderId="0"/>
    <xf numFmtId="0" fontId="7" fillId="0" borderId="0"/>
    <xf numFmtId="0" fontId="7" fillId="0" borderId="0"/>
    <xf numFmtId="0" fontId="7" fillId="0" borderId="0"/>
    <xf numFmtId="0" fontId="11" fillId="0" borderId="0"/>
    <xf numFmtId="0" fontId="11" fillId="0" borderId="0"/>
    <xf numFmtId="0" fontId="11"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0" fillId="0" borderId="0"/>
    <xf numFmtId="0" fontId="7" fillId="0" borderId="0"/>
    <xf numFmtId="0" fontId="7" fillId="0" borderId="0"/>
    <xf numFmtId="0" fontId="7" fillId="0" borderId="0"/>
    <xf numFmtId="0" fontId="13" fillId="0" borderId="0"/>
    <xf numFmtId="0" fontId="7" fillId="0" borderId="0"/>
    <xf numFmtId="0" fontId="11" fillId="0" borderId="0"/>
    <xf numFmtId="0" fontId="11" fillId="0" borderId="0"/>
    <xf numFmtId="0" fontId="11" fillId="0" borderId="0"/>
    <xf numFmtId="0" fontId="11" fillId="0" borderId="0"/>
    <xf numFmtId="0" fontId="108" fillId="0" borderId="0"/>
    <xf numFmtId="0" fontId="11" fillId="0" borderId="0"/>
    <xf numFmtId="0" fontId="108" fillId="0" borderId="0"/>
    <xf numFmtId="0" fontId="7" fillId="0" borderId="0"/>
    <xf numFmtId="0" fontId="7" fillId="0" borderId="0"/>
    <xf numFmtId="0" fontId="7" fillId="0" borderId="0"/>
    <xf numFmtId="0" fontId="13" fillId="0" borderId="0"/>
    <xf numFmtId="0" fontId="10" fillId="0" borderId="0"/>
    <xf numFmtId="0" fontId="13" fillId="0" borderId="0"/>
    <xf numFmtId="0" fontId="10" fillId="0" borderId="0"/>
    <xf numFmtId="0" fontId="7" fillId="0" borderId="0"/>
    <xf numFmtId="0" fontId="7"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5" fillId="0" borderId="0"/>
    <xf numFmtId="0" fontId="7" fillId="0" borderId="0"/>
    <xf numFmtId="0" fontId="109" fillId="91" borderId="35" applyNumberFormat="0" applyFont="0" applyAlignment="0" applyProtection="0"/>
    <xf numFmtId="0" fontId="109" fillId="91" borderId="35" applyNumberFormat="0" applyFont="0" applyAlignment="0" applyProtection="0"/>
    <xf numFmtId="0" fontId="109" fillId="91" borderId="35" applyNumberFormat="0" applyFont="0" applyAlignment="0" applyProtection="0"/>
    <xf numFmtId="0" fontId="7" fillId="91" borderId="35" applyNumberFormat="0" applyFont="0" applyAlignment="0" applyProtection="0"/>
    <xf numFmtId="0" fontId="7" fillId="91" borderId="35" applyNumberFormat="0" applyFont="0" applyAlignment="0" applyProtection="0"/>
    <xf numFmtId="0" fontId="110" fillId="88" borderId="87" applyNumberFormat="0" applyAlignment="0" applyProtection="0"/>
    <xf numFmtId="9" fontId="11" fillId="0" borderId="0" applyFont="0" applyFill="0" applyBorder="0" applyAlignment="0" applyProtection="0"/>
    <xf numFmtId="9" fontId="11" fillId="0" borderId="0" applyFont="0" applyFill="0" applyBorder="0" applyAlignment="0" applyProtection="0"/>
    <xf numFmtId="9" fontId="108" fillId="0" borderId="0" applyFont="0" applyFill="0" applyBorder="0" applyAlignment="0" applyProtection="0"/>
    <xf numFmtId="9" fontId="13"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10"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11" fillId="0" borderId="0" applyFont="0" applyFill="0" applyBorder="0" applyAlignment="0" applyProtection="0"/>
    <xf numFmtId="9" fontId="7" fillId="0" borderId="0" applyBorder="0" applyAlignment="0" applyProtection="0"/>
    <xf numFmtId="9" fontId="11" fillId="0" borderId="0" applyFont="0" applyFill="0" applyBorder="0" applyAlignment="0" applyProtection="0"/>
    <xf numFmtId="0" fontId="110" fillId="88" borderId="87" applyNumberFormat="0" applyAlignment="0" applyProtection="0"/>
    <xf numFmtId="0" fontId="110" fillId="88" borderId="87" applyNumberFormat="0" applyAlignment="0" applyProtection="0"/>
    <xf numFmtId="0" fontId="110" fillId="88" borderId="87" applyNumberFormat="0" applyAlignment="0" applyProtection="0"/>
    <xf numFmtId="0" fontId="110" fillId="88" borderId="87" applyNumberFormat="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10"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10"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84"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10"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85" fontId="7" fillId="0" borderId="0" applyFont="0" applyFill="0" applyBorder="0" applyAlignment="0" applyProtection="0"/>
    <xf numFmtId="185"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0" fontId="111" fillId="0" borderId="0" applyNumberFormat="0" applyFill="0" applyBorder="0" applyAlignment="0" applyProtection="0"/>
    <xf numFmtId="0" fontId="111" fillId="0" borderId="0" applyNumberFormat="0" applyFill="0" applyBorder="0" applyAlignment="0" applyProtection="0"/>
    <xf numFmtId="0" fontId="111" fillId="0" borderId="0" applyNumberFormat="0" applyFill="0" applyBorder="0" applyAlignment="0" applyProtection="0"/>
    <xf numFmtId="0" fontId="111" fillId="0" borderId="0" applyNumberFormat="0" applyFill="0" applyBorder="0" applyAlignment="0" applyProtection="0"/>
    <xf numFmtId="0" fontId="99" fillId="0" borderId="0" applyNumberFormat="0" applyFill="0" applyBorder="0" applyAlignment="0" applyProtection="0"/>
    <xf numFmtId="0" fontId="99" fillId="0" borderId="0" applyNumberFormat="0" applyFill="0" applyBorder="0" applyAlignment="0" applyProtection="0"/>
    <xf numFmtId="0" fontId="99" fillId="0" borderId="0" applyNumberFormat="0" applyFill="0" applyBorder="0" applyAlignment="0" applyProtection="0"/>
    <xf numFmtId="0" fontId="99" fillId="0" borderId="0" applyNumberFormat="0" applyFill="0" applyBorder="0" applyAlignment="0" applyProtection="0"/>
    <xf numFmtId="0" fontId="112" fillId="0" borderId="0" applyNumberFormat="0" applyFill="0" applyBorder="0" applyAlignment="0" applyProtection="0"/>
    <xf numFmtId="0" fontId="100" fillId="0" borderId="84" applyNumberFormat="0" applyFill="0" applyAlignment="0" applyProtection="0"/>
    <xf numFmtId="0" fontId="100" fillId="0" borderId="84" applyNumberFormat="0" applyFill="0" applyAlignment="0" applyProtection="0"/>
    <xf numFmtId="0" fontId="100" fillId="0" borderId="84" applyNumberFormat="0" applyFill="0" applyAlignment="0" applyProtection="0"/>
    <xf numFmtId="0" fontId="100" fillId="0" borderId="84" applyNumberFormat="0" applyFill="0" applyAlignment="0" applyProtection="0"/>
    <xf numFmtId="0" fontId="101" fillId="0" borderId="85" applyNumberFormat="0" applyFill="0" applyAlignment="0" applyProtection="0"/>
    <xf numFmtId="0" fontId="101" fillId="0" borderId="85" applyNumberFormat="0" applyFill="0" applyAlignment="0" applyProtection="0"/>
    <xf numFmtId="0" fontId="101" fillId="0" borderId="85" applyNumberFormat="0" applyFill="0" applyAlignment="0" applyProtection="0"/>
    <xf numFmtId="0" fontId="101" fillId="0" borderId="85" applyNumberFormat="0" applyFill="0" applyAlignment="0" applyProtection="0"/>
    <xf numFmtId="0" fontId="102" fillId="0" borderId="86" applyNumberFormat="0" applyFill="0" applyAlignment="0" applyProtection="0"/>
    <xf numFmtId="0" fontId="102" fillId="0" borderId="86" applyNumberFormat="0" applyFill="0" applyAlignment="0" applyProtection="0"/>
    <xf numFmtId="0" fontId="102" fillId="0" borderId="86" applyNumberFormat="0" applyFill="0" applyAlignment="0" applyProtection="0"/>
    <xf numFmtId="0" fontId="102" fillId="0" borderId="86" applyNumberFormat="0" applyFill="0" applyAlignment="0" applyProtection="0"/>
    <xf numFmtId="0" fontId="102" fillId="0" borderId="0" applyNumberFormat="0" applyFill="0" applyBorder="0" applyAlignment="0" applyProtection="0"/>
    <xf numFmtId="0" fontId="102" fillId="0" borderId="0" applyNumberFormat="0" applyFill="0" applyBorder="0" applyAlignment="0" applyProtection="0"/>
    <xf numFmtId="0" fontId="102" fillId="0" borderId="0" applyNumberFormat="0" applyFill="0" applyBorder="0" applyAlignment="0" applyProtection="0"/>
    <xf numFmtId="0" fontId="10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3" fillId="0" borderId="88" applyNumberFormat="0" applyFill="0" applyAlignment="0" applyProtection="0"/>
    <xf numFmtId="0" fontId="113" fillId="0" borderId="88" applyNumberFormat="0" applyFill="0" applyAlignment="0" applyProtection="0"/>
    <xf numFmtId="0" fontId="113" fillId="0" borderId="88" applyNumberFormat="0" applyFill="0" applyAlignment="0" applyProtection="0"/>
    <xf numFmtId="0" fontId="113" fillId="0" borderId="88" applyNumberFormat="0" applyFill="0" applyAlignment="0" applyProtection="0"/>
    <xf numFmtId="176" fontId="11" fillId="0" borderId="0" applyFont="0" applyFill="0" applyBorder="0" applyAlignment="0" applyProtection="0"/>
    <xf numFmtId="176" fontId="7" fillId="0" borderId="0" applyFont="0" applyFill="0" applyBorder="0" applyAlignment="0" applyProtection="0"/>
    <xf numFmtId="186" fontId="11" fillId="0" borderId="0" applyFont="0" applyFill="0" applyBorder="0" applyAlignment="0" applyProtection="0"/>
    <xf numFmtId="186" fontId="13" fillId="0" borderId="0" applyFont="0" applyFill="0" applyBorder="0" applyAlignment="0" applyProtection="0"/>
    <xf numFmtId="186" fontId="11" fillId="0" borderId="0" applyFont="0" applyFill="0" applyBorder="0" applyAlignment="0" applyProtection="0"/>
    <xf numFmtId="186" fontId="108"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87" fontId="114" fillId="0" borderId="0"/>
    <xf numFmtId="186" fontId="13" fillId="0" borderId="0" applyFont="0" applyFill="0" applyBorder="0" applyAlignment="0" applyProtection="0"/>
    <xf numFmtId="186" fontId="13"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88" fontId="7" fillId="0" borderId="0" applyBorder="0" applyAlignment="0" applyProtection="0"/>
    <xf numFmtId="176" fontId="7" fillId="0" borderId="0" applyFont="0" applyFill="0" applyBorder="0" applyAlignment="0" applyProtection="0"/>
    <xf numFmtId="176" fontId="7" fillId="0" borderId="0" applyFont="0" applyFill="0" applyBorder="0" applyAlignment="0" applyProtection="0"/>
    <xf numFmtId="188" fontId="7" fillId="0" borderId="0" applyBorder="0" applyAlignment="0" applyProtection="0"/>
    <xf numFmtId="176" fontId="11"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176" fontId="7" fillId="0" borderId="0" applyFont="0" applyFill="0" applyBorder="0" applyAlignment="0" applyProtection="0"/>
    <xf numFmtId="0" fontId="111" fillId="0" borderId="0" applyNumberFormat="0" applyFill="0" applyBorder="0" applyAlignment="0" applyProtection="0"/>
  </cellStyleXfs>
  <cellXfs count="907">
    <xf numFmtId="0" fontId="0" fillId="0" borderId="0" xfId="0"/>
    <xf numFmtId="0" fontId="0" fillId="0" borderId="0" xfId="0" applyAlignment="1" applyProtection="1">
      <alignment vertical="center"/>
    </xf>
    <xf numFmtId="0" fontId="0" fillId="0" borderId="0" xfId="0" applyAlignment="1" applyProtection="1">
      <alignment horizontal="left" vertical="center"/>
    </xf>
    <xf numFmtId="0" fontId="0" fillId="0" borderId="0" xfId="0" applyAlignment="1" applyProtection="1">
      <alignment horizontal="center" vertical="center"/>
    </xf>
    <xf numFmtId="0" fontId="0" fillId="2" borderId="0" xfId="0" applyFill="1" applyProtection="1"/>
    <xf numFmtId="0" fontId="1" fillId="3" borderId="1" xfId="0" applyFont="1" applyFill="1" applyBorder="1" applyAlignment="1" applyProtection="1">
      <alignment horizontal="center" vertical="center" wrapText="1"/>
    </xf>
    <xf numFmtId="0" fontId="1" fillId="3" borderId="2" xfId="0" applyFont="1" applyFill="1" applyBorder="1" applyAlignment="1" applyProtection="1">
      <alignment horizontal="center" vertical="center" wrapText="1"/>
    </xf>
    <xf numFmtId="0" fontId="2" fillId="4" borderId="1" xfId="0" applyFont="1" applyFill="1" applyBorder="1" applyAlignment="1" applyProtection="1">
      <alignment horizontal="right" vertical="center" wrapText="1"/>
    </xf>
    <xf numFmtId="0" fontId="2" fillId="4" borderId="2" xfId="0" applyFont="1" applyFill="1" applyBorder="1" applyAlignment="1" applyProtection="1">
      <alignment horizontal="right" vertical="center" wrapText="1"/>
    </xf>
    <xf numFmtId="189" fontId="1" fillId="4" borderId="2" xfId="2" applyNumberFormat="1" applyFont="1" applyFill="1" applyBorder="1" applyAlignment="1" applyProtection="1">
      <alignment horizontal="left" vertical="center" wrapText="1"/>
    </xf>
    <xf numFmtId="189" fontId="1" fillId="4" borderId="3" xfId="2" applyNumberFormat="1" applyFont="1" applyFill="1" applyBorder="1" applyAlignment="1" applyProtection="1">
      <alignment horizontal="left" vertical="center" wrapText="1"/>
    </xf>
    <xf numFmtId="0" fontId="3" fillId="3" borderId="2" xfId="0" applyFont="1" applyFill="1" applyBorder="1" applyAlignment="1" applyProtection="1">
      <alignment vertical="center" wrapText="1"/>
    </xf>
    <xf numFmtId="0" fontId="3" fillId="3" borderId="3" xfId="0" applyFont="1" applyFill="1" applyBorder="1" applyAlignment="1" applyProtection="1">
      <alignment vertical="center" wrapText="1"/>
    </xf>
    <xf numFmtId="0" fontId="1" fillId="3" borderId="4" xfId="0" applyFont="1" applyFill="1" applyBorder="1" applyAlignment="1" applyProtection="1">
      <alignment horizontal="center" vertical="center" wrapText="1"/>
    </xf>
    <xf numFmtId="0" fontId="1" fillId="3" borderId="5" xfId="0" applyFont="1" applyFill="1" applyBorder="1" applyAlignment="1" applyProtection="1">
      <alignment horizontal="center" vertical="center" wrapText="1"/>
    </xf>
    <xf numFmtId="0" fontId="2" fillId="4" borderId="4" xfId="0" applyFont="1" applyFill="1" applyBorder="1" applyAlignment="1" applyProtection="1">
      <alignment horizontal="right" vertical="center" wrapText="1"/>
    </xf>
    <xf numFmtId="0" fontId="2" fillId="4" borderId="5" xfId="0" applyFont="1" applyFill="1" applyBorder="1" applyAlignment="1" applyProtection="1">
      <alignment horizontal="right" vertical="center" wrapText="1"/>
    </xf>
    <xf numFmtId="189" fontId="1" fillId="4" borderId="5" xfId="2" applyNumberFormat="1" applyFont="1" applyFill="1" applyBorder="1" applyAlignment="1" applyProtection="1">
      <alignment horizontal="left" vertical="center" wrapText="1"/>
    </xf>
    <xf numFmtId="189" fontId="1" fillId="4" borderId="6" xfId="2" applyNumberFormat="1" applyFont="1" applyFill="1" applyBorder="1" applyAlignment="1" applyProtection="1">
      <alignment horizontal="left" vertical="center" wrapText="1"/>
    </xf>
    <xf numFmtId="0" fontId="3" fillId="3" borderId="5" xfId="0" applyFont="1" applyFill="1" applyBorder="1" applyAlignment="1" applyProtection="1">
      <alignment vertical="center" wrapText="1"/>
    </xf>
    <xf numFmtId="0" fontId="3" fillId="3" borderId="6" xfId="0" applyFont="1" applyFill="1" applyBorder="1" applyAlignment="1" applyProtection="1">
      <alignment vertical="center" wrapText="1"/>
    </xf>
    <xf numFmtId="0" fontId="4" fillId="5" borderId="7" xfId="0" applyFont="1" applyFill="1" applyBorder="1" applyAlignment="1" applyProtection="1">
      <alignment horizontal="center" vertical="center" wrapText="1"/>
    </xf>
    <xf numFmtId="0" fontId="5" fillId="6" borderId="0" xfId="0" applyFont="1" applyFill="1" applyAlignment="1" applyProtection="1">
      <alignment horizontal="center" vertical="center" wrapText="1"/>
    </xf>
    <xf numFmtId="0" fontId="5" fillId="6" borderId="0" xfId="0" applyFont="1" applyFill="1" applyAlignment="1" applyProtection="1">
      <alignment horizontal="left" vertical="center" wrapText="1"/>
    </xf>
    <xf numFmtId="4" fontId="5" fillId="6" borderId="0" xfId="0" applyNumberFormat="1" applyFont="1" applyFill="1" applyAlignment="1" applyProtection="1">
      <alignment horizontal="center" vertical="center" wrapText="1"/>
    </xf>
    <xf numFmtId="190" fontId="5" fillId="6" borderId="0" xfId="0" applyNumberFormat="1" applyFont="1" applyFill="1" applyAlignment="1" applyProtection="1">
      <alignment horizontal="right" vertical="center" wrapText="1"/>
    </xf>
    <xf numFmtId="0" fontId="5" fillId="2" borderId="0" xfId="0" applyFont="1" applyFill="1" applyAlignment="1" applyProtection="1">
      <alignment horizontal="left" vertical="top" wrapText="1"/>
    </xf>
    <xf numFmtId="0" fontId="5" fillId="2" borderId="0" xfId="0" applyFont="1" applyFill="1" applyAlignment="1" applyProtection="1">
      <alignment horizontal="center" vertical="top" wrapText="1"/>
    </xf>
    <xf numFmtId="190" fontId="5" fillId="2" borderId="0" xfId="0" applyNumberFormat="1" applyFont="1" applyFill="1" applyAlignment="1" applyProtection="1">
      <alignment horizontal="right" vertical="top" wrapText="1"/>
    </xf>
    <xf numFmtId="4" fontId="5" fillId="2" borderId="0" xfId="0" applyNumberFormat="1" applyFont="1" applyFill="1" applyAlignment="1" applyProtection="1">
      <alignment horizontal="center" vertical="top" wrapText="1"/>
    </xf>
    <xf numFmtId="0" fontId="0" fillId="6" borderId="0" xfId="0" applyFill="1" applyAlignment="1" applyProtection="1">
      <alignment horizontal="center" vertical="center"/>
    </xf>
    <xf numFmtId="191" fontId="6" fillId="7" borderId="0" xfId="0" applyNumberFormat="1" applyFont="1" applyFill="1" applyAlignment="1" applyProtection="1">
      <alignment vertical="center"/>
    </xf>
    <xf numFmtId="191" fontId="0" fillId="0" borderId="0" xfId="0" applyNumberFormat="1" applyAlignment="1" applyProtection="1">
      <alignment vertical="center"/>
    </xf>
    <xf numFmtId="0" fontId="0" fillId="0" borderId="0" xfId="0" applyAlignment="1">
      <alignment horizontal="center"/>
    </xf>
    <xf numFmtId="176" fontId="0" fillId="0" borderId="0" xfId="1" applyFont="1"/>
    <xf numFmtId="0" fontId="7" fillId="0" borderId="0" xfId="0" applyFont="1" applyAlignment="1">
      <alignment horizontal="center"/>
    </xf>
    <xf numFmtId="176" fontId="7" fillId="0" borderId="0" xfId="1" applyFont="1"/>
    <xf numFmtId="186" fontId="0" fillId="0" borderId="0" xfId="0" applyNumberFormat="1"/>
    <xf numFmtId="176" fontId="0" fillId="0" borderId="0" xfId="1" applyFont="1" applyFill="1"/>
    <xf numFmtId="0" fontId="8" fillId="0" borderId="0" xfId="0" applyFont="1"/>
    <xf numFmtId="0" fontId="9" fillId="8" borderId="0" xfId="0" applyFont="1" applyFill="1"/>
    <xf numFmtId="0" fontId="9" fillId="9" borderId="0" xfId="0" applyFont="1" applyFill="1"/>
    <xf numFmtId="0" fontId="6" fillId="10" borderId="0" xfId="0" applyFont="1" applyFill="1"/>
    <xf numFmtId="0" fontId="6" fillId="11" borderId="0" xfId="0" applyFont="1" applyFill="1"/>
    <xf numFmtId="0" fontId="6" fillId="0" borderId="0" xfId="0" applyFont="1"/>
    <xf numFmtId="0" fontId="6" fillId="0" borderId="0" xfId="0" applyFont="1" applyAlignment="1">
      <alignment horizontal="center"/>
    </xf>
    <xf numFmtId="176" fontId="6" fillId="0" borderId="0" xfId="1" applyFont="1"/>
    <xf numFmtId="176" fontId="6" fillId="0" borderId="0" xfId="1" applyFont="1" applyAlignment="1">
      <alignment horizontal="center"/>
    </xf>
    <xf numFmtId="0" fontId="8" fillId="0" borderId="8" xfId="0" applyFont="1" applyBorder="1"/>
    <xf numFmtId="0" fontId="8" fillId="0" borderId="8" xfId="0" applyFont="1" applyBorder="1" applyAlignment="1">
      <alignment horizontal="center"/>
    </xf>
    <xf numFmtId="176" fontId="8" fillId="0" borderId="8" xfId="1" applyFont="1" applyBorder="1"/>
    <xf numFmtId="176" fontId="8" fillId="0" borderId="8" xfId="1" applyFont="1" applyBorder="1" applyAlignment="1">
      <alignment horizontal="center"/>
    </xf>
    <xf numFmtId="0" fontId="9" fillId="8" borderId="8" xfId="0" applyFont="1" applyFill="1" applyBorder="1"/>
    <xf numFmtId="0" fontId="9" fillId="8" borderId="8" xfId="0" applyFont="1" applyFill="1" applyBorder="1" applyAlignment="1">
      <alignment horizontal="center"/>
    </xf>
    <xf numFmtId="176" fontId="9" fillId="8" borderId="8" xfId="1" applyFont="1" applyFill="1" applyBorder="1"/>
    <xf numFmtId="176" fontId="9" fillId="8" borderId="8" xfId="1" applyFont="1" applyFill="1" applyBorder="1" applyAlignment="1">
      <alignment horizontal="center"/>
    </xf>
    <xf numFmtId="0" fontId="9" fillId="9" borderId="8" xfId="0" applyFont="1" applyFill="1" applyBorder="1"/>
    <xf numFmtId="0" fontId="9" fillId="9" borderId="8" xfId="0" applyFont="1" applyFill="1" applyBorder="1" applyAlignment="1">
      <alignment horizontal="center"/>
    </xf>
    <xf numFmtId="176" fontId="9" fillId="9" borderId="8" xfId="1" applyFont="1" applyFill="1" applyBorder="1"/>
    <xf numFmtId="176" fontId="9" fillId="9" borderId="8" xfId="1" applyFont="1" applyFill="1" applyBorder="1" applyAlignment="1">
      <alignment horizontal="center"/>
    </xf>
    <xf numFmtId="0" fontId="6" fillId="10" borderId="8" xfId="0" applyFont="1" applyFill="1" applyBorder="1"/>
    <xf numFmtId="0" fontId="6" fillId="10" borderId="8" xfId="0" applyFont="1" applyFill="1" applyBorder="1" applyAlignment="1">
      <alignment horizontal="center"/>
    </xf>
    <xf numFmtId="176" fontId="6" fillId="10" borderId="8" xfId="1" applyFont="1" applyFill="1" applyBorder="1"/>
    <xf numFmtId="176" fontId="6" fillId="10" borderId="8" xfId="1" applyFont="1" applyFill="1" applyBorder="1" applyAlignment="1">
      <alignment horizontal="center"/>
    </xf>
    <xf numFmtId="0" fontId="6" fillId="11" borderId="8" xfId="0" applyFont="1" applyFill="1" applyBorder="1"/>
    <xf numFmtId="0" fontId="6" fillId="11" borderId="8" xfId="0" applyFont="1" applyFill="1" applyBorder="1" applyAlignment="1">
      <alignment horizontal="center"/>
    </xf>
    <xf numFmtId="176" fontId="6" fillId="11" borderId="8" xfId="1" applyFont="1" applyFill="1" applyBorder="1"/>
    <xf numFmtId="176" fontId="6" fillId="11" borderId="8" xfId="1" applyFont="1" applyFill="1" applyBorder="1" applyAlignment="1">
      <alignment horizontal="center"/>
    </xf>
    <xf numFmtId="0" fontId="6" fillId="0" borderId="8" xfId="0" applyFont="1" applyBorder="1"/>
    <xf numFmtId="0" fontId="6" fillId="0" borderId="8" xfId="0" applyFont="1" applyBorder="1" applyAlignment="1">
      <alignment horizontal="center"/>
    </xf>
    <xf numFmtId="176" fontId="6" fillId="0" borderId="8" xfId="1" applyFont="1" applyBorder="1"/>
    <xf numFmtId="176" fontId="6" fillId="0" borderId="8" xfId="1" applyFont="1" applyBorder="1" applyAlignment="1">
      <alignment horizontal="center"/>
    </xf>
    <xf numFmtId="0" fontId="10" fillId="0" borderId="0" xfId="295" applyAlignment="1">
      <alignment vertical="center" wrapText="1"/>
    </xf>
    <xf numFmtId="1" fontId="10" fillId="0" borderId="0" xfId="295" applyNumberFormat="1" applyAlignment="1">
      <alignment horizontal="center" vertical="center"/>
    </xf>
    <xf numFmtId="186" fontId="11" fillId="0" borderId="0" xfId="466" applyFont="1" applyAlignment="1">
      <alignment horizontal="center" vertical="center"/>
    </xf>
    <xf numFmtId="0" fontId="10" fillId="0" borderId="0" xfId="295" applyAlignment="1">
      <alignment vertical="center"/>
    </xf>
    <xf numFmtId="0" fontId="12" fillId="0" borderId="8" xfId="295" applyFont="1" applyBorder="1" applyAlignment="1">
      <alignment vertical="center" wrapText="1"/>
    </xf>
    <xf numFmtId="1" fontId="12" fillId="0" borderId="8" xfId="295" applyNumberFormat="1" applyFont="1" applyBorder="1" applyAlignment="1">
      <alignment horizontal="center" vertical="center"/>
    </xf>
    <xf numFmtId="186" fontId="12" fillId="0" borderId="8" xfId="466" applyFont="1" applyBorder="1" applyAlignment="1">
      <alignment horizontal="center" vertical="center"/>
    </xf>
    <xf numFmtId="0" fontId="13" fillId="0" borderId="0" xfId="240" applyFont="1" applyAlignment="1">
      <alignment horizontal="center"/>
    </xf>
    <xf numFmtId="0" fontId="13" fillId="0" borderId="0" xfId="240" applyFont="1" applyAlignment="1">
      <alignment horizontal="left"/>
    </xf>
    <xf numFmtId="186" fontId="13" fillId="0" borderId="0" xfId="466" applyFont="1" applyAlignment="1">
      <alignment horizontal="center"/>
    </xf>
    <xf numFmtId="0" fontId="14" fillId="0" borderId="8" xfId="240" applyFont="1" applyBorder="1" applyAlignment="1">
      <alignment horizontal="center" vertical="center"/>
    </xf>
    <xf numFmtId="0" fontId="14" fillId="0" borderId="8" xfId="240" applyFont="1" applyBorder="1" applyAlignment="1">
      <alignment vertical="center"/>
    </xf>
    <xf numFmtId="186" fontId="14" fillId="0" borderId="8" xfId="466" applyFont="1" applyBorder="1" applyAlignment="1">
      <alignment horizontal="center" vertical="center"/>
    </xf>
    <xf numFmtId="0" fontId="13" fillId="12" borderId="8" xfId="240" applyFont="1" applyFill="1" applyBorder="1" applyAlignment="1">
      <alignment horizontal="center" vertical="center"/>
    </xf>
    <xf numFmtId="0" fontId="13" fillId="12" borderId="8" xfId="240" applyFont="1" applyFill="1" applyBorder="1" applyAlignment="1">
      <alignment horizontal="center" vertical="top"/>
    </xf>
    <xf numFmtId="0" fontId="13" fillId="12" borderId="8" xfId="240" applyFont="1" applyFill="1" applyBorder="1" applyAlignment="1">
      <alignment vertical="center" wrapText="1"/>
    </xf>
    <xf numFmtId="186" fontId="13" fillId="12" borderId="8" xfId="466" applyFont="1" applyFill="1" applyBorder="1" applyAlignment="1">
      <alignment horizontal="center" vertical="top"/>
    </xf>
    <xf numFmtId="186" fontId="13" fillId="12" borderId="8" xfId="466" applyFont="1" applyFill="1" applyBorder="1" applyAlignment="1">
      <alignment horizontal="center" vertical="center"/>
    </xf>
    <xf numFmtId="0" fontId="13" fillId="0" borderId="8" xfId="240" applyFont="1" applyBorder="1" applyAlignment="1">
      <alignment horizontal="center"/>
    </xf>
    <xf numFmtId="0" fontId="13" fillId="0" borderId="8" xfId="240" applyFont="1" applyBorder="1" applyAlignment="1">
      <alignment horizontal="center" vertical="center"/>
    </xf>
    <xf numFmtId="0" fontId="13" fillId="0" borderId="8" xfId="240" applyFont="1" applyBorder="1" applyAlignment="1">
      <alignment vertical="center" wrapText="1"/>
    </xf>
    <xf numFmtId="186" fontId="13" fillId="0" borderId="8" xfId="466" applyFont="1" applyBorder="1" applyAlignment="1">
      <alignment horizontal="center" vertical="center"/>
    </xf>
    <xf numFmtId="186" fontId="13" fillId="0" borderId="8" xfId="466" applyFont="1" applyBorder="1" applyAlignment="1">
      <alignment horizontal="center"/>
    </xf>
    <xf numFmtId="0" fontId="15" fillId="0" borderId="0" xfId="0" applyFont="1" applyAlignment="1">
      <alignment horizontal="left" vertical="top"/>
    </xf>
    <xf numFmtId="1" fontId="13" fillId="0" borderId="0" xfId="0" applyNumberFormat="1" applyFont="1" applyAlignment="1">
      <alignment horizontal="center" vertical="top"/>
    </xf>
    <xf numFmtId="0" fontId="13" fillId="0" borderId="0" xfId="0" applyFont="1" applyAlignment="1">
      <alignment horizontal="center" vertical="top"/>
    </xf>
    <xf numFmtId="0" fontId="13" fillId="0" borderId="0" xfId="0" applyFont="1" applyAlignment="1">
      <alignment horizontal="left" vertical="top"/>
    </xf>
    <xf numFmtId="186" fontId="13" fillId="0" borderId="0" xfId="466" applyFont="1" applyFill="1" applyBorder="1" applyAlignment="1">
      <alignment horizontal="center" vertical="top"/>
    </xf>
    <xf numFmtId="10" fontId="13" fillId="0" borderId="0" xfId="3" applyNumberFormat="1" applyFont="1" applyFill="1" applyBorder="1" applyAlignment="1">
      <alignment horizontal="center" vertical="top"/>
    </xf>
    <xf numFmtId="1" fontId="16" fillId="0" borderId="8" xfId="0" applyNumberFormat="1" applyFont="1" applyBorder="1" applyAlignment="1">
      <alignment horizontal="center" vertical="center" wrapText="1"/>
    </xf>
    <xf numFmtId="0" fontId="16" fillId="0" borderId="8" xfId="0" applyFont="1" applyBorder="1" applyAlignment="1">
      <alignment horizontal="center" vertical="center" wrapText="1"/>
    </xf>
    <xf numFmtId="0" fontId="16" fillId="0" borderId="8" xfId="0" applyFont="1" applyBorder="1" applyAlignment="1">
      <alignment vertical="center" wrapText="1"/>
    </xf>
    <xf numFmtId="186" fontId="16" fillId="0" borderId="8" xfId="466" applyFont="1" applyFill="1" applyBorder="1" applyAlignment="1">
      <alignment horizontal="center" vertical="center" wrapText="1"/>
    </xf>
    <xf numFmtId="186" fontId="16" fillId="0" borderId="8" xfId="466" applyFont="1" applyFill="1" applyBorder="1" applyAlignment="1">
      <alignment horizontal="center" vertical="top" wrapText="1"/>
    </xf>
    <xf numFmtId="10" fontId="16" fillId="0" borderId="8" xfId="3" applyNumberFormat="1" applyFont="1" applyFill="1" applyBorder="1" applyAlignment="1">
      <alignment horizontal="center" vertical="top" wrapText="1"/>
    </xf>
    <xf numFmtId="186" fontId="13" fillId="0" borderId="0" xfId="0" applyNumberFormat="1" applyFont="1" applyAlignment="1">
      <alignment horizontal="left" vertical="top"/>
    </xf>
    <xf numFmtId="1" fontId="13" fillId="0" borderId="8" xfId="0" applyNumberFormat="1" applyFont="1" applyBorder="1" applyAlignment="1">
      <alignment horizontal="center" vertical="center" shrinkToFit="1"/>
    </xf>
    <xf numFmtId="192" fontId="13" fillId="0" borderId="8" xfId="0" applyNumberFormat="1" applyFont="1" applyBorder="1" applyAlignment="1">
      <alignment horizontal="center" vertical="center" shrinkToFit="1"/>
    </xf>
    <xf numFmtId="0" fontId="13" fillId="0" borderId="8" xfId="0" applyFont="1" applyBorder="1" applyAlignment="1">
      <alignment vertical="top" wrapText="1"/>
    </xf>
    <xf numFmtId="186" fontId="7" fillId="0" borderId="8" xfId="466" applyFont="1" applyFill="1" applyBorder="1" applyAlignment="1">
      <alignment horizontal="center" vertical="center" wrapText="1"/>
    </xf>
    <xf numFmtId="186" fontId="13" fillId="0" borderId="8" xfId="466" applyFont="1" applyFill="1" applyBorder="1" applyAlignment="1">
      <alignment horizontal="center" vertical="center" shrinkToFit="1"/>
    </xf>
    <xf numFmtId="10" fontId="13" fillId="0" borderId="8" xfId="3" applyNumberFormat="1" applyFont="1" applyFill="1" applyBorder="1" applyAlignment="1">
      <alignment horizontal="center" vertical="center" shrinkToFit="1"/>
    </xf>
    <xf numFmtId="1" fontId="7" fillId="0" borderId="8" xfId="0" applyNumberFormat="1" applyFont="1" applyBorder="1" applyAlignment="1">
      <alignment horizontal="center" vertical="top" wrapText="1"/>
    </xf>
    <xf numFmtId="0" fontId="7" fillId="0" borderId="8" xfId="0" applyFont="1" applyBorder="1" applyAlignment="1">
      <alignment horizontal="center" vertical="top" wrapText="1"/>
    </xf>
    <xf numFmtId="0" fontId="7" fillId="0" borderId="8" xfId="0" applyFont="1" applyBorder="1" applyAlignment="1">
      <alignment vertical="top" wrapText="1"/>
    </xf>
    <xf numFmtId="1" fontId="15" fillId="0" borderId="8" xfId="0" applyNumberFormat="1" applyFont="1" applyBorder="1" applyAlignment="1">
      <alignment horizontal="center" vertical="top" shrinkToFit="1"/>
    </xf>
    <xf numFmtId="0" fontId="15" fillId="0" borderId="8" xfId="0" applyFont="1" applyBorder="1" applyAlignment="1">
      <alignment vertical="top" wrapText="1"/>
    </xf>
    <xf numFmtId="186" fontId="15" fillId="0" borderId="8" xfId="466" applyFont="1" applyFill="1" applyBorder="1" applyAlignment="1">
      <alignment horizontal="center" vertical="top" wrapText="1"/>
    </xf>
    <xf numFmtId="186" fontId="15" fillId="0" borderId="8" xfId="466" applyFont="1" applyFill="1" applyBorder="1" applyAlignment="1">
      <alignment horizontal="center" vertical="top" shrinkToFit="1"/>
    </xf>
    <xf numFmtId="186" fontId="15" fillId="0" borderId="8" xfId="466" applyFont="1" applyFill="1" applyBorder="1" applyAlignment="1">
      <alignment horizontal="center" vertical="center" shrinkToFit="1"/>
    </xf>
    <xf numFmtId="10" fontId="15" fillId="0" borderId="8" xfId="3" applyNumberFormat="1" applyFont="1" applyFill="1" applyBorder="1" applyAlignment="1">
      <alignment horizontal="center" vertical="center" shrinkToFit="1"/>
    </xf>
    <xf numFmtId="186" fontId="7" fillId="0" borderId="8" xfId="466" applyFont="1" applyFill="1" applyBorder="1" applyAlignment="1">
      <alignment horizontal="center" vertical="top" wrapText="1"/>
    </xf>
    <xf numFmtId="186" fontId="13" fillId="0" borderId="8" xfId="466" applyFont="1" applyFill="1" applyBorder="1" applyAlignment="1">
      <alignment horizontal="center" vertical="top" shrinkToFit="1"/>
    </xf>
    <xf numFmtId="1" fontId="15" fillId="0" borderId="8" xfId="0" applyNumberFormat="1" applyFont="1" applyBorder="1" applyAlignment="1">
      <alignment horizontal="center" vertical="center" shrinkToFit="1"/>
    </xf>
    <xf numFmtId="186" fontId="15" fillId="0" borderId="8" xfId="466" applyFont="1" applyFill="1" applyBorder="1" applyAlignment="1">
      <alignment horizontal="center" vertical="center" wrapText="1"/>
    </xf>
    <xf numFmtId="1" fontId="15" fillId="0" borderId="8" xfId="0" applyNumberFormat="1" applyFont="1" applyBorder="1" applyAlignment="1">
      <alignment horizontal="center" vertical="top" wrapText="1"/>
    </xf>
    <xf numFmtId="0" fontId="15" fillId="0" borderId="8" xfId="0" applyFont="1" applyBorder="1" applyAlignment="1">
      <alignment horizontal="center" vertical="top" wrapText="1"/>
    </xf>
    <xf numFmtId="1" fontId="13" fillId="0" borderId="8" xfId="0" applyNumberFormat="1" applyFont="1" applyBorder="1" applyAlignment="1">
      <alignment horizontal="center" vertical="top" shrinkToFit="1"/>
    </xf>
    <xf numFmtId="192" fontId="13" fillId="0" borderId="8" xfId="0" applyNumberFormat="1" applyFont="1" applyBorder="1" applyAlignment="1">
      <alignment horizontal="center" vertical="top" shrinkToFit="1"/>
    </xf>
    <xf numFmtId="1" fontId="7" fillId="0" borderId="8" xfId="0" applyNumberFormat="1" applyFont="1" applyBorder="1" applyAlignment="1">
      <alignment horizontal="center" vertical="center" wrapText="1"/>
    </xf>
    <xf numFmtId="0" fontId="7" fillId="0" borderId="8" xfId="0" applyFont="1" applyBorder="1" applyAlignment="1">
      <alignment horizontal="center" vertical="center" wrapText="1"/>
    </xf>
    <xf numFmtId="1" fontId="15" fillId="0" borderId="8" xfId="0" applyNumberFormat="1" applyFont="1" applyBorder="1" applyAlignment="1">
      <alignment horizontal="center" vertical="center" wrapText="1"/>
    </xf>
    <xf numFmtId="0" fontId="15" fillId="0" borderId="8" xfId="0" applyFont="1" applyBorder="1" applyAlignment="1">
      <alignment horizontal="center" vertical="center" wrapText="1"/>
    </xf>
    <xf numFmtId="0" fontId="15" fillId="13" borderId="0" xfId="307" applyFont="1" applyFill="1" applyAlignment="1">
      <alignment horizontal="left" vertical="center"/>
    </xf>
    <xf numFmtId="0" fontId="13" fillId="13" borderId="0" xfId="0" applyFont="1" applyFill="1" applyAlignment="1">
      <alignment horizontal="left" vertical="center"/>
    </xf>
    <xf numFmtId="0" fontId="13" fillId="0" borderId="0" xfId="0" applyFont="1" applyAlignment="1">
      <alignment horizontal="left" vertical="center"/>
    </xf>
    <xf numFmtId="176" fontId="13" fillId="0" borderId="0" xfId="1" applyFont="1" applyAlignment="1">
      <alignment horizontal="left" vertical="center"/>
    </xf>
    <xf numFmtId="176" fontId="15" fillId="14" borderId="8" xfId="1" applyFont="1" applyFill="1" applyBorder="1" applyAlignment="1">
      <alignment vertical="center"/>
    </xf>
    <xf numFmtId="176" fontId="15" fillId="13" borderId="8" xfId="1" applyFont="1" applyFill="1" applyBorder="1" applyAlignment="1">
      <alignment vertical="center"/>
    </xf>
    <xf numFmtId="176" fontId="15" fillId="13" borderId="8" xfId="1" applyFont="1" applyFill="1" applyBorder="1" applyAlignment="1">
      <alignment horizontal="left" vertical="center"/>
    </xf>
    <xf numFmtId="176" fontId="15" fillId="13" borderId="0" xfId="1" applyFont="1" applyFill="1" applyAlignment="1">
      <alignment horizontal="left" vertical="center"/>
    </xf>
    <xf numFmtId="0" fontId="17" fillId="0" borderId="8" xfId="311" applyFont="1" applyBorder="1" applyAlignment="1">
      <alignment horizontal="left" vertical="center"/>
    </xf>
    <xf numFmtId="186" fontId="17" fillId="0" borderId="8" xfId="466" applyFont="1" applyBorder="1" applyAlignment="1">
      <alignment horizontal="center" vertical="center"/>
    </xf>
    <xf numFmtId="0" fontId="15" fillId="13" borderId="8" xfId="311" applyFont="1" applyFill="1" applyBorder="1" applyAlignment="1">
      <alignment horizontal="left" vertical="center" wrapText="1"/>
    </xf>
    <xf numFmtId="186" fontId="15" fillId="13" borderId="8" xfId="466" applyFont="1" applyFill="1" applyBorder="1" applyAlignment="1">
      <alignment horizontal="center" vertical="center"/>
    </xf>
    <xf numFmtId="10" fontId="15" fillId="13" borderId="8" xfId="335" applyNumberFormat="1" applyFont="1" applyFill="1" applyBorder="1" applyAlignment="1">
      <alignment horizontal="center" vertical="center"/>
    </xf>
    <xf numFmtId="10" fontId="15" fillId="13" borderId="8" xfId="466" applyNumberFormat="1" applyFont="1" applyFill="1" applyBorder="1" applyAlignment="1">
      <alignment horizontal="center" vertical="center"/>
    </xf>
    <xf numFmtId="176" fontId="15" fillId="13" borderId="0" xfId="1" applyFont="1" applyFill="1" applyBorder="1" applyAlignment="1">
      <alignment horizontal="left" vertical="center"/>
    </xf>
    <xf numFmtId="0" fontId="18" fillId="13" borderId="0" xfId="199" applyFont="1" applyFill="1" applyAlignment="1">
      <alignment horizontal="left" vertical="center" wrapText="1"/>
    </xf>
    <xf numFmtId="0" fontId="17" fillId="0" borderId="8" xfId="299" applyFont="1" applyBorder="1" applyAlignment="1">
      <alignment horizontal="left" vertical="center"/>
    </xf>
    <xf numFmtId="0" fontId="17" fillId="0" borderId="8" xfId="299" applyFont="1" applyBorder="1" applyAlignment="1">
      <alignment horizontal="center" vertical="center"/>
    </xf>
    <xf numFmtId="0" fontId="17" fillId="0" borderId="0" xfId="299" applyFont="1" applyAlignment="1">
      <alignment horizontal="center" vertical="center"/>
    </xf>
    <xf numFmtId="0" fontId="15" fillId="13" borderId="8" xfId="299" applyFont="1" applyFill="1" applyBorder="1" applyAlignment="1">
      <alignment horizontal="left" vertical="center"/>
    </xf>
    <xf numFmtId="0" fontId="15" fillId="13" borderId="8" xfId="299" applyFont="1" applyFill="1" applyBorder="1" applyAlignment="1">
      <alignment horizontal="center" vertical="center"/>
    </xf>
    <xf numFmtId="0" fontId="15" fillId="13" borderId="0" xfId="299" applyFont="1" applyFill="1" applyAlignment="1">
      <alignment horizontal="center" vertical="center"/>
    </xf>
    <xf numFmtId="0" fontId="15" fillId="13" borderId="8" xfId="299" applyFont="1" applyFill="1" applyBorder="1" applyAlignment="1">
      <alignment horizontal="left" vertical="center" wrapText="1"/>
    </xf>
    <xf numFmtId="186" fontId="15" fillId="13" borderId="8" xfId="471" applyFont="1" applyFill="1" applyBorder="1" applyAlignment="1">
      <alignment horizontal="center" vertical="center"/>
    </xf>
    <xf numFmtId="186" fontId="15" fillId="13" borderId="0" xfId="471" applyFont="1" applyFill="1" applyBorder="1" applyAlignment="1">
      <alignment horizontal="center" vertical="center"/>
    </xf>
    <xf numFmtId="176" fontId="15" fillId="13" borderId="8" xfId="1" applyFont="1" applyFill="1" applyBorder="1" applyAlignment="1">
      <alignment vertical="center" wrapText="1"/>
    </xf>
    <xf numFmtId="0" fontId="15" fillId="13" borderId="0" xfId="299" applyFont="1" applyFill="1" applyAlignment="1">
      <alignment horizontal="left" vertical="center" wrapText="1"/>
    </xf>
    <xf numFmtId="186" fontId="15" fillId="13" borderId="0" xfId="466" applyFont="1" applyFill="1" applyBorder="1" applyAlignment="1">
      <alignment vertical="center" wrapText="1"/>
    </xf>
    <xf numFmtId="186" fontId="15" fillId="13" borderId="0" xfId="466" applyFont="1" applyFill="1" applyBorder="1" applyAlignment="1">
      <alignment vertical="center"/>
    </xf>
    <xf numFmtId="176" fontId="15" fillId="13" borderId="0" xfId="1" applyFont="1" applyFill="1" applyBorder="1" applyAlignment="1">
      <alignment vertical="center" wrapText="1"/>
    </xf>
    <xf numFmtId="176" fontId="13" fillId="13" borderId="0" xfId="1" applyFont="1" applyFill="1" applyAlignment="1">
      <alignment horizontal="left" vertical="center"/>
    </xf>
    <xf numFmtId="186" fontId="13" fillId="13" borderId="0" xfId="0" applyNumberFormat="1" applyFont="1" applyFill="1" applyAlignment="1">
      <alignment horizontal="left" vertical="center"/>
    </xf>
    <xf numFmtId="176" fontId="13" fillId="8" borderId="8" xfId="1" applyFont="1" applyFill="1" applyBorder="1" applyAlignment="1">
      <alignment horizontal="left" vertical="center"/>
    </xf>
    <xf numFmtId="176" fontId="13" fillId="13" borderId="8" xfId="1" applyFont="1" applyFill="1" applyBorder="1" applyAlignment="1">
      <alignment horizontal="left" vertical="center"/>
    </xf>
    <xf numFmtId="0" fontId="14" fillId="0" borderId="8" xfId="240" applyFont="1" applyBorder="1" applyAlignment="1">
      <alignment horizontal="left" vertical="center"/>
    </xf>
    <xf numFmtId="176" fontId="13" fillId="0" borderId="8" xfId="1" applyFont="1" applyBorder="1" applyAlignment="1">
      <alignment horizontal="left" vertical="center"/>
    </xf>
    <xf numFmtId="176" fontId="13" fillId="0" borderId="9" xfId="1" applyFont="1" applyBorder="1" applyAlignment="1">
      <alignment horizontal="left" vertical="center"/>
    </xf>
    <xf numFmtId="0" fontId="7" fillId="0" borderId="8" xfId="0" applyFont="1" applyBorder="1" applyAlignment="1">
      <alignment vertical="center" wrapText="1"/>
    </xf>
    <xf numFmtId="176" fontId="7" fillId="0" borderId="8" xfId="1" applyFont="1" applyFill="1" applyBorder="1" applyAlignment="1">
      <alignment horizontal="center" vertical="center" wrapText="1"/>
    </xf>
    <xf numFmtId="176" fontId="7" fillId="0" borderId="8" xfId="1" applyFont="1" applyFill="1" applyBorder="1" applyAlignment="1">
      <alignment horizontal="center" vertical="center" shrinkToFit="1"/>
    </xf>
    <xf numFmtId="0" fontId="13" fillId="0" borderId="8" xfId="0" applyFont="1" applyBorder="1" applyAlignment="1">
      <alignment horizontal="left" vertical="center"/>
    </xf>
    <xf numFmtId="176" fontId="15" fillId="0" borderId="8" xfId="1" applyFont="1" applyBorder="1" applyAlignment="1">
      <alignment horizontal="left" vertical="center"/>
    </xf>
    <xf numFmtId="0" fontId="15" fillId="13" borderId="8" xfId="307" applyFont="1" applyFill="1" applyBorder="1" applyAlignment="1">
      <alignment horizontal="left" vertical="center"/>
    </xf>
    <xf numFmtId="176" fontId="7" fillId="13" borderId="8" xfId="1" applyFont="1" applyFill="1" applyBorder="1" applyAlignment="1">
      <alignment horizontal="left" vertical="center"/>
    </xf>
    <xf numFmtId="0" fontId="13" fillId="15" borderId="8" xfId="240" applyFont="1" applyFill="1" applyBorder="1" applyAlignment="1">
      <alignment horizontal="left" vertical="center" wrapText="1"/>
    </xf>
    <xf numFmtId="0" fontId="13" fillId="15" borderId="8" xfId="240" applyFont="1" applyFill="1" applyBorder="1" applyAlignment="1">
      <alignment horizontal="center" vertical="center"/>
    </xf>
    <xf numFmtId="186" fontId="13" fillId="15" borderId="8" xfId="470" applyFont="1" applyFill="1" applyBorder="1" applyAlignment="1">
      <alignment horizontal="center" vertical="center"/>
    </xf>
    <xf numFmtId="10" fontId="13" fillId="15" borderId="8" xfId="335" applyNumberFormat="1" applyFont="1" applyFill="1" applyBorder="1" applyAlignment="1">
      <alignment horizontal="center" vertical="center"/>
    </xf>
    <xf numFmtId="10" fontId="13" fillId="15" borderId="8" xfId="470" applyNumberFormat="1" applyFont="1" applyFill="1" applyBorder="1" applyAlignment="1">
      <alignment horizontal="center" vertical="center"/>
    </xf>
    <xf numFmtId="0" fontId="13" fillId="16" borderId="8" xfId="240" applyFont="1" applyFill="1" applyBorder="1" applyAlignment="1">
      <alignment horizontal="left" vertical="center" wrapText="1"/>
    </xf>
    <xf numFmtId="0" fontId="13" fillId="16" borderId="8" xfId="240" applyFont="1" applyFill="1" applyBorder="1" applyAlignment="1">
      <alignment horizontal="center" vertical="center"/>
    </xf>
    <xf numFmtId="186" fontId="13" fillId="16" borderId="8" xfId="470" applyFont="1" applyFill="1" applyBorder="1" applyAlignment="1">
      <alignment horizontal="center" vertical="center"/>
    </xf>
    <xf numFmtId="10" fontId="13" fillId="16" borderId="8" xfId="335" applyNumberFormat="1" applyFont="1" applyFill="1" applyBorder="1" applyAlignment="1">
      <alignment horizontal="center" vertical="center"/>
    </xf>
    <xf numFmtId="10" fontId="13" fillId="16" borderId="8" xfId="470" applyNumberFormat="1" applyFont="1" applyFill="1" applyBorder="1" applyAlignment="1">
      <alignment horizontal="center" vertical="center"/>
    </xf>
    <xf numFmtId="0" fontId="13" fillId="17" borderId="8" xfId="240" applyFont="1" applyFill="1" applyBorder="1" applyAlignment="1">
      <alignment horizontal="left" vertical="center" wrapText="1"/>
    </xf>
    <xf numFmtId="0" fontId="13" fillId="17" borderId="8" xfId="240" applyFont="1" applyFill="1" applyBorder="1" applyAlignment="1">
      <alignment horizontal="center" vertical="center"/>
    </xf>
    <xf numFmtId="186" fontId="13" fillId="17" borderId="8" xfId="470" applyFont="1" applyFill="1" applyBorder="1" applyAlignment="1">
      <alignment horizontal="center" vertical="center"/>
    </xf>
    <xf numFmtId="10" fontId="13" fillId="17" borderId="8" xfId="335" applyNumberFormat="1" applyFont="1" applyFill="1" applyBorder="1" applyAlignment="1">
      <alignment horizontal="center" vertical="center"/>
    </xf>
    <xf numFmtId="10" fontId="13" fillId="17" borderId="8" xfId="470" applyNumberFormat="1" applyFont="1" applyFill="1" applyBorder="1" applyAlignment="1">
      <alignment horizontal="center" vertical="center"/>
    </xf>
    <xf numFmtId="0" fontId="13" fillId="17" borderId="8" xfId="240" applyFont="1" applyFill="1" applyBorder="1" applyAlignment="1">
      <alignment horizontal="left" vertical="center"/>
    </xf>
    <xf numFmtId="0" fontId="13" fillId="11" borderId="8" xfId="240" applyFont="1" applyFill="1" applyBorder="1" applyAlignment="1">
      <alignment horizontal="left" vertical="center" wrapText="1"/>
    </xf>
    <xf numFmtId="0" fontId="13" fillId="11" borderId="8" xfId="240" applyFont="1" applyFill="1" applyBorder="1" applyAlignment="1">
      <alignment horizontal="center" vertical="center"/>
    </xf>
    <xf numFmtId="186" fontId="13" fillId="11" borderId="8" xfId="470" applyFont="1" applyFill="1" applyBorder="1" applyAlignment="1">
      <alignment horizontal="center" vertical="center"/>
    </xf>
    <xf numFmtId="10" fontId="13" fillId="11" borderId="8" xfId="335" applyNumberFormat="1" applyFont="1" applyFill="1" applyBorder="1" applyAlignment="1">
      <alignment horizontal="center" vertical="center"/>
    </xf>
    <xf numFmtId="10" fontId="13" fillId="11" borderId="8" xfId="470" applyNumberFormat="1" applyFont="1" applyFill="1" applyBorder="1" applyAlignment="1">
      <alignment horizontal="center" vertical="center"/>
    </xf>
    <xf numFmtId="0" fontId="13" fillId="18" borderId="8" xfId="240" applyFont="1" applyFill="1" applyBorder="1" applyAlignment="1">
      <alignment horizontal="left" vertical="center" wrapText="1"/>
    </xf>
    <xf numFmtId="0" fontId="13" fillId="18" borderId="8" xfId="240" applyFont="1" applyFill="1" applyBorder="1" applyAlignment="1">
      <alignment horizontal="center" vertical="center"/>
    </xf>
    <xf numFmtId="186" fontId="13" fillId="18" borderId="8" xfId="470" applyFont="1" applyFill="1" applyBorder="1" applyAlignment="1">
      <alignment horizontal="center" vertical="center"/>
    </xf>
    <xf numFmtId="10" fontId="13" fillId="18" borderId="8" xfId="335" applyNumberFormat="1" applyFont="1" applyFill="1" applyBorder="1" applyAlignment="1">
      <alignment horizontal="center" vertical="center"/>
    </xf>
    <xf numFmtId="10" fontId="13" fillId="18" borderId="8" xfId="470" applyNumberFormat="1" applyFont="1" applyFill="1" applyBorder="1" applyAlignment="1">
      <alignment horizontal="center" vertical="center"/>
    </xf>
    <xf numFmtId="0" fontId="13" fillId="19" borderId="8" xfId="240" applyFont="1" applyFill="1" applyBorder="1" applyAlignment="1">
      <alignment horizontal="left" vertical="center" wrapText="1"/>
    </xf>
    <xf numFmtId="0" fontId="13" fillId="19" borderId="8" xfId="240" applyFont="1" applyFill="1" applyBorder="1" applyAlignment="1">
      <alignment horizontal="center" vertical="center"/>
    </xf>
    <xf numFmtId="186" fontId="13" fillId="19" borderId="8" xfId="470" applyFont="1" applyFill="1" applyBorder="1" applyAlignment="1">
      <alignment horizontal="center" vertical="center"/>
    </xf>
    <xf numFmtId="10" fontId="13" fillId="19" borderId="8" xfId="335" applyNumberFormat="1" applyFont="1" applyFill="1" applyBorder="1" applyAlignment="1">
      <alignment horizontal="center" vertical="center"/>
    </xf>
    <xf numFmtId="10" fontId="13" fillId="19" borderId="8" xfId="470" applyNumberFormat="1" applyFont="1" applyFill="1" applyBorder="1" applyAlignment="1">
      <alignment horizontal="center" vertical="center"/>
    </xf>
    <xf numFmtId="0" fontId="19" fillId="20" borderId="8" xfId="240" applyFont="1" applyFill="1" applyBorder="1" applyAlignment="1">
      <alignment horizontal="left" vertical="center" wrapText="1"/>
    </xf>
    <xf numFmtId="0" fontId="19" fillId="20" borderId="8" xfId="240" applyFont="1" applyFill="1" applyBorder="1" applyAlignment="1">
      <alignment horizontal="center" vertical="center"/>
    </xf>
    <xf numFmtId="186" fontId="19" fillId="20" borderId="8" xfId="470" applyFont="1" applyFill="1" applyBorder="1" applyAlignment="1">
      <alignment horizontal="center" vertical="center"/>
    </xf>
    <xf numFmtId="10" fontId="19" fillId="20" borderId="8" xfId="335" applyNumberFormat="1" applyFont="1" applyFill="1" applyBorder="1" applyAlignment="1">
      <alignment horizontal="center" vertical="center"/>
    </xf>
    <xf numFmtId="10" fontId="19" fillId="20" borderId="8" xfId="470" applyNumberFormat="1" applyFont="1" applyFill="1" applyBorder="1" applyAlignment="1">
      <alignment horizontal="center" vertical="center"/>
    </xf>
    <xf numFmtId="0" fontId="19" fillId="21" borderId="8" xfId="240" applyFont="1" applyFill="1" applyBorder="1" applyAlignment="1">
      <alignment horizontal="left" vertical="center" wrapText="1"/>
    </xf>
    <xf numFmtId="0" fontId="19" fillId="21" borderId="8" xfId="240" applyFont="1" applyFill="1" applyBorder="1" applyAlignment="1">
      <alignment horizontal="center" vertical="center"/>
    </xf>
    <xf numFmtId="186" fontId="19" fillId="21" borderId="8" xfId="470" applyFont="1" applyFill="1" applyBorder="1" applyAlignment="1">
      <alignment horizontal="center" vertical="center"/>
    </xf>
    <xf numFmtId="10" fontId="19" fillId="21" borderId="8" xfId="335" applyNumberFormat="1" applyFont="1" applyFill="1" applyBorder="1" applyAlignment="1">
      <alignment horizontal="center" vertical="center"/>
    </xf>
    <xf numFmtId="10" fontId="19" fillId="21" borderId="8" xfId="470" applyNumberFormat="1" applyFont="1" applyFill="1" applyBorder="1" applyAlignment="1">
      <alignment horizontal="center" vertical="center"/>
    </xf>
    <xf numFmtId="0" fontId="13" fillId="22" borderId="8" xfId="240" applyFont="1" applyFill="1" applyBorder="1" applyAlignment="1">
      <alignment horizontal="left" vertical="center" wrapText="1"/>
    </xf>
    <xf numFmtId="0" fontId="13" fillId="22" borderId="8" xfId="240" applyFont="1" applyFill="1" applyBorder="1" applyAlignment="1">
      <alignment horizontal="center" vertical="center"/>
    </xf>
    <xf numFmtId="186" fontId="13" fillId="22" borderId="8" xfId="470" applyFont="1" applyFill="1" applyBorder="1" applyAlignment="1">
      <alignment horizontal="center" vertical="center"/>
    </xf>
    <xf numFmtId="10" fontId="13" fillId="22" borderId="8" xfId="335" applyNumberFormat="1" applyFont="1" applyFill="1" applyBorder="1" applyAlignment="1">
      <alignment horizontal="center" vertical="center"/>
    </xf>
    <xf numFmtId="10" fontId="13" fillId="22" borderId="8" xfId="470" applyNumberFormat="1" applyFont="1" applyFill="1" applyBorder="1" applyAlignment="1">
      <alignment horizontal="center" vertical="center"/>
    </xf>
    <xf numFmtId="0" fontId="10" fillId="15" borderId="0" xfId="314" applyFill="1" applyAlignment="1">
      <alignment horizontal="left" vertical="center"/>
    </xf>
    <xf numFmtId="0" fontId="10" fillId="16" borderId="0" xfId="314" applyFill="1" applyAlignment="1">
      <alignment horizontal="left" vertical="center"/>
    </xf>
    <xf numFmtId="0" fontId="10" fillId="10" borderId="0" xfId="314" applyFill="1" applyAlignment="1">
      <alignment horizontal="left" vertical="center"/>
    </xf>
    <xf numFmtId="0" fontId="10" fillId="23" borderId="0" xfId="314" applyFill="1" applyAlignment="1">
      <alignment horizontal="left" vertical="center"/>
    </xf>
    <xf numFmtId="0" fontId="10" fillId="11" borderId="0" xfId="314" applyFill="1" applyAlignment="1">
      <alignment horizontal="left" vertical="center"/>
    </xf>
    <xf numFmtId="0" fontId="10" fillId="18" borderId="0" xfId="314" applyFill="1" applyAlignment="1">
      <alignment horizontal="left" vertical="center"/>
    </xf>
    <xf numFmtId="0" fontId="7" fillId="24" borderId="0" xfId="314" applyFont="1" applyFill="1" applyAlignment="1">
      <alignment horizontal="left" vertical="center"/>
    </xf>
    <xf numFmtId="0" fontId="10" fillId="8" borderId="0" xfId="314" applyFill="1" applyAlignment="1">
      <alignment horizontal="left" vertical="center"/>
    </xf>
    <xf numFmtId="0" fontId="19" fillId="17" borderId="0" xfId="314" applyFont="1" applyFill="1" applyAlignment="1">
      <alignment horizontal="left" vertical="center"/>
    </xf>
    <xf numFmtId="0" fontId="19" fillId="25" borderId="0" xfId="314" applyFont="1" applyFill="1" applyAlignment="1">
      <alignment horizontal="left" vertical="center"/>
    </xf>
    <xf numFmtId="0" fontId="10" fillId="19" borderId="0" xfId="314" applyFill="1" applyAlignment="1">
      <alignment horizontal="left" vertical="center"/>
    </xf>
    <xf numFmtId="0" fontId="19" fillId="26" borderId="0" xfId="314" applyFont="1" applyFill="1" applyAlignment="1">
      <alignment horizontal="left" vertical="center"/>
    </xf>
    <xf numFmtId="0" fontId="10" fillId="20" borderId="0" xfId="314" applyFill="1" applyAlignment="1">
      <alignment horizontal="left" vertical="center"/>
    </xf>
    <xf numFmtId="0" fontId="10" fillId="27" borderId="0" xfId="314" applyFill="1" applyAlignment="1">
      <alignment horizontal="left" vertical="center"/>
    </xf>
    <xf numFmtId="0" fontId="19" fillId="21" borderId="0" xfId="314" applyFont="1" applyFill="1" applyAlignment="1">
      <alignment horizontal="left" vertical="center"/>
    </xf>
    <xf numFmtId="0" fontId="13" fillId="0" borderId="0" xfId="240" applyFont="1" applyAlignment="1">
      <alignment horizontal="left" vertical="center"/>
    </xf>
    <xf numFmtId="0" fontId="13" fillId="0" borderId="0" xfId="240" applyFont="1" applyAlignment="1">
      <alignment horizontal="center" vertical="center"/>
    </xf>
    <xf numFmtId="0" fontId="10" fillId="0" borderId="0" xfId="314" applyAlignment="1">
      <alignment horizontal="left" vertical="center"/>
    </xf>
    <xf numFmtId="186" fontId="20" fillId="0" borderId="0" xfId="314" applyNumberFormat="1" applyFont="1" applyAlignment="1">
      <alignment horizontal="left" vertical="center"/>
    </xf>
    <xf numFmtId="0" fontId="13" fillId="0" borderId="8" xfId="314" applyFont="1" applyBorder="1" applyAlignment="1">
      <alignment horizontal="center" vertical="center"/>
    </xf>
    <xf numFmtId="0" fontId="14" fillId="0" borderId="8" xfId="240" applyFont="1" applyBorder="1" applyAlignment="1">
      <alignment horizontal="right" vertical="center"/>
    </xf>
    <xf numFmtId="176" fontId="13" fillId="0" borderId="8" xfId="1" applyFont="1" applyBorder="1" applyAlignment="1">
      <alignment horizontal="center" vertical="center"/>
    </xf>
    <xf numFmtId="0" fontId="13" fillId="15" borderId="8" xfId="240" applyFont="1" applyFill="1" applyBorder="1" applyAlignment="1">
      <alignment horizontal="left" vertical="center"/>
    </xf>
    <xf numFmtId="0" fontId="13" fillId="15" borderId="8" xfId="240" applyFont="1" applyFill="1" applyBorder="1" applyAlignment="1">
      <alignment horizontal="right" vertical="center"/>
    </xf>
    <xf numFmtId="10" fontId="13" fillId="15" borderId="8" xfId="3" applyNumberFormat="1" applyFont="1" applyFill="1" applyBorder="1" applyAlignment="1">
      <alignment horizontal="center" vertical="center"/>
    </xf>
    <xf numFmtId="0" fontId="13" fillId="15" borderId="0" xfId="314" applyFont="1" applyFill="1" applyAlignment="1">
      <alignment horizontal="left" vertical="center"/>
    </xf>
    <xf numFmtId="176" fontId="10" fillId="15" borderId="0" xfId="314" applyNumberFormat="1" applyFill="1" applyAlignment="1">
      <alignment horizontal="left" vertical="center"/>
    </xf>
    <xf numFmtId="0" fontId="13" fillId="16" borderId="8" xfId="240" applyFont="1" applyFill="1" applyBorder="1" applyAlignment="1">
      <alignment horizontal="left" vertical="center"/>
    </xf>
    <xf numFmtId="0" fontId="13" fillId="16" borderId="8" xfId="240" applyFont="1" applyFill="1" applyBorder="1" applyAlignment="1">
      <alignment horizontal="right" vertical="center"/>
    </xf>
    <xf numFmtId="10" fontId="13" fillId="16" borderId="8" xfId="3" applyNumberFormat="1" applyFont="1" applyFill="1" applyBorder="1" applyAlignment="1">
      <alignment horizontal="center" vertical="center"/>
    </xf>
    <xf numFmtId="0" fontId="13" fillId="17" borderId="8" xfId="240" applyFont="1" applyFill="1" applyBorder="1" applyAlignment="1">
      <alignment horizontal="right" vertical="center"/>
    </xf>
    <xf numFmtId="10" fontId="13" fillId="17" borderId="8" xfId="3" applyNumberFormat="1" applyFont="1" applyFill="1" applyBorder="1" applyAlignment="1">
      <alignment horizontal="center" vertical="center"/>
    </xf>
    <xf numFmtId="0" fontId="19" fillId="20" borderId="8" xfId="240" applyFont="1" applyFill="1" applyBorder="1" applyAlignment="1">
      <alignment horizontal="left" vertical="center"/>
    </xf>
    <xf numFmtId="0" fontId="19" fillId="20" borderId="8" xfId="240" applyFont="1" applyFill="1" applyBorder="1" applyAlignment="1">
      <alignment horizontal="right" vertical="center"/>
    </xf>
    <xf numFmtId="10" fontId="19" fillId="20" borderId="8" xfId="3" applyNumberFormat="1" applyFont="1" applyFill="1" applyBorder="1" applyAlignment="1">
      <alignment horizontal="center" vertical="center"/>
    </xf>
    <xf numFmtId="0" fontId="19" fillId="21" borderId="8" xfId="240" applyFont="1" applyFill="1" applyBorder="1" applyAlignment="1">
      <alignment horizontal="left" vertical="center"/>
    </xf>
    <xf numFmtId="0" fontId="19" fillId="21" borderId="8" xfId="240" applyFont="1" applyFill="1" applyBorder="1" applyAlignment="1">
      <alignment horizontal="right" vertical="center"/>
    </xf>
    <xf numFmtId="10" fontId="19" fillId="21" borderId="8" xfId="3" applyNumberFormat="1" applyFont="1" applyFill="1" applyBorder="1" applyAlignment="1">
      <alignment horizontal="center" vertical="center"/>
    </xf>
    <xf numFmtId="176" fontId="10" fillId="17" borderId="0" xfId="314" applyNumberFormat="1" applyFill="1" applyAlignment="1">
      <alignment horizontal="left" vertical="center"/>
    </xf>
    <xf numFmtId="0" fontId="13" fillId="22" borderId="8" xfId="240" applyFont="1" applyFill="1" applyBorder="1" applyAlignment="1">
      <alignment horizontal="left" vertical="center"/>
    </xf>
    <xf numFmtId="0" fontId="13" fillId="22" borderId="8" xfId="240" applyFont="1" applyFill="1" applyBorder="1" applyAlignment="1">
      <alignment horizontal="right" vertical="center"/>
    </xf>
    <xf numFmtId="10" fontId="13" fillId="22" borderId="8" xfId="3" applyNumberFormat="1" applyFont="1" applyFill="1" applyBorder="1" applyAlignment="1">
      <alignment horizontal="center" vertical="center"/>
    </xf>
    <xf numFmtId="0" fontId="13" fillId="0" borderId="8" xfId="240" applyFont="1" applyBorder="1" applyAlignment="1">
      <alignment horizontal="left" vertical="center"/>
    </xf>
    <xf numFmtId="0" fontId="13" fillId="0" borderId="8" xfId="240" applyFont="1" applyBorder="1" applyAlignment="1">
      <alignment horizontal="right" vertical="center"/>
    </xf>
    <xf numFmtId="0" fontId="13" fillId="0" borderId="8" xfId="240" applyFont="1" applyBorder="1" applyAlignment="1">
      <alignment horizontal="left" vertical="center" wrapText="1"/>
    </xf>
    <xf numFmtId="186" fontId="13" fillId="0" borderId="8" xfId="470" applyFont="1" applyBorder="1" applyAlignment="1">
      <alignment horizontal="center" vertical="center"/>
    </xf>
    <xf numFmtId="10" fontId="13" fillId="0" borderId="8" xfId="3" applyNumberFormat="1" applyFont="1" applyBorder="1" applyAlignment="1">
      <alignment horizontal="center" vertical="center"/>
    </xf>
    <xf numFmtId="10" fontId="13" fillId="0" borderId="8" xfId="470" applyNumberFormat="1" applyFont="1" applyBorder="1" applyAlignment="1">
      <alignment horizontal="center" vertical="center"/>
    </xf>
    <xf numFmtId="0" fontId="13" fillId="11" borderId="8" xfId="240" applyFont="1" applyFill="1" applyBorder="1" applyAlignment="1">
      <alignment horizontal="left" vertical="center"/>
    </xf>
    <xf numFmtId="0" fontId="13" fillId="11" borderId="8" xfId="240" applyFont="1" applyFill="1" applyBorder="1" applyAlignment="1">
      <alignment horizontal="right" vertical="center"/>
    </xf>
    <xf numFmtId="10" fontId="13" fillId="11" borderId="8" xfId="3" applyNumberFormat="1" applyFont="1" applyFill="1" applyBorder="1" applyAlignment="1">
      <alignment horizontal="center" vertical="center"/>
    </xf>
    <xf numFmtId="0" fontId="13" fillId="18" borderId="8" xfId="240" applyFont="1" applyFill="1" applyBorder="1" applyAlignment="1">
      <alignment horizontal="left" vertical="center"/>
    </xf>
    <xf numFmtId="0" fontId="13" fillId="18" borderId="8" xfId="240" applyFont="1" applyFill="1" applyBorder="1" applyAlignment="1">
      <alignment horizontal="right" vertical="center"/>
    </xf>
    <xf numFmtId="10" fontId="13" fillId="18" borderId="8" xfId="3" applyNumberFormat="1" applyFont="1" applyFill="1" applyBorder="1" applyAlignment="1">
      <alignment horizontal="center" vertical="center"/>
    </xf>
    <xf numFmtId="0" fontId="13" fillId="19" borderId="8" xfId="240" applyFont="1" applyFill="1" applyBorder="1" applyAlignment="1">
      <alignment horizontal="left" vertical="center"/>
    </xf>
    <xf numFmtId="0" fontId="13" fillId="19" borderId="8" xfId="240" applyFont="1" applyFill="1" applyBorder="1" applyAlignment="1">
      <alignment horizontal="right" vertical="center"/>
    </xf>
    <xf numFmtId="10" fontId="13" fillId="19" borderId="8" xfId="3" applyNumberFormat="1" applyFont="1" applyFill="1" applyBorder="1" applyAlignment="1">
      <alignment horizontal="center" vertical="center"/>
    </xf>
    <xf numFmtId="176" fontId="13" fillId="0" borderId="0" xfId="1" applyFont="1" applyAlignment="1">
      <alignment horizontal="left"/>
    </xf>
    <xf numFmtId="0" fontId="7" fillId="0" borderId="0" xfId="0" applyFont="1" applyAlignment="1">
      <alignment horizontal="left" vertical="center"/>
    </xf>
    <xf numFmtId="0" fontId="7" fillId="28" borderId="0" xfId="0" applyFont="1" applyFill="1" applyAlignment="1">
      <alignment horizontal="left" vertical="center"/>
    </xf>
    <xf numFmtId="0" fontId="7" fillId="15" borderId="0" xfId="0" applyFont="1" applyFill="1" applyAlignment="1">
      <alignment horizontal="left" vertical="center"/>
    </xf>
    <xf numFmtId="0" fontId="15" fillId="0" borderId="0" xfId="0" applyFont="1" applyAlignment="1">
      <alignment horizontal="left" vertical="center"/>
    </xf>
    <xf numFmtId="0" fontId="15" fillId="0" borderId="0" xfId="0" applyFont="1" applyFill="1" applyAlignment="1">
      <alignment horizontal="left" vertical="center"/>
    </xf>
    <xf numFmtId="0" fontId="7" fillId="11" borderId="0" xfId="0" applyFont="1" applyFill="1" applyAlignment="1">
      <alignment horizontal="left" vertical="center"/>
    </xf>
    <xf numFmtId="0" fontId="7" fillId="19" borderId="0" xfId="0" applyFont="1" applyFill="1" applyAlignment="1">
      <alignment horizontal="left" vertical="center"/>
    </xf>
    <xf numFmtId="0" fontId="7" fillId="10" borderId="0" xfId="0" applyFont="1" applyFill="1" applyAlignment="1">
      <alignment horizontal="lef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176" fontId="7" fillId="0" borderId="0" xfId="1" applyFont="1" applyFill="1" applyBorder="1" applyAlignment="1">
      <alignment horizontal="center" vertical="center"/>
    </xf>
    <xf numFmtId="176" fontId="16" fillId="0" borderId="8" xfId="1" applyFont="1" applyFill="1" applyBorder="1" applyAlignment="1">
      <alignment horizontal="center" vertical="center" wrapText="1"/>
    </xf>
    <xf numFmtId="186" fontId="7" fillId="0" borderId="0" xfId="0" applyNumberFormat="1" applyFont="1" applyAlignment="1">
      <alignment horizontal="left" vertical="center"/>
    </xf>
    <xf numFmtId="1" fontId="16" fillId="0" borderId="8" xfId="0" applyNumberFormat="1" applyFont="1" applyBorder="1" applyAlignment="1">
      <alignment horizontal="center" vertical="center" shrinkToFit="1"/>
    </xf>
    <xf numFmtId="193" fontId="16" fillId="0" borderId="8" xfId="0" applyNumberFormat="1" applyFont="1" applyBorder="1" applyAlignment="1">
      <alignment horizontal="center" vertical="center" shrinkToFit="1"/>
    </xf>
    <xf numFmtId="176" fontId="7" fillId="0" borderId="0" xfId="1" applyFont="1" applyFill="1" applyBorder="1" applyAlignment="1">
      <alignment horizontal="left" vertical="center"/>
    </xf>
    <xf numFmtId="4" fontId="7" fillId="0" borderId="0" xfId="0" applyNumberFormat="1" applyFont="1" applyAlignment="1">
      <alignment horizontal="left" vertical="center"/>
    </xf>
    <xf numFmtId="194" fontId="16" fillId="0" borderId="8" xfId="0" applyNumberFormat="1" applyFont="1" applyBorder="1" applyAlignment="1">
      <alignment horizontal="center" vertical="center" shrinkToFit="1"/>
    </xf>
    <xf numFmtId="1" fontId="7" fillId="28" borderId="8" xfId="0" applyNumberFormat="1" applyFont="1" applyFill="1" applyBorder="1" applyAlignment="1">
      <alignment horizontal="center" vertical="center" shrinkToFit="1"/>
    </xf>
    <xf numFmtId="192" fontId="7" fillId="28" borderId="8" xfId="0" applyNumberFormat="1" applyFont="1" applyFill="1" applyBorder="1" applyAlignment="1">
      <alignment horizontal="center" vertical="center" shrinkToFit="1"/>
    </xf>
    <xf numFmtId="0" fontId="7" fillId="28" borderId="8" xfId="0" applyFont="1" applyFill="1" applyBorder="1" applyAlignment="1">
      <alignment vertical="center" wrapText="1"/>
    </xf>
    <xf numFmtId="176" fontId="7" fillId="28" borderId="8" xfId="1" applyFont="1" applyFill="1" applyBorder="1" applyAlignment="1">
      <alignment horizontal="center" vertical="center" wrapText="1"/>
    </xf>
    <xf numFmtId="176" fontId="7" fillId="28" borderId="8" xfId="1" applyFont="1" applyFill="1" applyBorder="1" applyAlignment="1">
      <alignment horizontal="center" vertical="center" shrinkToFit="1"/>
    </xf>
    <xf numFmtId="1" fontId="7" fillId="28" borderId="8" xfId="0" applyNumberFormat="1" applyFont="1" applyFill="1" applyBorder="1" applyAlignment="1">
      <alignment horizontal="center" vertical="center" wrapText="1"/>
    </xf>
    <xf numFmtId="0" fontId="7" fillId="28" borderId="8" xfId="0" applyFont="1" applyFill="1" applyBorder="1" applyAlignment="1">
      <alignment horizontal="center" vertical="center" wrapText="1"/>
    </xf>
    <xf numFmtId="1" fontId="7" fillId="15" borderId="8" xfId="0" applyNumberFormat="1" applyFont="1" applyFill="1" applyBorder="1" applyAlignment="1">
      <alignment horizontal="center" vertical="center" shrinkToFit="1"/>
    </xf>
    <xf numFmtId="192" fontId="7" fillId="15" borderId="8" xfId="0" applyNumberFormat="1" applyFont="1" applyFill="1" applyBorder="1" applyAlignment="1">
      <alignment horizontal="center" vertical="center" shrinkToFit="1"/>
    </xf>
    <xf numFmtId="0" fontId="7" fillId="15" borderId="8" xfId="0" applyFont="1" applyFill="1" applyBorder="1" applyAlignment="1">
      <alignment vertical="center" wrapText="1"/>
    </xf>
    <xf numFmtId="176" fontId="7" fillId="15" borderId="8" xfId="1" applyFont="1" applyFill="1" applyBorder="1" applyAlignment="1">
      <alignment horizontal="center" vertical="center" wrapText="1"/>
    </xf>
    <xf numFmtId="176" fontId="7" fillId="15" borderId="8" xfId="1" applyFont="1" applyFill="1" applyBorder="1" applyAlignment="1">
      <alignment horizontal="center" vertical="center" shrinkToFit="1"/>
    </xf>
    <xf numFmtId="0" fontId="15" fillId="0" borderId="8" xfId="0" applyFont="1" applyBorder="1" applyAlignment="1">
      <alignment vertical="center" wrapText="1"/>
    </xf>
    <xf numFmtId="176" fontId="15" fillId="0" borderId="8" xfId="1" applyFont="1" applyFill="1" applyBorder="1" applyAlignment="1">
      <alignment horizontal="center" vertical="center" wrapText="1"/>
    </xf>
    <xf numFmtId="176" fontId="15" fillId="0" borderId="8" xfId="1" applyFont="1" applyFill="1" applyBorder="1" applyAlignment="1">
      <alignment horizontal="center" vertical="center" shrinkToFit="1"/>
    </xf>
    <xf numFmtId="1" fontId="15" fillId="0" borderId="8" xfId="0" applyNumberFormat="1" applyFont="1" applyFill="1" applyBorder="1" applyAlignment="1">
      <alignment horizontal="center" vertical="center" wrapText="1"/>
    </xf>
    <xf numFmtId="0" fontId="15" fillId="0" borderId="8" xfId="0" applyFont="1" applyFill="1" applyBorder="1" applyAlignment="1">
      <alignment horizontal="center" vertical="center" wrapText="1"/>
    </xf>
    <xf numFmtId="0" fontId="15" fillId="0" borderId="8" xfId="0" applyFont="1" applyFill="1" applyBorder="1" applyAlignment="1">
      <alignment vertical="center" wrapText="1"/>
    </xf>
    <xf numFmtId="1" fontId="7" fillId="11" borderId="8" xfId="0" applyNumberFormat="1" applyFont="1" applyFill="1" applyBorder="1" applyAlignment="1">
      <alignment horizontal="center" vertical="center" wrapText="1"/>
    </xf>
    <xf numFmtId="0" fontId="7" fillId="11" borderId="8" xfId="0" applyFont="1" applyFill="1" applyBorder="1" applyAlignment="1">
      <alignment horizontal="center" vertical="center" wrapText="1"/>
    </xf>
    <xf numFmtId="0" fontId="7" fillId="11" borderId="8" xfId="0" applyFont="1" applyFill="1" applyBorder="1" applyAlignment="1">
      <alignment vertical="center" wrapText="1"/>
    </xf>
    <xf numFmtId="176" fontId="7" fillId="11" borderId="8" xfId="1" applyFont="1" applyFill="1" applyBorder="1" applyAlignment="1">
      <alignment horizontal="center" vertical="center" wrapText="1"/>
    </xf>
    <xf numFmtId="176" fontId="7" fillId="11" borderId="8" xfId="1" applyFont="1" applyFill="1" applyBorder="1" applyAlignment="1">
      <alignment horizontal="center" vertical="center" shrinkToFit="1"/>
    </xf>
    <xf numFmtId="1" fontId="7" fillId="19" borderId="8" xfId="0" applyNumberFormat="1" applyFont="1" applyFill="1" applyBorder="1" applyAlignment="1">
      <alignment horizontal="center" vertical="center" shrinkToFit="1"/>
    </xf>
    <xf numFmtId="0" fontId="7" fillId="19" borderId="8" xfId="0" applyFont="1" applyFill="1" applyBorder="1" applyAlignment="1">
      <alignment vertical="center" wrapText="1"/>
    </xf>
    <xf numFmtId="176" fontId="7" fillId="19" borderId="8" xfId="1" applyFont="1" applyFill="1" applyBorder="1" applyAlignment="1">
      <alignment horizontal="center" vertical="center" wrapText="1"/>
    </xf>
    <xf numFmtId="176" fontId="7" fillId="19" borderId="8" xfId="1" applyFont="1" applyFill="1" applyBorder="1" applyAlignment="1">
      <alignment horizontal="center" vertical="center" shrinkToFit="1"/>
    </xf>
    <xf numFmtId="1" fontId="7" fillId="11" borderId="8" xfId="0" applyNumberFormat="1" applyFont="1" applyFill="1" applyBorder="1" applyAlignment="1">
      <alignment horizontal="center" vertical="center" shrinkToFit="1"/>
    </xf>
    <xf numFmtId="1" fontId="7" fillId="19" borderId="8" xfId="0" applyNumberFormat="1" applyFont="1" applyFill="1" applyBorder="1" applyAlignment="1">
      <alignment horizontal="center" vertical="center" wrapText="1"/>
    </xf>
    <xf numFmtId="0" fontId="7" fillId="19" borderId="8" xfId="0" applyFont="1" applyFill="1" applyBorder="1" applyAlignment="1">
      <alignment horizontal="center" vertical="center" wrapText="1"/>
    </xf>
    <xf numFmtId="1" fontId="7" fillId="10" borderId="8" xfId="0" applyNumberFormat="1" applyFont="1" applyFill="1" applyBorder="1" applyAlignment="1">
      <alignment horizontal="center" vertical="center" wrapText="1"/>
    </xf>
    <xf numFmtId="0" fontId="7" fillId="10" borderId="8" xfId="0" applyFont="1" applyFill="1" applyBorder="1" applyAlignment="1">
      <alignment horizontal="center" vertical="center" wrapText="1"/>
    </xf>
    <xf numFmtId="0" fontId="7" fillId="10" borderId="8" xfId="0" applyFont="1" applyFill="1" applyBorder="1" applyAlignment="1">
      <alignment vertical="center" wrapText="1"/>
    </xf>
    <xf numFmtId="176" fontId="7" fillId="10" borderId="8" xfId="1" applyFont="1" applyFill="1" applyBorder="1" applyAlignment="1">
      <alignment horizontal="center" vertical="center" wrapText="1"/>
    </xf>
    <xf numFmtId="176" fontId="7" fillId="10" borderId="8" xfId="1" applyFont="1" applyFill="1" applyBorder="1" applyAlignment="1">
      <alignment horizontal="center" vertical="center" shrinkToFit="1"/>
    </xf>
    <xf numFmtId="1" fontId="7" fillId="10" borderId="8" xfId="0" applyNumberFormat="1" applyFont="1" applyFill="1" applyBorder="1" applyAlignment="1">
      <alignment horizontal="center" vertical="center" shrinkToFit="1"/>
    </xf>
    <xf numFmtId="186" fontId="7" fillId="10" borderId="0" xfId="0" applyNumberFormat="1" applyFont="1" applyFill="1" applyAlignment="1">
      <alignment horizontal="left" vertical="center"/>
    </xf>
    <xf numFmtId="186" fontId="7" fillId="19" borderId="0" xfId="0" applyNumberFormat="1" applyFont="1" applyFill="1" applyAlignment="1">
      <alignment horizontal="left" vertical="center"/>
    </xf>
    <xf numFmtId="176" fontId="7" fillId="19" borderId="0" xfId="1" applyFont="1" applyFill="1" applyAlignment="1">
      <alignment horizontal="left" vertical="center"/>
    </xf>
    <xf numFmtId="1" fontId="7" fillId="15" borderId="8" xfId="0" applyNumberFormat="1" applyFont="1" applyFill="1" applyBorder="1" applyAlignment="1">
      <alignment horizontal="center" vertical="center" wrapText="1"/>
    </xf>
    <xf numFmtId="0" fontId="7" fillId="15" borderId="8" xfId="0" applyFont="1" applyFill="1" applyBorder="1" applyAlignment="1">
      <alignment horizontal="center" vertical="center" wrapText="1"/>
    </xf>
    <xf numFmtId="186" fontId="7" fillId="28" borderId="0" xfId="0" applyNumberFormat="1" applyFont="1" applyFill="1" applyAlignment="1">
      <alignment horizontal="left" vertical="center"/>
    </xf>
    <xf numFmtId="0" fontId="21" fillId="0" borderId="0" xfId="230" applyFont="1" applyAlignment="1">
      <alignment vertical="top"/>
    </xf>
    <xf numFmtId="0" fontId="11" fillId="0" borderId="0" xfId="229" applyAlignment="1">
      <alignment vertical="top"/>
    </xf>
    <xf numFmtId="1" fontId="11" fillId="0" borderId="0" xfId="230" applyNumberFormat="1" applyAlignment="1">
      <alignment horizontal="center" vertical="top"/>
    </xf>
    <xf numFmtId="0" fontId="11" fillId="0" borderId="0" xfId="230" applyAlignment="1">
      <alignment vertical="top" wrapText="1"/>
    </xf>
    <xf numFmtId="0" fontId="11" fillId="0" borderId="0" xfId="230" applyAlignment="1">
      <alignment vertical="top"/>
    </xf>
    <xf numFmtId="4" fontId="11" fillId="0" borderId="0" xfId="230" applyNumberFormat="1" applyAlignment="1">
      <alignment vertical="top" wrapText="1"/>
    </xf>
    <xf numFmtId="1" fontId="22" fillId="16" borderId="8" xfId="230" applyNumberFormat="1" applyFont="1" applyFill="1" applyBorder="1" applyAlignment="1">
      <alignment horizontal="center" vertical="top"/>
    </xf>
    <xf numFmtId="0" fontId="22" fillId="16" borderId="8" xfId="230" applyFont="1" applyFill="1" applyBorder="1" applyAlignment="1">
      <alignment horizontal="center" vertical="top" wrapText="1"/>
    </xf>
    <xf numFmtId="0" fontId="22" fillId="16" borderId="8" xfId="230" applyFont="1" applyFill="1" applyBorder="1" applyAlignment="1">
      <alignment horizontal="center" vertical="top"/>
    </xf>
    <xf numFmtId="4" fontId="22" fillId="16" borderId="8" xfId="230" applyNumberFormat="1" applyFont="1" applyFill="1" applyBorder="1" applyAlignment="1">
      <alignment horizontal="center" vertical="top" wrapText="1"/>
    </xf>
    <xf numFmtId="0" fontId="11" fillId="0" borderId="8" xfId="230" applyBorder="1" applyAlignment="1">
      <alignment horizontal="center" vertical="top"/>
    </xf>
    <xf numFmtId="0" fontId="11" fillId="0" borderId="8" xfId="230" applyFont="1" applyBorder="1" applyAlignment="1">
      <alignment horizontal="left" vertical="top" wrapText="1"/>
    </xf>
    <xf numFmtId="4" fontId="11" fillId="29" borderId="8" xfId="230" applyNumberFormat="1" applyFill="1" applyBorder="1" applyAlignment="1">
      <alignment horizontal="center" vertical="top" wrapText="1"/>
    </xf>
    <xf numFmtId="2" fontId="11" fillId="0" borderId="8" xfId="230" applyNumberFormat="1" applyBorder="1" applyAlignment="1">
      <alignment horizontal="center" vertical="top"/>
    </xf>
    <xf numFmtId="195" fontId="11" fillId="0" borderId="8" xfId="230" applyNumberFormat="1" applyBorder="1" applyAlignment="1">
      <alignment horizontal="center" vertical="top" wrapText="1"/>
    </xf>
    <xf numFmtId="0" fontId="11" fillId="0" borderId="8" xfId="230" applyFont="1" applyBorder="1" applyAlignment="1">
      <alignment horizontal="center" vertical="top"/>
    </xf>
    <xf numFmtId="0" fontId="11" fillId="0" borderId="8" xfId="230" applyBorder="1" applyAlignment="1">
      <alignment horizontal="left" vertical="top" wrapText="1"/>
    </xf>
    <xf numFmtId="0" fontId="21" fillId="0" borderId="8" xfId="230" applyFont="1" applyBorder="1" applyAlignment="1">
      <alignment horizontal="center" vertical="top"/>
    </xf>
    <xf numFmtId="0" fontId="21" fillId="0" borderId="8" xfId="230" applyFont="1" applyBorder="1" applyAlignment="1">
      <alignment horizontal="left" vertical="top" wrapText="1"/>
    </xf>
    <xf numFmtId="4" fontId="21" fillId="29" borderId="8" xfId="230" applyNumberFormat="1" applyFont="1" applyFill="1" applyBorder="1" applyAlignment="1">
      <alignment horizontal="center" vertical="top" wrapText="1"/>
    </xf>
    <xf numFmtId="2" fontId="21" fillId="0" borderId="8" xfId="230" applyNumberFormat="1" applyFont="1" applyBorder="1" applyAlignment="1">
      <alignment horizontal="center" vertical="top"/>
    </xf>
    <xf numFmtId="195" fontId="21" fillId="0" borderId="8" xfId="230" applyNumberFormat="1" applyFont="1" applyBorder="1" applyAlignment="1">
      <alignment horizontal="center" vertical="top" wrapText="1"/>
    </xf>
    <xf numFmtId="1" fontId="11" fillId="0" borderId="8" xfId="229" applyNumberFormat="1" applyBorder="1" applyAlignment="1">
      <alignment horizontal="left" vertical="top"/>
    </xf>
    <xf numFmtId="0" fontId="11" fillId="0" borderId="8" xfId="229" applyBorder="1" applyAlignment="1">
      <alignment horizontal="left" vertical="top" wrapText="1"/>
    </xf>
    <xf numFmtId="0" fontId="11" fillId="0" borderId="8" xfId="229" applyBorder="1" applyAlignment="1">
      <alignment horizontal="center" vertical="top"/>
    </xf>
    <xf numFmtId="4" fontId="11" fillId="30" borderId="8" xfId="229" applyNumberFormat="1" applyFill="1" applyBorder="1" applyAlignment="1">
      <alignment horizontal="center" vertical="top" wrapText="1"/>
    </xf>
    <xf numFmtId="2" fontId="11" fillId="0" borderId="8" xfId="229" applyNumberFormat="1" applyBorder="1" applyAlignment="1">
      <alignment horizontal="center" vertical="top"/>
    </xf>
    <xf numFmtId="195" fontId="11" fillId="0" borderId="8" xfId="229" applyNumberFormat="1" applyBorder="1" applyAlignment="1">
      <alignment horizontal="center" vertical="top" wrapText="1"/>
    </xf>
    <xf numFmtId="1" fontId="11" fillId="0" borderId="8" xfId="230" applyNumberFormat="1" applyBorder="1" applyAlignment="1">
      <alignment horizontal="center" vertical="top"/>
    </xf>
    <xf numFmtId="0" fontId="11" fillId="0" borderId="8" xfId="229" applyBorder="1" applyAlignment="1">
      <alignment horizontal="left" vertical="top"/>
    </xf>
    <xf numFmtId="49" fontId="11" fillId="0" borderId="8" xfId="229" applyNumberFormat="1" applyBorder="1" applyAlignment="1">
      <alignment horizontal="left" vertical="top"/>
    </xf>
    <xf numFmtId="0" fontId="22" fillId="16" borderId="10" xfId="230" applyFont="1" applyFill="1" applyBorder="1" applyAlignment="1">
      <alignment horizontal="center" vertical="top"/>
    </xf>
    <xf numFmtId="0" fontId="22" fillId="16" borderId="9" xfId="230" applyFont="1" applyFill="1" applyBorder="1" applyAlignment="1">
      <alignment horizontal="center" vertical="top"/>
    </xf>
    <xf numFmtId="4" fontId="11" fillId="0" borderId="8" xfId="2" applyNumberFormat="1" applyFont="1" applyBorder="1" applyAlignment="1">
      <alignment horizontal="center" vertical="top" wrapText="1"/>
    </xf>
    <xf numFmtId="0" fontId="11" fillId="16" borderId="8" xfId="230" applyFill="1" applyBorder="1" applyAlignment="1">
      <alignment horizontal="center" vertical="top"/>
    </xf>
    <xf numFmtId="195" fontId="11" fillId="0" borderId="8" xfId="230" applyNumberFormat="1" applyBorder="1" applyAlignment="1">
      <alignment horizontal="center" vertical="top"/>
    </xf>
    <xf numFmtId="2" fontId="11" fillId="0" borderId="8" xfId="230" applyNumberFormat="1" applyBorder="1" applyAlignment="1">
      <alignment horizontal="center" vertical="top" wrapText="1"/>
    </xf>
    <xf numFmtId="1" fontId="11" fillId="0" borderId="0" xfId="230" applyNumberFormat="1" applyAlignment="1">
      <alignment vertical="top"/>
    </xf>
    <xf numFmtId="2" fontId="11" fillId="11" borderId="8" xfId="230" applyNumberFormat="1" applyFill="1" applyBorder="1" applyAlignment="1">
      <alignment horizontal="center" vertical="top" wrapText="1"/>
    </xf>
    <xf numFmtId="2" fontId="11" fillId="11" borderId="8" xfId="230" applyNumberFormat="1" applyFill="1" applyBorder="1" applyAlignment="1">
      <alignment horizontal="center" vertical="top"/>
    </xf>
    <xf numFmtId="195" fontId="11" fillId="11" borderId="8" xfId="230" applyNumberFormat="1" applyFill="1" applyBorder="1" applyAlignment="1">
      <alignment horizontal="center" vertical="top" wrapText="1"/>
    </xf>
    <xf numFmtId="0" fontId="11" fillId="0" borderId="0" xfId="230" applyAlignment="1">
      <alignment horizontal="center" vertical="top"/>
    </xf>
    <xf numFmtId="196" fontId="11" fillId="0" borderId="0" xfId="230" applyNumberFormat="1" applyAlignment="1">
      <alignment horizontal="center" vertical="top"/>
    </xf>
    <xf numFmtId="195" fontId="11" fillId="16" borderId="8" xfId="230" applyNumberFormat="1" applyFill="1" applyBorder="1" applyAlignment="1">
      <alignment horizontal="center" vertical="top" wrapText="1"/>
    </xf>
    <xf numFmtId="0" fontId="6" fillId="0" borderId="0" xfId="240" applyFont="1" applyAlignment="1" applyProtection="1">
      <alignment vertical="center" wrapText="1"/>
      <protection locked="0"/>
    </xf>
    <xf numFmtId="0" fontId="9" fillId="0" borderId="0" xfId="240" applyFont="1" applyAlignment="1">
      <alignment vertical="center" wrapText="1"/>
    </xf>
    <xf numFmtId="4" fontId="6" fillId="0" borderId="0" xfId="240" applyNumberFormat="1" applyFont="1" applyAlignment="1">
      <alignment horizontal="right" vertical="center" wrapText="1"/>
    </xf>
    <xf numFmtId="0" fontId="6" fillId="0" borderId="0" xfId="240" applyFont="1" applyAlignment="1">
      <alignment vertical="center" wrapText="1"/>
    </xf>
    <xf numFmtId="176" fontId="6" fillId="0" borderId="0" xfId="240" applyNumberFormat="1" applyFont="1" applyAlignment="1">
      <alignment horizontal="center" vertical="center" wrapText="1"/>
    </xf>
    <xf numFmtId="0" fontId="6" fillId="13" borderId="0" xfId="240" applyFont="1" applyFill="1" applyAlignment="1">
      <alignment vertical="center" wrapText="1"/>
    </xf>
    <xf numFmtId="0" fontId="23" fillId="31" borderId="11" xfId="240" applyFont="1" applyFill="1" applyBorder="1" applyAlignment="1" applyProtection="1">
      <alignment horizontal="left" vertical="center" wrapText="1"/>
      <protection locked="0"/>
    </xf>
    <xf numFmtId="0" fontId="23" fillId="31" borderId="12" xfId="240" applyFont="1" applyFill="1" applyBorder="1" applyAlignment="1" applyProtection="1">
      <alignment horizontal="left" vertical="center" wrapText="1"/>
      <protection locked="0"/>
    </xf>
    <xf numFmtId="0" fontId="23" fillId="31" borderId="13" xfId="240" applyFont="1" applyFill="1" applyBorder="1" applyAlignment="1" applyProtection="1">
      <alignment horizontal="left" vertical="center" wrapText="1"/>
      <protection locked="0"/>
    </xf>
    <xf numFmtId="186" fontId="6" fillId="0" borderId="0" xfId="240" applyNumberFormat="1" applyFont="1" applyAlignment="1">
      <alignment vertical="center" wrapText="1"/>
    </xf>
    <xf numFmtId="0" fontId="23" fillId="31" borderId="14" xfId="240" applyFont="1" applyFill="1" applyBorder="1" applyAlignment="1" applyProtection="1">
      <alignment horizontal="center" vertical="center" wrapText="1"/>
      <protection locked="0"/>
    </xf>
    <xf numFmtId="0" fontId="23" fillId="31" borderId="15" xfId="240" applyFont="1" applyFill="1" applyBorder="1" applyAlignment="1" applyProtection="1">
      <alignment horizontal="center" vertical="center" wrapText="1"/>
      <protection locked="0"/>
    </xf>
    <xf numFmtId="4" fontId="23" fillId="31" borderId="15" xfId="240" applyNumberFormat="1" applyFont="1" applyFill="1" applyBorder="1" applyAlignment="1" applyProtection="1">
      <alignment horizontal="center" vertical="center" wrapText="1"/>
      <protection locked="0"/>
    </xf>
    <xf numFmtId="0" fontId="23" fillId="31" borderId="16" xfId="240" applyFont="1" applyFill="1" applyBorder="1" applyAlignment="1" applyProtection="1">
      <alignment horizontal="center" vertical="center" wrapText="1"/>
      <protection locked="0"/>
    </xf>
    <xf numFmtId="0" fontId="6" fillId="13" borderId="0" xfId="240" applyFont="1" applyFill="1" applyAlignment="1" applyProtection="1">
      <alignment vertical="center" wrapText="1"/>
      <protection locked="0"/>
    </xf>
    <xf numFmtId="0" fontId="23" fillId="31" borderId="17" xfId="240" applyFont="1" applyFill="1" applyBorder="1" applyAlignment="1" applyProtection="1">
      <alignment horizontal="center" vertical="center" wrapText="1"/>
      <protection locked="0"/>
    </xf>
    <xf numFmtId="0" fontId="23" fillId="31" borderId="18" xfId="240" applyFont="1" applyFill="1" applyBorder="1" applyAlignment="1" applyProtection="1">
      <alignment horizontal="center" vertical="center" wrapText="1"/>
      <protection locked="0"/>
    </xf>
    <xf numFmtId="4" fontId="23" fillId="31" borderId="18" xfId="240" applyNumberFormat="1" applyFont="1" applyFill="1" applyBorder="1" applyAlignment="1" applyProtection="1">
      <alignment horizontal="center" vertical="center" wrapText="1"/>
      <protection locked="0"/>
    </xf>
    <xf numFmtId="0" fontId="23" fillId="31" borderId="19" xfId="240" applyFont="1" applyFill="1" applyBorder="1" applyAlignment="1" applyProtection="1">
      <alignment horizontal="center" vertical="center" wrapText="1"/>
      <protection locked="0"/>
    </xf>
    <xf numFmtId="186" fontId="6" fillId="0" borderId="0" xfId="240" applyNumberFormat="1" applyFont="1" applyAlignment="1" applyProtection="1">
      <alignment vertical="center" wrapText="1"/>
      <protection locked="0"/>
    </xf>
    <xf numFmtId="1" fontId="8" fillId="10" borderId="20" xfId="240" applyNumberFormat="1" applyFont="1" applyFill="1" applyBorder="1" applyAlignment="1">
      <alignment horizontal="center" vertical="center" wrapText="1"/>
    </xf>
    <xf numFmtId="0" fontId="8" fillId="10" borderId="10" xfId="240" applyFont="1" applyFill="1" applyBorder="1" applyAlignment="1">
      <alignment vertical="center" wrapText="1"/>
    </xf>
    <xf numFmtId="4" fontId="8" fillId="10" borderId="21" xfId="240" applyNumberFormat="1" applyFont="1" applyFill="1" applyBorder="1" applyAlignment="1">
      <alignment horizontal="right" vertical="center" wrapText="1"/>
    </xf>
    <xf numFmtId="197" fontId="8" fillId="10" borderId="21" xfId="240" applyNumberFormat="1" applyFont="1" applyFill="1" applyBorder="1" applyAlignment="1">
      <alignment horizontal="left" vertical="center" wrapText="1"/>
    </xf>
    <xf numFmtId="182" fontId="8" fillId="10" borderId="21" xfId="207" applyFont="1" applyFill="1" applyBorder="1" applyAlignment="1">
      <alignment horizontal="left" vertical="center" wrapText="1"/>
    </xf>
    <xf numFmtId="186" fontId="8" fillId="10" borderId="22" xfId="463" applyFont="1" applyFill="1" applyBorder="1" applyAlignment="1">
      <alignment horizontal="center" vertical="center" wrapText="1"/>
    </xf>
    <xf numFmtId="0" fontId="24" fillId="0" borderId="0" xfId="240" applyFont="1" applyAlignment="1" applyProtection="1">
      <alignment vertical="center" wrapText="1"/>
      <protection locked="0"/>
    </xf>
    <xf numFmtId="0" fontId="25" fillId="0" borderId="0" xfId="304" applyFont="1" applyAlignment="1">
      <alignment horizontal="center" vertical="center"/>
    </xf>
    <xf numFmtId="1" fontId="6" fillId="13" borderId="20" xfId="240" applyNumberFormat="1" applyFont="1" applyFill="1" applyBorder="1" applyAlignment="1">
      <alignment horizontal="center" vertical="center" wrapText="1"/>
    </xf>
    <xf numFmtId="0" fontId="6" fillId="0" borderId="8" xfId="241" applyFont="1" applyBorder="1" applyAlignment="1">
      <alignment vertical="center" wrapText="1"/>
    </xf>
    <xf numFmtId="186" fontId="6" fillId="13" borderId="8" xfId="463" applyFont="1" applyFill="1" applyBorder="1" applyAlignment="1">
      <alignment horizontal="right" vertical="center" wrapText="1"/>
    </xf>
    <xf numFmtId="186" fontId="6" fillId="13" borderId="8" xfId="463" applyFont="1" applyFill="1" applyBorder="1" applyAlignment="1">
      <alignment horizontal="center" vertical="center" wrapText="1"/>
    </xf>
    <xf numFmtId="186" fontId="6" fillId="0" borderId="8" xfId="463" applyFont="1" applyFill="1" applyBorder="1" applyAlignment="1">
      <alignment horizontal="left" vertical="center" wrapText="1"/>
    </xf>
    <xf numFmtId="186" fontId="6" fillId="13" borderId="23" xfId="463" applyFont="1" applyFill="1" applyBorder="1" applyAlignment="1">
      <alignment horizontal="center" vertical="center" wrapText="1"/>
    </xf>
    <xf numFmtId="186" fontId="24" fillId="0" borderId="0" xfId="240" applyNumberFormat="1" applyFont="1" applyAlignment="1" applyProtection="1">
      <alignment vertical="center" wrapText="1"/>
      <protection locked="0"/>
    </xf>
    <xf numFmtId="0" fontId="9" fillId="13" borderId="0" xfId="240" applyFont="1" applyFill="1" applyAlignment="1">
      <alignment vertical="center" wrapText="1"/>
    </xf>
    <xf numFmtId="1" fontId="9" fillId="13" borderId="20" xfId="240" applyNumberFormat="1" applyFont="1" applyFill="1" applyBorder="1" applyAlignment="1">
      <alignment horizontal="center" vertical="center" wrapText="1"/>
    </xf>
    <xf numFmtId="0" fontId="9" fillId="0" borderId="8" xfId="240" applyFont="1" applyBorder="1" applyAlignment="1">
      <alignment vertical="center" wrapText="1"/>
    </xf>
    <xf numFmtId="186" fontId="9" fillId="0" borderId="8" xfId="463" applyFont="1" applyFill="1" applyBorder="1" applyAlignment="1">
      <alignment horizontal="right" vertical="center" wrapText="1"/>
    </xf>
    <xf numFmtId="186" fontId="9" fillId="0" borderId="8" xfId="463" applyFont="1" applyBorder="1" applyAlignment="1">
      <alignment horizontal="center" vertical="center" wrapText="1"/>
    </xf>
    <xf numFmtId="186" fontId="9" fillId="0" borderId="8" xfId="463" applyFont="1" applyFill="1" applyBorder="1" applyAlignment="1">
      <alignment horizontal="left" vertical="center" wrapText="1"/>
    </xf>
    <xf numFmtId="186" fontId="9" fillId="0" borderId="23" xfId="463" applyFont="1" applyFill="1" applyBorder="1" applyAlignment="1">
      <alignment horizontal="center" vertical="center" wrapText="1"/>
    </xf>
    <xf numFmtId="186" fontId="9" fillId="0" borderId="0" xfId="240" applyNumberFormat="1" applyFont="1" applyAlignment="1">
      <alignment vertical="center" wrapText="1"/>
    </xf>
    <xf numFmtId="10" fontId="9" fillId="0" borderId="0" xfId="334" applyNumberFormat="1" applyFont="1" applyFill="1" applyBorder="1" applyAlignment="1">
      <alignment horizontal="center" vertical="center"/>
    </xf>
    <xf numFmtId="186" fontId="9" fillId="13" borderId="0" xfId="463" applyFont="1" applyFill="1" applyBorder="1" applyAlignment="1">
      <alignment horizontal="right" vertical="center" wrapText="1"/>
    </xf>
    <xf numFmtId="9" fontId="9" fillId="0" borderId="0" xfId="240" applyNumberFormat="1" applyFont="1" applyAlignment="1">
      <alignment vertical="center" wrapText="1"/>
    </xf>
    <xf numFmtId="186" fontId="6" fillId="13" borderId="0" xfId="463" applyFont="1" applyFill="1" applyBorder="1" applyAlignment="1">
      <alignment horizontal="right" vertical="center" wrapText="1"/>
    </xf>
    <xf numFmtId="0" fontId="6" fillId="0" borderId="8" xfId="240" applyFont="1" applyBorder="1" applyAlignment="1">
      <alignment vertical="center" wrapText="1"/>
    </xf>
    <xf numFmtId="186" fontId="6" fillId="0" borderId="8" xfId="463" applyFont="1" applyFill="1" applyBorder="1" applyAlignment="1">
      <alignment horizontal="right" vertical="center" wrapText="1"/>
    </xf>
    <xf numFmtId="186" fontId="6" fillId="0" borderId="8" xfId="463" applyFont="1" applyBorder="1" applyAlignment="1">
      <alignment horizontal="center" vertical="center" wrapText="1"/>
    </xf>
    <xf numFmtId="186" fontId="6" fillId="0" borderId="23" xfId="463" applyFont="1" applyFill="1" applyBorder="1" applyAlignment="1">
      <alignment horizontal="center" vertical="center" wrapText="1"/>
    </xf>
    <xf numFmtId="176" fontId="24" fillId="0" borderId="0" xfId="1" applyFont="1" applyAlignment="1" applyProtection="1">
      <alignment vertical="center" wrapText="1"/>
      <protection locked="0"/>
    </xf>
    <xf numFmtId="186" fontId="6" fillId="0" borderId="8" xfId="463" applyFont="1" applyBorder="1" applyAlignment="1">
      <alignment horizontal="right" vertical="center" wrapText="1"/>
    </xf>
    <xf numFmtId="1" fontId="23" fillId="31" borderId="24" xfId="240" applyNumberFormat="1" applyFont="1" applyFill="1" applyBorder="1" applyAlignment="1">
      <alignment horizontal="center" vertical="center" wrapText="1"/>
    </xf>
    <xf numFmtId="1" fontId="23" fillId="31" borderId="25" xfId="240" applyNumberFormat="1" applyFont="1" applyFill="1" applyBorder="1" applyAlignment="1">
      <alignment vertical="center" wrapText="1"/>
    </xf>
    <xf numFmtId="4" fontId="23" fillId="31" borderId="25" xfId="240" applyNumberFormat="1" applyFont="1" applyFill="1" applyBorder="1" applyAlignment="1">
      <alignment horizontal="right" vertical="center" wrapText="1"/>
    </xf>
    <xf numFmtId="1" fontId="23" fillId="31" borderId="26" xfId="240" applyNumberFormat="1" applyFont="1" applyFill="1" applyBorder="1" applyAlignment="1">
      <alignment horizontal="center" vertical="center" wrapText="1"/>
    </xf>
    <xf numFmtId="186" fontId="23" fillId="31" borderId="27" xfId="463" applyFont="1" applyFill="1" applyBorder="1" applyAlignment="1">
      <alignment horizontal="center" vertical="center" wrapText="1"/>
    </xf>
    <xf numFmtId="0" fontId="24" fillId="0" borderId="0" xfId="240" applyFont="1" applyAlignment="1">
      <alignment vertical="center" wrapText="1"/>
    </xf>
    <xf numFmtId="0" fontId="9" fillId="0" borderId="28" xfId="240" applyFont="1" applyBorder="1" applyAlignment="1">
      <alignment horizontal="left" vertical="center" wrapText="1"/>
    </xf>
    <xf numFmtId="186" fontId="6" fillId="0" borderId="0" xfId="463" applyFont="1" applyFill="1" applyAlignment="1">
      <alignment vertical="center" wrapText="1"/>
    </xf>
    <xf numFmtId="0" fontId="9" fillId="0" borderId="0" xfId="240" applyFont="1" applyAlignment="1">
      <alignment vertical="center"/>
    </xf>
    <xf numFmtId="186" fontId="6" fillId="0" borderId="0" xfId="463" applyFont="1" applyFill="1" applyAlignment="1">
      <alignment horizontal="left" vertical="center" wrapText="1"/>
    </xf>
    <xf numFmtId="0" fontId="26" fillId="0" borderId="0" xfId="304" applyFont="1"/>
    <xf numFmtId="10" fontId="26" fillId="0" borderId="0" xfId="334" applyNumberFormat="1" applyFont="1" applyFill="1"/>
    <xf numFmtId="4" fontId="6" fillId="0" borderId="0" xfId="240" applyNumberFormat="1" applyFont="1" applyAlignment="1">
      <alignment vertical="center" wrapText="1"/>
    </xf>
    <xf numFmtId="186" fontId="26" fillId="0" borderId="0" xfId="304" applyNumberFormat="1" applyFont="1"/>
    <xf numFmtId="4" fontId="26" fillId="0" borderId="0" xfId="304" applyNumberFormat="1" applyFont="1"/>
    <xf numFmtId="0" fontId="21" fillId="2" borderId="0" xfId="326" applyFont="1" applyFill="1" applyAlignment="1">
      <alignment vertical="center"/>
    </xf>
    <xf numFmtId="0" fontId="21" fillId="4" borderId="0" xfId="326" applyFont="1" applyFill="1" applyAlignment="1">
      <alignment vertical="center"/>
    </xf>
    <xf numFmtId="0" fontId="21" fillId="11" borderId="0" xfId="325" applyFont="1" applyFill="1" applyAlignment="1">
      <alignment vertical="center"/>
    </xf>
    <xf numFmtId="0" fontId="21" fillId="0" borderId="0" xfId="325" applyFont="1" applyAlignment="1">
      <alignment vertical="center"/>
    </xf>
    <xf numFmtId="0" fontId="21" fillId="0" borderId="0" xfId="325" applyFont="1" applyAlignment="1">
      <alignment horizontal="center" vertical="center"/>
    </xf>
    <xf numFmtId="0" fontId="21" fillId="2" borderId="0" xfId="325" applyFont="1" applyFill="1" applyAlignment="1">
      <alignment vertical="center"/>
    </xf>
    <xf numFmtId="0" fontId="27" fillId="32" borderId="29" xfId="325" applyFont="1" applyFill="1" applyBorder="1" applyAlignment="1">
      <alignment horizontal="centerContinuous" vertical="center"/>
    </xf>
    <xf numFmtId="0" fontId="21" fillId="32" borderId="30" xfId="325" applyFont="1" applyFill="1" applyBorder="1" applyAlignment="1">
      <alignment horizontal="centerContinuous" vertical="center"/>
    </xf>
    <xf numFmtId="0" fontId="21" fillId="32" borderId="30" xfId="325" applyFont="1" applyFill="1" applyBorder="1" applyAlignment="1">
      <alignment horizontal="center" vertical="center"/>
    </xf>
    <xf numFmtId="0" fontId="28" fillId="32" borderId="31" xfId="325" applyFont="1" applyFill="1" applyBorder="1" applyAlignment="1">
      <alignment horizontal="centerContinuous" vertical="center"/>
    </xf>
    <xf numFmtId="0" fontId="29" fillId="33" borderId="5" xfId="325" applyFont="1" applyFill="1" applyBorder="1" applyAlignment="1">
      <alignment horizontal="center" vertical="center" wrapText="1"/>
    </xf>
    <xf numFmtId="0" fontId="30" fillId="5" borderId="32" xfId="0" applyFont="1" applyFill="1" applyBorder="1" applyAlignment="1">
      <alignment horizontal="centerContinuous" vertical="center" wrapText="1"/>
    </xf>
    <xf numFmtId="0" fontId="21" fillId="5" borderId="28" xfId="325" applyFont="1" applyFill="1" applyBorder="1" applyAlignment="1">
      <alignment horizontal="centerContinuous" vertical="center"/>
    </xf>
    <xf numFmtId="176" fontId="31" fillId="5" borderId="33" xfId="1" applyFont="1" applyFill="1" applyBorder="1" applyAlignment="1" applyProtection="1">
      <alignment horizontal="centerContinuous" vertical="center"/>
    </xf>
    <xf numFmtId="0" fontId="21" fillId="5" borderId="28" xfId="325" applyFont="1" applyFill="1" applyBorder="1" applyAlignment="1">
      <alignment horizontal="center" vertical="center"/>
    </xf>
    <xf numFmtId="0" fontId="21" fillId="5" borderId="33" xfId="325" applyFont="1" applyFill="1" applyBorder="1" applyAlignment="1">
      <alignment horizontal="centerContinuous" vertical="center"/>
    </xf>
    <xf numFmtId="0" fontId="32" fillId="33" borderId="0" xfId="325" applyFont="1" applyFill="1" applyAlignment="1">
      <alignment horizontal="center" vertical="center"/>
    </xf>
    <xf numFmtId="0" fontId="30" fillId="5" borderId="24" xfId="0" applyFont="1" applyFill="1" applyBorder="1" applyAlignment="1">
      <alignment horizontal="centerContinuous" vertical="center" wrapText="1"/>
    </xf>
    <xf numFmtId="0" fontId="21" fillId="5" borderId="25" xfId="325" applyFont="1" applyFill="1" applyBorder="1" applyAlignment="1">
      <alignment horizontal="centerContinuous" vertical="center"/>
    </xf>
    <xf numFmtId="176" fontId="31" fillId="5" borderId="34" xfId="1" applyFont="1" applyFill="1" applyBorder="1" applyAlignment="1" applyProtection="1">
      <alignment horizontal="centerContinuous" vertical="center"/>
    </xf>
    <xf numFmtId="0" fontId="21" fillId="5" borderId="24" xfId="325" applyFont="1" applyFill="1" applyBorder="1" applyAlignment="1">
      <alignment horizontal="centerContinuous" vertical="center"/>
    </xf>
    <xf numFmtId="0" fontId="21" fillId="5" borderId="25" xfId="325" applyFont="1" applyFill="1" applyBorder="1" applyAlignment="1">
      <alignment horizontal="center" vertical="center"/>
    </xf>
    <xf numFmtId="0" fontId="21" fillId="5" borderId="34" xfId="325" applyFont="1" applyFill="1" applyBorder="1" applyAlignment="1">
      <alignment horizontal="centerContinuous" vertical="center"/>
    </xf>
    <xf numFmtId="0" fontId="33" fillId="34" borderId="24" xfId="0" applyFont="1" applyFill="1" applyBorder="1" applyAlignment="1">
      <alignment horizontal="centerContinuous" vertical="center" wrapText="1"/>
    </xf>
    <xf numFmtId="0" fontId="34" fillId="34" borderId="25" xfId="325" applyFont="1" applyFill="1" applyBorder="1" applyAlignment="1">
      <alignment horizontal="centerContinuous" vertical="center"/>
    </xf>
    <xf numFmtId="176" fontId="35" fillId="34" borderId="34" xfId="1" applyFont="1" applyFill="1" applyBorder="1" applyAlignment="1" applyProtection="1">
      <alignment horizontal="centerContinuous" vertical="center"/>
    </xf>
    <xf numFmtId="0" fontId="34" fillId="34" borderId="24" xfId="325" applyFont="1" applyFill="1" applyBorder="1" applyAlignment="1">
      <alignment horizontal="centerContinuous" vertical="center"/>
    </xf>
    <xf numFmtId="0" fontId="34" fillId="34" borderId="30" xfId="325" applyFont="1" applyFill="1" applyBorder="1" applyAlignment="1">
      <alignment horizontal="center" vertical="center"/>
    </xf>
    <xf numFmtId="0" fontId="34" fillId="34" borderId="34" xfId="325" applyFont="1" applyFill="1" applyBorder="1" applyAlignment="1">
      <alignment horizontal="centerContinuous" vertical="center"/>
    </xf>
    <xf numFmtId="0" fontId="21" fillId="0" borderId="0" xfId="326" applyFont="1" applyAlignment="1">
      <alignment vertical="center"/>
    </xf>
    <xf numFmtId="0" fontId="36" fillId="0" borderId="0" xfId="326" applyFont="1" applyAlignment="1">
      <alignment horizontal="center" vertical="center"/>
    </xf>
    <xf numFmtId="198" fontId="36" fillId="0" borderId="0" xfId="213" applyNumberFormat="1" applyFont="1" applyAlignment="1" applyProtection="1">
      <alignment horizontal="center" vertical="center"/>
    </xf>
    <xf numFmtId="0" fontId="21" fillId="0" borderId="0" xfId="326" applyFont="1" applyAlignment="1">
      <alignment horizontal="center" vertical="center"/>
    </xf>
    <xf numFmtId="0" fontId="21" fillId="4" borderId="0" xfId="325" applyFont="1" applyFill="1" applyAlignment="1">
      <alignment vertical="center"/>
    </xf>
    <xf numFmtId="0" fontId="37" fillId="4" borderId="10" xfId="0" applyFont="1" applyFill="1" applyBorder="1" applyAlignment="1">
      <alignment horizontal="left" vertical="center"/>
    </xf>
    <xf numFmtId="0" fontId="31" fillId="4" borderId="21" xfId="0" applyFont="1" applyFill="1" applyBorder="1" applyAlignment="1">
      <alignment horizontal="centerContinuous" vertical="center"/>
    </xf>
    <xf numFmtId="0" fontId="30" fillId="4" borderId="21" xfId="0" applyFont="1" applyFill="1" applyBorder="1" applyAlignment="1">
      <alignment horizontal="centerContinuous" vertical="center"/>
    </xf>
    <xf numFmtId="0" fontId="30" fillId="4" borderId="10" xfId="0" applyFont="1" applyFill="1" applyBorder="1" applyAlignment="1">
      <alignment horizontal="right" vertical="center"/>
    </xf>
    <xf numFmtId="199" fontId="30" fillId="4" borderId="9" xfId="229" applyNumberFormat="1" applyFont="1" applyFill="1" applyBorder="1" applyAlignment="1">
      <alignment horizontal="center" vertical="center" wrapText="1"/>
    </xf>
    <xf numFmtId="198" fontId="36" fillId="4" borderId="0" xfId="213" applyNumberFormat="1" applyFont="1" applyFill="1" applyAlignment="1" applyProtection="1">
      <alignment horizontal="center" vertical="center"/>
    </xf>
    <xf numFmtId="0" fontId="21" fillId="4" borderId="0" xfId="326" applyFont="1" applyFill="1" applyAlignment="1">
      <alignment horizontal="center" vertical="center"/>
    </xf>
    <xf numFmtId="0" fontId="30" fillId="5" borderId="10" xfId="0" applyFont="1" applyFill="1" applyBorder="1" applyAlignment="1">
      <alignment horizontal="centerContinuous" vertical="center"/>
    </xf>
    <xf numFmtId="0" fontId="30" fillId="5" borderId="21" xfId="0" applyFont="1" applyFill="1" applyBorder="1" applyAlignment="1">
      <alignment horizontal="centerContinuous" vertical="center"/>
    </xf>
    <xf numFmtId="0" fontId="30" fillId="5" borderId="0" xfId="0" applyFont="1" applyFill="1" applyAlignment="1">
      <alignment horizontal="center" vertical="center"/>
    </xf>
    <xf numFmtId="0" fontId="30" fillId="5" borderId="9" xfId="0" applyFont="1" applyFill="1" applyBorder="1" applyAlignment="1">
      <alignment horizontal="centerContinuous" vertical="center"/>
    </xf>
    <xf numFmtId="0" fontId="22" fillId="8" borderId="18" xfId="0" applyFont="1" applyFill="1" applyBorder="1" applyAlignment="1">
      <alignment horizontal="center" vertical="center" wrapText="1"/>
    </xf>
    <xf numFmtId="0" fontId="22" fillId="8" borderId="4" xfId="0" applyFont="1" applyFill="1" applyBorder="1" applyAlignment="1">
      <alignment horizontal="center" vertical="center" wrapText="1"/>
    </xf>
    <xf numFmtId="0" fontId="22" fillId="8" borderId="8" xfId="0" applyFont="1" applyFill="1" applyBorder="1" applyAlignment="1">
      <alignment horizontal="center" vertical="center" wrapText="1"/>
    </xf>
    <xf numFmtId="0" fontId="22" fillId="0" borderId="0" xfId="0" applyFont="1" applyAlignment="1">
      <alignment horizontal="center" vertical="center" wrapText="1"/>
    </xf>
    <xf numFmtId="0" fontId="38" fillId="8" borderId="8" xfId="325" applyFont="1" applyFill="1" applyBorder="1" applyAlignment="1">
      <alignment horizontal="centerContinuous" vertical="center"/>
    </xf>
    <xf numFmtId="3" fontId="21" fillId="0" borderId="8" xfId="0" applyNumberFormat="1" applyFont="1" applyBorder="1" applyAlignment="1">
      <alignment horizontal="center" vertical="center"/>
    </xf>
    <xf numFmtId="0" fontId="21" fillId="7" borderId="8" xfId="0" applyFont="1" applyFill="1" applyBorder="1" applyAlignment="1" applyProtection="1">
      <alignment horizontal="left" vertical="center"/>
      <protection locked="0"/>
    </xf>
    <xf numFmtId="4" fontId="21" fillId="7" borderId="8" xfId="0" applyNumberFormat="1" applyFont="1" applyFill="1" applyBorder="1" applyAlignment="1" applyProtection="1">
      <alignment horizontal="center" vertical="center"/>
      <protection locked="0"/>
    </xf>
    <xf numFmtId="176" fontId="21" fillId="0" borderId="8" xfId="1" applyFont="1" applyBorder="1" applyAlignment="1" applyProtection="1">
      <alignment horizontal="center" vertical="center"/>
    </xf>
    <xf numFmtId="176" fontId="21" fillId="0" borderId="8" xfId="1" applyFont="1" applyBorder="1" applyAlignment="1">
      <alignment horizontal="center" vertical="center"/>
    </xf>
    <xf numFmtId="177" fontId="39" fillId="0" borderId="0" xfId="2" applyFont="1" applyBorder="1" applyAlignment="1" applyProtection="1">
      <alignment vertical="center"/>
    </xf>
    <xf numFmtId="3" fontId="21" fillId="13" borderId="8" xfId="0" applyNumberFormat="1" applyFont="1" applyFill="1" applyBorder="1" applyAlignment="1">
      <alignment horizontal="center" vertical="center"/>
    </xf>
    <xf numFmtId="0" fontId="21" fillId="13" borderId="8" xfId="0" applyFont="1" applyFill="1" applyBorder="1" applyAlignment="1" applyProtection="1">
      <alignment horizontal="left" vertical="center"/>
      <protection locked="0"/>
    </xf>
    <xf numFmtId="177" fontId="21" fillId="0" borderId="8" xfId="2" applyFont="1" applyBorder="1" applyAlignment="1" applyProtection="1">
      <alignment vertical="center"/>
    </xf>
    <xf numFmtId="0" fontId="21" fillId="7" borderId="8" xfId="0" applyFont="1" applyFill="1" applyBorder="1" applyAlignment="1" applyProtection="1">
      <alignment horizontal="center" vertical="center"/>
      <protection locked="0"/>
    </xf>
    <xf numFmtId="0" fontId="21" fillId="8" borderId="8" xfId="325" applyFont="1" applyFill="1" applyBorder="1" applyAlignment="1">
      <alignment vertical="center"/>
    </xf>
    <xf numFmtId="0" fontId="22" fillId="8" borderId="8" xfId="0" applyFont="1" applyFill="1" applyBorder="1" applyAlignment="1">
      <alignment vertical="center"/>
    </xf>
    <xf numFmtId="0" fontId="22" fillId="8" borderId="8" xfId="0" applyFont="1" applyFill="1" applyBorder="1" applyAlignment="1">
      <alignment horizontal="right" vertical="center"/>
    </xf>
    <xf numFmtId="177" fontId="22" fillId="8" borderId="8" xfId="2" applyFont="1" applyFill="1" applyBorder="1" applyAlignment="1" applyProtection="1">
      <alignment horizontal="left" vertical="center"/>
    </xf>
    <xf numFmtId="3" fontId="21" fillId="8" borderId="10" xfId="0" applyNumberFormat="1" applyFont="1" applyFill="1" applyBorder="1" applyAlignment="1">
      <alignment horizontal="center" vertical="center"/>
    </xf>
    <xf numFmtId="0" fontId="22" fillId="8" borderId="21" xfId="0" applyFont="1" applyFill="1" applyBorder="1" applyAlignment="1">
      <alignment vertical="center"/>
    </xf>
    <xf numFmtId="0" fontId="22" fillId="8" borderId="21" xfId="0" applyFont="1" applyFill="1" applyBorder="1" applyAlignment="1">
      <alignment horizontal="right" vertical="center"/>
    </xf>
    <xf numFmtId="177" fontId="22" fillId="8" borderId="9" xfId="2" applyFont="1" applyFill="1" applyBorder="1" applyAlignment="1" applyProtection="1">
      <alignment horizontal="left" vertical="center"/>
    </xf>
    <xf numFmtId="177" fontId="22" fillId="0" borderId="0" xfId="2" applyFont="1" applyBorder="1" applyAlignment="1" applyProtection="1">
      <alignment horizontal="left" vertical="center"/>
    </xf>
    <xf numFmtId="0" fontId="38" fillId="8" borderId="6" xfId="325" applyFont="1" applyFill="1" applyBorder="1" applyAlignment="1">
      <alignment horizontal="centerContinuous" vertical="center"/>
    </xf>
    <xf numFmtId="3" fontId="21" fillId="11" borderId="8" xfId="0" applyNumberFormat="1" applyFont="1" applyFill="1" applyBorder="1" applyAlignment="1">
      <alignment horizontal="center" vertical="center"/>
    </xf>
    <xf numFmtId="0" fontId="21" fillId="11" borderId="8" xfId="0" applyFont="1" applyFill="1" applyBorder="1" applyAlignment="1" applyProtection="1">
      <alignment horizontal="left" vertical="center"/>
      <protection locked="0"/>
    </xf>
    <xf numFmtId="0" fontId="21" fillId="11" borderId="8" xfId="0" applyFont="1" applyFill="1" applyBorder="1" applyAlignment="1" applyProtection="1">
      <alignment horizontal="center" vertical="center"/>
      <protection locked="0"/>
    </xf>
    <xf numFmtId="4" fontId="21" fillId="11" borderId="8" xfId="0" applyNumberFormat="1" applyFont="1" applyFill="1" applyBorder="1" applyAlignment="1" applyProtection="1">
      <alignment horizontal="center" vertical="center"/>
      <protection locked="0"/>
    </xf>
    <xf numFmtId="177" fontId="21" fillId="11" borderId="8" xfId="2" applyFont="1" applyFill="1" applyBorder="1" applyAlignment="1" applyProtection="1">
      <alignment vertical="center"/>
    </xf>
    <xf numFmtId="177" fontId="39" fillId="11" borderId="0" xfId="2" applyFont="1" applyFill="1" applyBorder="1" applyAlignment="1" applyProtection="1">
      <alignment vertical="center"/>
    </xf>
    <xf numFmtId="0" fontId="21" fillId="11" borderId="0" xfId="325" applyFont="1" applyFill="1" applyAlignment="1">
      <alignment horizontal="center" vertical="center"/>
    </xf>
    <xf numFmtId="0" fontId="21" fillId="8" borderId="10" xfId="325" applyFont="1" applyFill="1" applyBorder="1" applyAlignment="1">
      <alignment vertical="center"/>
    </xf>
    <xf numFmtId="0" fontId="22" fillId="5" borderId="10" xfId="0" applyFont="1" applyFill="1" applyBorder="1" applyAlignment="1">
      <alignment horizontal="right" vertical="center"/>
    </xf>
    <xf numFmtId="0" fontId="22" fillId="5" borderId="21" xfId="0" applyFont="1" applyFill="1" applyBorder="1" applyAlignment="1">
      <alignment horizontal="right" vertical="center"/>
    </xf>
    <xf numFmtId="177" fontId="22" fillId="5" borderId="9" xfId="2" applyFont="1" applyFill="1" applyBorder="1" applyAlignment="1" applyProtection="1">
      <alignment horizontal="left" vertical="center"/>
    </xf>
    <xf numFmtId="4" fontId="40" fillId="0" borderId="0" xfId="212" applyNumberFormat="1" applyFont="1" applyBorder="1" applyAlignment="1" applyProtection="1">
      <alignment vertical="center"/>
    </xf>
    <xf numFmtId="0" fontId="22" fillId="0" borderId="0" xfId="0" applyFont="1" applyAlignment="1">
      <alignment vertical="center"/>
    </xf>
    <xf numFmtId="0" fontId="22" fillId="0" borderId="0" xfId="0" applyFont="1" applyAlignment="1">
      <alignment horizontal="right" vertical="center" wrapText="1"/>
    </xf>
    <xf numFmtId="0" fontId="29" fillId="5" borderId="21" xfId="325" applyFont="1" applyFill="1" applyBorder="1" applyAlignment="1">
      <alignment horizontal="centerContinuous" vertical="center"/>
    </xf>
    <xf numFmtId="0" fontId="29" fillId="5" borderId="21" xfId="325" applyFont="1" applyFill="1" applyBorder="1" applyAlignment="1">
      <alignment horizontal="center" vertical="center"/>
    </xf>
    <xf numFmtId="0" fontId="29" fillId="5" borderId="9" xfId="325" applyFont="1" applyFill="1" applyBorder="1" applyAlignment="1">
      <alignment horizontal="centerContinuous" vertical="center"/>
    </xf>
    <xf numFmtId="0" fontId="29" fillId="0" borderId="10" xfId="326" applyFont="1" applyBorder="1" applyAlignment="1">
      <alignment horizontal="centerContinuous" vertical="center"/>
    </xf>
    <xf numFmtId="0" fontId="41" fillId="0" borderId="21" xfId="326" applyFont="1" applyBorder="1" applyAlignment="1">
      <alignment horizontal="centerContinuous" vertical="center"/>
    </xf>
    <xf numFmtId="0" fontId="41" fillId="0" borderId="9" xfId="326" applyFont="1" applyBorder="1" applyAlignment="1">
      <alignment horizontal="centerContinuous" vertical="center"/>
    </xf>
    <xf numFmtId="0" fontId="38" fillId="8" borderId="9" xfId="325" applyFont="1" applyFill="1" applyBorder="1" applyAlignment="1">
      <alignment horizontal="centerContinuous" vertical="center"/>
    </xf>
    <xf numFmtId="0" fontId="22" fillId="0" borderId="18" xfId="0" applyFont="1" applyBorder="1" applyAlignment="1">
      <alignment horizontal="center" vertical="center" wrapText="1"/>
    </xf>
    <xf numFmtId="4" fontId="21" fillId="7" borderId="18" xfId="0" applyNumberFormat="1" applyFont="1" applyFill="1" applyBorder="1" applyAlignment="1" applyProtection="1">
      <alignment horizontal="center" vertical="center"/>
      <protection locked="0"/>
    </xf>
    <xf numFmtId="0" fontId="21" fillId="0" borderId="18" xfId="0" applyFont="1" applyBorder="1" applyAlignment="1">
      <alignment horizontal="center" vertical="center"/>
    </xf>
    <xf numFmtId="0" fontId="42" fillId="0" borderId="8" xfId="325" applyFont="1" applyBorder="1" applyAlignment="1">
      <alignment horizontal="center" vertical="center"/>
    </xf>
    <xf numFmtId="0" fontId="21" fillId="5" borderId="8" xfId="325" applyFont="1" applyFill="1" applyBorder="1" applyAlignment="1">
      <alignment horizontal="center" vertical="center"/>
    </xf>
    <xf numFmtId="0" fontId="21" fillId="5" borderId="8" xfId="325" applyFont="1" applyFill="1" applyBorder="1" applyAlignment="1">
      <alignment vertical="center"/>
    </xf>
    <xf numFmtId="3" fontId="21" fillId="5" borderId="8" xfId="325" applyNumberFormat="1" applyFont="1" applyFill="1" applyBorder="1" applyAlignment="1">
      <alignment horizontal="right" vertical="center"/>
    </xf>
    <xf numFmtId="3" fontId="21" fillId="5" borderId="8" xfId="325" applyNumberFormat="1" applyFont="1" applyFill="1" applyBorder="1" applyAlignment="1">
      <alignment horizontal="center" vertical="center"/>
    </xf>
    <xf numFmtId="4" fontId="21" fillId="5" borderId="8" xfId="212" applyNumberFormat="1" applyFont="1" applyFill="1" applyBorder="1" applyAlignment="1" applyProtection="1">
      <alignment vertical="center"/>
    </xf>
    <xf numFmtId="0" fontId="40" fillId="0" borderId="35" xfId="325" applyFont="1" applyBorder="1" applyAlignment="1">
      <alignment horizontal="center" vertical="center"/>
    </xf>
    <xf numFmtId="0" fontId="40" fillId="0" borderId="35" xfId="325" applyFont="1" applyBorder="1" applyAlignment="1">
      <alignment vertical="center"/>
    </xf>
    <xf numFmtId="4" fontId="40" fillId="0" borderId="35" xfId="325" applyNumberFormat="1" applyFont="1" applyBorder="1" applyAlignment="1">
      <alignment horizontal="center" vertical="center"/>
    </xf>
    <xf numFmtId="3" fontId="40" fillId="0" borderId="35" xfId="325" applyNumberFormat="1" applyFont="1" applyBorder="1" applyAlignment="1">
      <alignment horizontal="right" vertical="center"/>
    </xf>
    <xf numFmtId="0" fontId="43" fillId="8" borderId="10" xfId="0" applyFont="1" applyFill="1" applyBorder="1" applyAlignment="1">
      <alignment horizontal="centerContinuous" vertical="center"/>
    </xf>
    <xf numFmtId="0" fontId="43" fillId="8" borderId="21" xfId="0" applyFont="1" applyFill="1" applyBorder="1" applyAlignment="1">
      <alignment horizontal="centerContinuous" vertical="center"/>
    </xf>
    <xf numFmtId="0" fontId="43" fillId="8" borderId="21" xfId="0" applyFont="1" applyFill="1" applyBorder="1" applyAlignment="1">
      <alignment horizontal="center" vertical="center" wrapText="1"/>
    </xf>
    <xf numFmtId="177" fontId="43" fillId="8" borderId="9" xfId="2" applyFont="1" applyFill="1" applyBorder="1" applyAlignment="1" applyProtection="1">
      <alignment horizontal="centerContinuous" vertical="center"/>
    </xf>
    <xf numFmtId="0" fontId="44" fillId="4" borderId="10" xfId="325" applyFont="1" applyFill="1" applyBorder="1" applyAlignment="1">
      <alignment vertical="center"/>
    </xf>
    <xf numFmtId="0" fontId="44" fillId="4" borderId="21" xfId="325" applyFont="1" applyFill="1" applyBorder="1" applyAlignment="1">
      <alignment vertical="center"/>
    </xf>
    <xf numFmtId="4" fontId="45" fillId="4" borderId="21" xfId="325" applyNumberFormat="1" applyFont="1" applyFill="1" applyBorder="1" applyAlignment="1">
      <alignment horizontal="right" vertical="center"/>
    </xf>
    <xf numFmtId="177" fontId="45" fillId="4" borderId="9" xfId="2" applyFont="1" applyFill="1" applyBorder="1" applyAlignment="1" applyProtection="1">
      <alignment horizontal="left" vertical="center"/>
    </xf>
    <xf numFmtId="176" fontId="46" fillId="0" borderId="0" xfId="1" applyFont="1" applyAlignment="1">
      <alignment horizontal="right" vertical="top"/>
    </xf>
    <xf numFmtId="176" fontId="46" fillId="0" borderId="0" xfId="1" applyFont="1" applyBorder="1" applyAlignment="1" applyProtection="1">
      <alignment horizontal="left" vertical="top"/>
    </xf>
    <xf numFmtId="0" fontId="21" fillId="7" borderId="18" xfId="0" applyFont="1" applyFill="1" applyBorder="1" applyAlignment="1" applyProtection="1">
      <alignment horizontal="left" vertical="center"/>
      <protection locked="0"/>
    </xf>
    <xf numFmtId="0" fontId="21" fillId="7" borderId="18" xfId="0" applyFont="1" applyFill="1" applyBorder="1" applyAlignment="1" applyProtection="1">
      <alignment horizontal="center" vertical="center"/>
      <protection locked="0"/>
    </xf>
    <xf numFmtId="0" fontId="21" fillId="35" borderId="0" xfId="325" applyFont="1" applyFill="1" applyAlignment="1">
      <alignment vertical="center"/>
    </xf>
    <xf numFmtId="0" fontId="47" fillId="0" borderId="0" xfId="228" applyFont="1" applyAlignment="1">
      <alignment vertical="center"/>
    </xf>
    <xf numFmtId="0" fontId="7" fillId="0" borderId="0" xfId="243"/>
    <xf numFmtId="0" fontId="15" fillId="0" borderId="0" xfId="243" applyFont="1"/>
    <xf numFmtId="0" fontId="12" fillId="0" borderId="0" xfId="243" applyFont="1"/>
    <xf numFmtId="0" fontId="7" fillId="0" borderId="0" xfId="228"/>
    <xf numFmtId="0" fontId="7" fillId="0" borderId="0" xfId="228" applyAlignment="1">
      <alignment horizontal="centerContinuous"/>
    </xf>
    <xf numFmtId="0" fontId="7" fillId="0" borderId="0" xfId="228" applyAlignment="1">
      <alignment horizontal="center"/>
    </xf>
    <xf numFmtId="0" fontId="7" fillId="0" borderId="0" xfId="2" applyNumberFormat="1"/>
    <xf numFmtId="177" fontId="7" fillId="0" borderId="0" xfId="2"/>
    <xf numFmtId="0" fontId="31" fillId="5" borderId="11" xfId="0" applyFont="1" applyFill="1" applyBorder="1" applyAlignment="1">
      <alignment horizontal="centerContinuous" vertical="center"/>
    </xf>
    <xf numFmtId="0" fontId="31" fillId="5" borderId="12" xfId="0" applyFont="1" applyFill="1" applyBorder="1" applyAlignment="1">
      <alignment horizontal="centerContinuous" vertical="center"/>
    </xf>
    <xf numFmtId="177" fontId="31" fillId="32" borderId="13" xfId="2" applyFont="1" applyFill="1" applyBorder="1" applyAlignment="1">
      <alignment vertical="center"/>
    </xf>
    <xf numFmtId="0" fontId="39" fillId="0" borderId="36" xfId="228" applyFont="1" applyBorder="1" applyAlignment="1">
      <alignment horizontal="centerContinuous" vertical="center"/>
    </xf>
    <xf numFmtId="0" fontId="39" fillId="0" borderId="35" xfId="228" applyFont="1" applyBorder="1" applyAlignment="1">
      <alignment vertical="center"/>
    </xf>
    <xf numFmtId="200" fontId="48" fillId="4" borderId="35" xfId="228" applyNumberFormat="1" applyFont="1" applyFill="1" applyBorder="1" applyAlignment="1">
      <alignment horizontal="center" vertical="center"/>
    </xf>
    <xf numFmtId="200" fontId="39" fillId="0" borderId="35" xfId="2" applyNumberFormat="1" applyFont="1" applyBorder="1" applyAlignment="1">
      <alignment vertical="center"/>
    </xf>
    <xf numFmtId="200" fontId="39" fillId="0" borderId="35" xfId="228" applyNumberFormat="1" applyFont="1" applyBorder="1" applyAlignment="1">
      <alignment vertical="center"/>
    </xf>
    <xf numFmtId="177" fontId="39" fillId="0" borderId="37" xfId="2" applyFont="1" applyBorder="1" applyAlignment="1">
      <alignment vertical="center"/>
    </xf>
    <xf numFmtId="0" fontId="45" fillId="36" borderId="38" xfId="228" applyFont="1" applyFill="1" applyBorder="1" applyAlignment="1">
      <alignment horizontal="centerContinuous" vertical="center"/>
    </xf>
    <xf numFmtId="0" fontId="45" fillId="36" borderId="39" xfId="228" applyFont="1" applyFill="1" applyBorder="1" applyAlignment="1">
      <alignment horizontal="centerContinuous" vertical="center"/>
    </xf>
    <xf numFmtId="0" fontId="45" fillId="36" borderId="39" xfId="2" applyNumberFormat="1" applyFont="1" applyFill="1" applyBorder="1" applyAlignment="1">
      <alignment horizontal="centerContinuous" vertical="center"/>
    </xf>
    <xf numFmtId="177" fontId="45" fillId="36" borderId="39" xfId="2" applyFont="1" applyFill="1" applyBorder="1" applyAlignment="1">
      <alignment horizontal="centerContinuous" vertical="center"/>
    </xf>
    <xf numFmtId="177" fontId="45" fillId="36" borderId="40" xfId="2" applyFont="1" applyFill="1" applyBorder="1" applyAlignment="1">
      <alignment horizontal="centerContinuous" vertical="center"/>
    </xf>
    <xf numFmtId="0" fontId="48" fillId="0" borderId="41" xfId="228" applyFont="1" applyBorder="1" applyAlignment="1">
      <alignment horizontal="centerContinuous" vertical="center"/>
    </xf>
    <xf numFmtId="0" fontId="48" fillId="0" borderId="42" xfId="228" applyFont="1" applyBorder="1" applyAlignment="1">
      <alignment horizontal="center" vertical="center"/>
    </xf>
    <xf numFmtId="0" fontId="48" fillId="0" borderId="43" xfId="228" applyFont="1" applyBorder="1" applyAlignment="1">
      <alignment horizontal="centerContinuous" vertical="center"/>
    </xf>
    <xf numFmtId="0" fontId="48" fillId="0" borderId="44" xfId="228" applyFont="1" applyBorder="1" applyAlignment="1">
      <alignment horizontal="centerContinuous" vertical="center"/>
    </xf>
    <xf numFmtId="0" fontId="48" fillId="0" borderId="42" xfId="2" applyNumberFormat="1" applyFont="1" applyBorder="1" applyAlignment="1">
      <alignment horizontal="center" vertical="center"/>
    </xf>
    <xf numFmtId="177" fontId="48" fillId="0" borderId="42" xfId="2" applyFont="1" applyBorder="1" applyAlignment="1">
      <alignment horizontal="center" vertical="center"/>
    </xf>
    <xf numFmtId="177" fontId="48" fillId="0" borderId="45" xfId="2" applyFont="1" applyBorder="1" applyAlignment="1">
      <alignment horizontal="center" vertical="center"/>
    </xf>
    <xf numFmtId="4" fontId="39" fillId="7" borderId="35" xfId="228" applyNumberFormat="1" applyFont="1" applyFill="1" applyBorder="1" applyAlignment="1" applyProtection="1">
      <alignment horizontal="center" vertical="center"/>
      <protection locked="0"/>
    </xf>
    <xf numFmtId="2" fontId="39" fillId="0" borderId="35" xfId="2" applyNumberFormat="1" applyFont="1" applyBorder="1" applyAlignment="1">
      <alignment horizontal="center" vertical="center"/>
    </xf>
    <xf numFmtId="177" fontId="39" fillId="0" borderId="35" xfId="2" applyFont="1" applyBorder="1" applyAlignment="1">
      <alignment vertical="center"/>
    </xf>
    <xf numFmtId="9" fontId="39" fillId="0" borderId="35" xfId="3" applyFont="1" applyBorder="1" applyAlignment="1">
      <alignment vertical="center"/>
    </xf>
    <xf numFmtId="4" fontId="7" fillId="0" borderId="0" xfId="228" applyNumberFormat="1"/>
    <xf numFmtId="0" fontId="49" fillId="0" borderId="35" xfId="228" applyFont="1" applyBorder="1" applyAlignment="1">
      <alignment vertical="center"/>
    </xf>
    <xf numFmtId="4" fontId="49" fillId="7" borderId="35" xfId="228" applyNumberFormat="1" applyFont="1" applyFill="1" applyBorder="1" applyAlignment="1" applyProtection="1">
      <alignment horizontal="center" vertical="center"/>
      <protection locked="0"/>
    </xf>
    <xf numFmtId="4" fontId="39" fillId="0" borderId="35" xfId="228" applyNumberFormat="1" applyFont="1" applyBorder="1" applyAlignment="1">
      <alignment horizontal="center" vertical="center"/>
    </xf>
    <xf numFmtId="0" fontId="39" fillId="0" borderId="35" xfId="2" applyNumberFormat="1" applyFont="1" applyBorder="1" applyAlignment="1">
      <alignment vertical="center"/>
    </xf>
    <xf numFmtId="4" fontId="39" fillId="0" borderId="35" xfId="228" applyNumberFormat="1" applyFont="1" applyBorder="1" applyAlignment="1">
      <alignment vertical="center"/>
    </xf>
    <xf numFmtId="0" fontId="48" fillId="0" borderId="38" xfId="228" applyFont="1" applyBorder="1" applyAlignment="1">
      <alignment vertical="center"/>
    </xf>
    <xf numFmtId="0" fontId="48" fillId="0" borderId="39" xfId="228" applyFont="1" applyBorder="1" applyAlignment="1">
      <alignment vertical="center"/>
    </xf>
    <xf numFmtId="0" fontId="48" fillId="0" borderId="46" xfId="228" applyFont="1" applyBorder="1" applyAlignment="1">
      <alignment vertical="center"/>
    </xf>
    <xf numFmtId="0" fontId="48" fillId="0" borderId="43" xfId="228" applyFont="1" applyBorder="1" applyAlignment="1">
      <alignment horizontal="right" vertical="center"/>
    </xf>
    <xf numFmtId="177" fontId="48" fillId="0" borderId="40" xfId="2" applyFont="1" applyBorder="1" applyAlignment="1">
      <alignment vertical="center"/>
    </xf>
    <xf numFmtId="0" fontId="39" fillId="0" borderId="47" xfId="228" applyFont="1" applyBorder="1" applyAlignment="1">
      <alignment horizontal="centerContinuous" vertical="center"/>
    </xf>
    <xf numFmtId="0" fontId="39" fillId="0" borderId="0" xfId="228" applyFont="1" applyAlignment="1">
      <alignment horizontal="left" vertical="center"/>
    </xf>
    <xf numFmtId="0" fontId="39" fillId="0" borderId="0" xfId="228" applyFont="1" applyAlignment="1">
      <alignment horizontal="center" vertical="center"/>
    </xf>
    <xf numFmtId="0" fontId="39" fillId="0" borderId="0" xfId="2" applyNumberFormat="1" applyFont="1" applyBorder="1" applyAlignment="1">
      <alignment horizontal="left" vertical="center"/>
    </xf>
    <xf numFmtId="177" fontId="39" fillId="0" borderId="0" xfId="2" applyFont="1" applyBorder="1" applyAlignment="1">
      <alignment horizontal="left" vertical="center"/>
    </xf>
    <xf numFmtId="177" fontId="48" fillId="0" borderId="48" xfId="2" applyFont="1" applyBorder="1" applyAlignment="1">
      <alignment vertical="center"/>
    </xf>
    <xf numFmtId="176" fontId="7" fillId="0" borderId="0" xfId="1"/>
    <xf numFmtId="0" fontId="48" fillId="0" borderId="36" xfId="228" applyFont="1" applyBorder="1" applyAlignment="1">
      <alignment horizontal="centerContinuous" vertical="center"/>
    </xf>
    <xf numFmtId="0" fontId="48" fillId="0" borderId="35" xfId="228" applyFont="1" applyBorder="1" applyAlignment="1">
      <alignment horizontal="center" vertical="center"/>
    </xf>
    <xf numFmtId="177" fontId="48" fillId="0" borderId="35" xfId="2" applyFont="1" applyBorder="1" applyAlignment="1">
      <alignment horizontal="center" vertical="center"/>
    </xf>
    <xf numFmtId="177" fontId="48" fillId="0" borderId="37" xfId="2" applyFont="1" applyBorder="1" applyAlignment="1">
      <alignment horizontal="center" vertical="center"/>
    </xf>
    <xf numFmtId="0" fontId="49" fillId="0" borderId="36" xfId="228" applyFont="1" applyBorder="1" applyAlignment="1">
      <alignment horizontal="centerContinuous" vertical="center"/>
    </xf>
    <xf numFmtId="2" fontId="39" fillId="0" borderId="35" xfId="2" applyNumberFormat="1" applyFont="1" applyBorder="1" applyAlignment="1">
      <alignment vertical="center"/>
    </xf>
    <xf numFmtId="0" fontId="39" fillId="0" borderId="0" xfId="228" applyFont="1" applyAlignment="1">
      <alignment vertical="center"/>
    </xf>
    <xf numFmtId="0" fontId="39" fillId="0" borderId="0" xfId="2" applyNumberFormat="1" applyFont="1" applyBorder="1" applyAlignment="1">
      <alignment vertical="center"/>
    </xf>
    <xf numFmtId="177" fontId="39" fillId="0" borderId="0" xfId="2" applyFont="1" applyBorder="1" applyAlignment="1">
      <alignment vertical="center"/>
    </xf>
    <xf numFmtId="177" fontId="39" fillId="0" borderId="48" xfId="2" applyFont="1" applyBorder="1" applyAlignment="1">
      <alignment vertical="center"/>
    </xf>
    <xf numFmtId="0" fontId="39" fillId="0" borderId="36" xfId="243" applyFont="1" applyBorder="1" applyAlignment="1">
      <alignment horizontal="centerContinuous" vertical="center"/>
    </xf>
    <xf numFmtId="0" fontId="39" fillId="0" borderId="35" xfId="243" applyFont="1" applyBorder="1" applyAlignment="1">
      <alignment horizontal="left" vertical="center"/>
    </xf>
    <xf numFmtId="4" fontId="39" fillId="7" borderId="35" xfId="243" applyNumberFormat="1" applyFont="1" applyFill="1" applyBorder="1" applyAlignment="1" applyProtection="1">
      <alignment horizontal="center" vertical="center"/>
      <protection locked="0"/>
    </xf>
    <xf numFmtId="0" fontId="39" fillId="0" borderId="35" xfId="243" applyFont="1" applyBorder="1" applyAlignment="1">
      <alignment vertical="center"/>
    </xf>
    <xf numFmtId="0" fontId="49" fillId="0" borderId="35" xfId="243" applyFont="1" applyBorder="1" applyAlignment="1">
      <alignment vertical="center"/>
    </xf>
    <xf numFmtId="4" fontId="49" fillId="7" borderId="35" xfId="243" applyNumberFormat="1" applyFont="1" applyFill="1" applyBorder="1" applyAlignment="1" applyProtection="1">
      <alignment horizontal="center" vertical="center"/>
      <protection locked="0"/>
    </xf>
    <xf numFmtId="0" fontId="49" fillId="0" borderId="35" xfId="243" applyFont="1" applyBorder="1" applyAlignment="1">
      <alignment horizontal="left" vertical="center"/>
    </xf>
    <xf numFmtId="4" fontId="39" fillId="0" borderId="35" xfId="243" applyNumberFormat="1" applyFont="1" applyBorder="1" applyAlignment="1">
      <alignment vertical="center"/>
    </xf>
    <xf numFmtId="4" fontId="7" fillId="0" borderId="0" xfId="243" applyNumberFormat="1"/>
    <xf numFmtId="4" fontId="39" fillId="0" borderId="35" xfId="243" applyNumberFormat="1" applyFont="1" applyBorder="1" applyAlignment="1">
      <alignment horizontal="center" vertical="center"/>
    </xf>
    <xf numFmtId="0" fontId="48" fillId="0" borderId="49" xfId="228" applyFont="1" applyBorder="1" applyAlignment="1">
      <alignment vertical="center"/>
    </xf>
    <xf numFmtId="0" fontId="48" fillId="0" borderId="50" xfId="228" applyFont="1" applyBorder="1" applyAlignment="1">
      <alignment vertical="center"/>
    </xf>
    <xf numFmtId="0" fontId="48" fillId="0" borderId="51" xfId="228" applyFont="1" applyBorder="1" applyAlignment="1">
      <alignment vertical="center"/>
    </xf>
    <xf numFmtId="0" fontId="48" fillId="0" borderId="52" xfId="228" applyFont="1" applyBorder="1" applyAlignment="1">
      <alignment horizontal="right" vertical="center"/>
    </xf>
    <xf numFmtId="177" fontId="48" fillId="0" borderId="53" xfId="2" applyFont="1" applyBorder="1" applyAlignment="1">
      <alignment vertical="center"/>
    </xf>
    <xf numFmtId="0" fontId="39" fillId="0" borderId="0" xfId="228" applyFont="1" applyAlignment="1">
      <alignment horizontal="centerContinuous" vertical="center"/>
    </xf>
    <xf numFmtId="177" fontId="39" fillId="0" borderId="0" xfId="2" applyFont="1" applyAlignment="1">
      <alignment vertical="center"/>
    </xf>
    <xf numFmtId="0" fontId="39" fillId="0" borderId="0" xfId="228" applyFont="1" applyAlignment="1">
      <alignment horizontal="centerContinuous"/>
    </xf>
    <xf numFmtId="0" fontId="39" fillId="0" borderId="0" xfId="228" applyFont="1"/>
    <xf numFmtId="0" fontId="39" fillId="0" borderId="0" xfId="228" applyFont="1" applyAlignment="1">
      <alignment horizontal="center"/>
    </xf>
    <xf numFmtId="177" fontId="43" fillId="8" borderId="29" xfId="2" applyFont="1" applyFill="1" applyBorder="1" applyAlignment="1">
      <alignment horizontal="centerContinuous" vertical="center"/>
    </xf>
    <xf numFmtId="177" fontId="43" fillId="8" borderId="30" xfId="2" applyFont="1" applyFill="1" applyBorder="1" applyAlignment="1">
      <alignment horizontal="centerContinuous" vertical="center"/>
    </xf>
    <xf numFmtId="177" fontId="43" fillId="8" borderId="31" xfId="2" applyFont="1" applyFill="1" applyBorder="1" applyAlignment="1">
      <alignment vertical="center"/>
    </xf>
    <xf numFmtId="177" fontId="0" fillId="0" borderId="0" xfId="2" applyFont="1"/>
    <xf numFmtId="0" fontId="50" fillId="2" borderId="0" xfId="229" applyFont="1" applyFill="1"/>
    <xf numFmtId="0" fontId="51" fillId="2" borderId="0" xfId="229" applyFont="1" applyFill="1"/>
    <xf numFmtId="0" fontId="0" fillId="2" borderId="0" xfId="0" applyFill="1"/>
    <xf numFmtId="0" fontId="52" fillId="0" borderId="0" xfId="229" applyFont="1"/>
    <xf numFmtId="0" fontId="52" fillId="0" borderId="0" xfId="229" applyFont="1" applyAlignment="1">
      <alignment horizontal="center"/>
    </xf>
    <xf numFmtId="0" fontId="52" fillId="0" borderId="0" xfId="229" applyFont="1" applyAlignment="1">
      <alignment vertical="center"/>
    </xf>
    <xf numFmtId="0" fontId="52" fillId="2" borderId="0" xfId="229" applyFont="1" applyFill="1"/>
    <xf numFmtId="0" fontId="31" fillId="32" borderId="29" xfId="229" applyFont="1" applyFill="1" applyBorder="1" applyAlignment="1">
      <alignment horizontal="centerContinuous" vertical="center"/>
    </xf>
    <xf numFmtId="0" fontId="52" fillId="32" borderId="30" xfId="229" applyFont="1" applyFill="1" applyBorder="1" applyAlignment="1">
      <alignment horizontal="centerContinuous"/>
    </xf>
    <xf numFmtId="0" fontId="52" fillId="32" borderId="31" xfId="229" applyFont="1" applyFill="1" applyBorder="1" applyAlignment="1">
      <alignment horizontal="centerContinuous"/>
    </xf>
    <xf numFmtId="0" fontId="30" fillId="7" borderId="10" xfId="229" applyFont="1" applyFill="1" applyBorder="1" applyAlignment="1" applyProtection="1">
      <alignment horizontal="centerContinuous"/>
      <protection locked="0"/>
    </xf>
    <xf numFmtId="0" fontId="43" fillId="7" borderId="21" xfId="229" applyFont="1" applyFill="1" applyBorder="1" applyAlignment="1">
      <alignment horizontal="centerContinuous"/>
    </xf>
    <xf numFmtId="0" fontId="43" fillId="7" borderId="9" xfId="229" applyFont="1" applyFill="1" applyBorder="1" applyAlignment="1">
      <alignment horizontal="centerContinuous"/>
    </xf>
    <xf numFmtId="199" fontId="30" fillId="32" borderId="9" xfId="229" applyNumberFormat="1" applyFont="1" applyFill="1" applyBorder="1" applyAlignment="1">
      <alignment horizontal="center" vertical="center" wrapText="1"/>
    </xf>
    <xf numFmtId="0" fontId="43" fillId="0" borderId="8" xfId="229" applyFont="1" applyBorder="1" applyAlignment="1">
      <alignment horizontal="center" vertical="center" wrapText="1"/>
    </xf>
    <xf numFmtId="0" fontId="50" fillId="0" borderId="0" xfId="229" applyFont="1"/>
    <xf numFmtId="0" fontId="50" fillId="7" borderId="8" xfId="0" applyFont="1" applyFill="1" applyBorder="1" applyAlignment="1" applyProtection="1">
      <alignment vertical="center" wrapText="1"/>
      <protection locked="0"/>
    </xf>
    <xf numFmtId="0" fontId="50" fillId="7" borderId="8" xfId="0" applyFont="1" applyFill="1" applyBorder="1" applyAlignment="1" applyProtection="1">
      <alignment horizontal="center" vertical="center" wrapText="1"/>
      <protection locked="0"/>
    </xf>
    <xf numFmtId="4" fontId="50" fillId="7" borderId="8" xfId="0" applyNumberFormat="1" applyFont="1" applyFill="1" applyBorder="1" applyAlignment="1" applyProtection="1">
      <alignment horizontal="center" vertical="center" wrapText="1"/>
      <protection locked="0"/>
    </xf>
    <xf numFmtId="2" fontId="50" fillId="7" borderId="8" xfId="229" applyNumberFormat="1" applyFont="1" applyFill="1" applyBorder="1" applyAlignment="1" applyProtection="1">
      <alignment horizontal="center" vertical="center" wrapText="1"/>
      <protection locked="0"/>
    </xf>
    <xf numFmtId="2" fontId="50" fillId="8" borderId="8" xfId="229" applyNumberFormat="1" applyFont="1" applyFill="1" applyBorder="1" applyAlignment="1">
      <alignment horizontal="center" vertical="center" wrapText="1"/>
    </xf>
    <xf numFmtId="0" fontId="50" fillId="0" borderId="0" xfId="229" applyFont="1" applyAlignment="1">
      <alignment vertical="center"/>
    </xf>
    <xf numFmtId="0" fontId="53" fillId="2" borderId="0" xfId="0" applyFont="1" applyFill="1"/>
    <xf numFmtId="0" fontId="51" fillId="0" borderId="0" xfId="229" applyFont="1"/>
    <xf numFmtId="0" fontId="51" fillId="7" borderId="8" xfId="0" applyFont="1" applyFill="1" applyBorder="1" applyAlignment="1" applyProtection="1">
      <alignment vertical="center" wrapText="1"/>
      <protection locked="0"/>
    </xf>
    <xf numFmtId="0" fontId="51" fillId="7" borderId="8" xfId="0" applyFont="1" applyFill="1" applyBorder="1" applyAlignment="1" applyProtection="1">
      <alignment horizontal="center" vertical="center" wrapText="1"/>
      <protection locked="0"/>
    </xf>
    <xf numFmtId="4" fontId="51" fillId="7" borderId="8" xfId="0" applyNumberFormat="1" applyFont="1" applyFill="1" applyBorder="1" applyAlignment="1" applyProtection="1">
      <alignment horizontal="center" vertical="center" wrapText="1"/>
      <protection locked="0"/>
    </xf>
    <xf numFmtId="2" fontId="51" fillId="7" borderId="8" xfId="229" applyNumberFormat="1" applyFont="1" applyFill="1" applyBorder="1" applyAlignment="1" applyProtection="1">
      <alignment horizontal="center" vertical="center" wrapText="1"/>
      <protection locked="0"/>
    </xf>
    <xf numFmtId="2" fontId="51" fillId="8" borderId="8" xfId="229" applyNumberFormat="1" applyFont="1" applyFill="1" applyBorder="1" applyAlignment="1">
      <alignment horizontal="center" vertical="center" wrapText="1"/>
    </xf>
    <xf numFmtId="0" fontId="51" fillId="0" borderId="0" xfId="229" applyFont="1" applyAlignment="1">
      <alignment vertical="center"/>
    </xf>
    <xf numFmtId="0" fontId="15" fillId="2" borderId="0" xfId="0" applyFont="1" applyFill="1"/>
    <xf numFmtId="0" fontId="44" fillId="7" borderId="8" xfId="0" applyFont="1" applyFill="1" applyBorder="1" applyAlignment="1" applyProtection="1">
      <alignment vertical="center" wrapText="1"/>
      <protection locked="0"/>
    </xf>
    <xf numFmtId="0" fontId="44" fillId="7" borderId="8" xfId="0" applyFont="1" applyFill="1" applyBorder="1" applyAlignment="1" applyProtection="1">
      <alignment horizontal="center" vertical="center" wrapText="1"/>
      <protection locked="0"/>
    </xf>
    <xf numFmtId="4" fontId="44" fillId="7" borderId="8" xfId="0" applyNumberFormat="1" applyFont="1" applyFill="1" applyBorder="1" applyAlignment="1" applyProtection="1">
      <alignment horizontal="center" vertical="center" wrapText="1"/>
      <protection locked="0"/>
    </xf>
    <xf numFmtId="2" fontId="52" fillId="7" borderId="8" xfId="229" applyNumberFormat="1" applyFont="1" applyFill="1" applyBorder="1" applyAlignment="1" applyProtection="1">
      <alignment horizontal="center" vertical="center" wrapText="1"/>
      <protection locked="0"/>
    </xf>
    <xf numFmtId="2" fontId="52" fillId="8" borderId="8" xfId="229" applyNumberFormat="1" applyFont="1" applyFill="1" applyBorder="1" applyAlignment="1">
      <alignment horizontal="center" vertical="center" wrapText="1"/>
    </xf>
    <xf numFmtId="176" fontId="52" fillId="0" borderId="0" xfId="229" applyNumberFormat="1" applyFont="1" applyAlignment="1">
      <alignment vertical="center"/>
    </xf>
    <xf numFmtId="0" fontId="43" fillId="8" borderId="10" xfId="229" applyFont="1" applyFill="1" applyBorder="1" applyAlignment="1">
      <alignment horizontal="right" vertical="center" wrapText="1"/>
    </xf>
    <xf numFmtId="0" fontId="43" fillId="8" borderId="21" xfId="229" applyFont="1" applyFill="1" applyBorder="1" applyAlignment="1">
      <alignment horizontal="right" vertical="center" wrapText="1"/>
    </xf>
    <xf numFmtId="176" fontId="43" fillId="8" borderId="21" xfId="1" applyFont="1" applyFill="1" applyBorder="1" applyAlignment="1">
      <alignment horizontal="right" vertical="center" wrapText="1"/>
    </xf>
    <xf numFmtId="0" fontId="43" fillId="8" borderId="9" xfId="229" applyFont="1" applyFill="1" applyBorder="1" applyAlignment="1">
      <alignment horizontal="right" vertical="center" wrapText="1"/>
    </xf>
    <xf numFmtId="2" fontId="43" fillId="8" borderId="8" xfId="229" applyNumberFormat="1" applyFont="1" applyFill="1" applyBorder="1" applyAlignment="1">
      <alignment horizontal="center" vertical="center" wrapText="1"/>
    </xf>
    <xf numFmtId="2" fontId="44" fillId="7" borderId="8" xfId="229" applyNumberFormat="1" applyFont="1" applyFill="1" applyBorder="1" applyAlignment="1" applyProtection="1">
      <alignment horizontal="center" vertical="center" wrapText="1"/>
      <protection locked="0"/>
    </xf>
    <xf numFmtId="4" fontId="52" fillId="0" borderId="0" xfId="229" applyNumberFormat="1" applyFont="1" applyAlignment="1">
      <alignment vertical="center"/>
    </xf>
    <xf numFmtId="0" fontId="52" fillId="35" borderId="0" xfId="229" applyFont="1" applyFill="1"/>
    <xf numFmtId="0" fontId="16" fillId="0" borderId="0" xfId="0" applyFont="1" applyAlignment="1">
      <alignment horizontal="center" vertical="center"/>
    </xf>
    <xf numFmtId="0" fontId="0" fillId="13" borderId="0" xfId="0" applyFill="1"/>
    <xf numFmtId="0" fontId="30" fillId="5" borderId="32" xfId="0" applyFont="1" applyFill="1" applyBorder="1" applyAlignment="1">
      <alignment horizontal="center" vertical="center"/>
    </xf>
    <xf numFmtId="0" fontId="54" fillId="5" borderId="28" xfId="0" applyFont="1" applyFill="1" applyBorder="1" applyAlignment="1">
      <alignment horizontal="center"/>
    </xf>
    <xf numFmtId="0" fontId="54" fillId="5" borderId="33" xfId="0" applyFont="1" applyFill="1" applyBorder="1" applyAlignment="1">
      <alignment horizontal="center"/>
    </xf>
    <xf numFmtId="0" fontId="0" fillId="0" borderId="47" xfId="0" applyBorder="1" applyAlignment="1">
      <alignment horizontal="center"/>
    </xf>
    <xf numFmtId="0" fontId="0" fillId="0" borderId="0" xfId="0" applyBorder="1" applyAlignment="1">
      <alignment horizontal="center"/>
    </xf>
    <xf numFmtId="0" fontId="38" fillId="8" borderId="54" xfId="0" applyFont="1" applyFill="1" applyBorder="1" applyAlignment="1">
      <alignment horizontal="center" vertical="center"/>
    </xf>
    <xf numFmtId="0" fontId="38" fillId="8" borderId="55" xfId="0" applyFont="1" applyFill="1" applyBorder="1" applyAlignment="1">
      <alignment horizontal="center" vertical="center"/>
    </xf>
    <xf numFmtId="0" fontId="38" fillId="8" borderId="56" xfId="0" applyFont="1" applyFill="1" applyBorder="1" applyAlignment="1">
      <alignment horizontal="center" vertical="center"/>
    </xf>
    <xf numFmtId="0" fontId="11" fillId="0" borderId="0" xfId="0" applyFont="1" applyAlignment="1">
      <alignment vertical="center"/>
    </xf>
    <xf numFmtId="0" fontId="49" fillId="0" borderId="0" xfId="0" applyFont="1"/>
    <xf numFmtId="0" fontId="11" fillId="0" borderId="57" xfId="0" applyFont="1" applyBorder="1" applyAlignment="1">
      <alignment horizontal="center" vertical="center" wrapText="1"/>
    </xf>
    <xf numFmtId="183" fontId="22" fillId="8" borderId="58" xfId="0" applyNumberFormat="1" applyFont="1" applyFill="1" applyBorder="1" applyAlignment="1">
      <alignment horizontal="left"/>
    </xf>
    <xf numFmtId="201" fontId="11" fillId="0" borderId="59" xfId="3" applyNumberFormat="1" applyFont="1" applyFill="1" applyBorder="1" applyAlignment="1">
      <alignment horizontal="center" vertical="center"/>
    </xf>
    <xf numFmtId="0" fontId="11" fillId="0" borderId="20" xfId="0" applyFont="1" applyBorder="1" applyAlignment="1">
      <alignment horizontal="center" vertical="center" wrapText="1"/>
    </xf>
    <xf numFmtId="183" fontId="22" fillId="8" borderId="8" xfId="0" applyNumberFormat="1" applyFont="1" applyFill="1" applyBorder="1" applyAlignment="1">
      <alignment horizontal="left"/>
    </xf>
    <xf numFmtId="201" fontId="11" fillId="0" borderId="19" xfId="3" applyNumberFormat="1" applyFont="1" applyFill="1" applyBorder="1" applyAlignment="1">
      <alignment horizontal="center" vertical="center"/>
    </xf>
    <xf numFmtId="0" fontId="11" fillId="0" borderId="60" xfId="0" applyFont="1" applyBorder="1" applyAlignment="1">
      <alignment horizontal="center" vertical="center" wrapText="1"/>
    </xf>
    <xf numFmtId="183" fontId="22" fillId="16" borderId="61" xfId="0" applyNumberFormat="1" applyFont="1" applyFill="1" applyBorder="1" applyAlignment="1">
      <alignment horizontal="left"/>
    </xf>
    <xf numFmtId="201" fontId="11" fillId="0" borderId="62" xfId="3" applyNumberFormat="1" applyFont="1" applyFill="1" applyBorder="1" applyAlignment="1">
      <alignment horizontal="center" vertical="center"/>
    </xf>
    <xf numFmtId="177" fontId="16" fillId="0" borderId="0" xfId="2" applyFont="1" applyAlignment="1">
      <alignment horizontal="center" vertical="center"/>
    </xf>
    <xf numFmtId="0" fontId="49" fillId="0" borderId="0" xfId="0" applyFont="1" applyAlignment="1">
      <alignment horizontal="center" vertical="center"/>
    </xf>
    <xf numFmtId="183" fontId="11" fillId="0" borderId="0" xfId="0" applyNumberFormat="1" applyFont="1" applyAlignment="1">
      <alignment horizontal="left"/>
    </xf>
    <xf numFmtId="0" fontId="11" fillId="0" borderId="0" xfId="0" applyFont="1" applyAlignment="1">
      <alignment horizontal="left"/>
    </xf>
    <xf numFmtId="0" fontId="11" fillId="0" borderId="0" xfId="0" applyFont="1" applyAlignment="1">
      <alignment horizontal="center"/>
    </xf>
    <xf numFmtId="0" fontId="30" fillId="14" borderId="32" xfId="0" applyFont="1" applyFill="1" applyBorder="1" applyAlignment="1">
      <alignment horizontal="centerContinuous" vertical="center"/>
    </xf>
    <xf numFmtId="0" fontId="54" fillId="14" borderId="28" xfId="0" applyFont="1" applyFill="1" applyBorder="1" applyAlignment="1">
      <alignment horizontal="centerContinuous"/>
    </xf>
    <xf numFmtId="0" fontId="54" fillId="14" borderId="33" xfId="0" applyFont="1" applyFill="1" applyBorder="1" applyAlignment="1">
      <alignment horizontal="centerContinuous"/>
    </xf>
    <xf numFmtId="0" fontId="16" fillId="0" borderId="0" xfId="0" applyFont="1"/>
    <xf numFmtId="199" fontId="11" fillId="14" borderId="58" xfId="0" applyNumberFormat="1" applyFont="1" applyFill="1" applyBorder="1" applyAlignment="1">
      <alignment horizontal="center"/>
    </xf>
    <xf numFmtId="199" fontId="11" fillId="14" borderId="59" xfId="0" applyNumberFormat="1" applyFont="1" applyFill="1" applyBorder="1" applyAlignment="1">
      <alignment horizontal="center"/>
    </xf>
    <xf numFmtId="199" fontId="11" fillId="14" borderId="8" xfId="1" applyNumberFormat="1" applyFont="1" applyFill="1" applyBorder="1" applyAlignment="1">
      <alignment horizontal="center"/>
    </xf>
    <xf numFmtId="199" fontId="11" fillId="14" borderId="23" xfId="1" applyNumberFormat="1" applyFont="1" applyFill="1" applyBorder="1" applyAlignment="1">
      <alignment horizontal="center"/>
    </xf>
    <xf numFmtId="199" fontId="11" fillId="14" borderId="61" xfId="1" applyNumberFormat="1" applyFont="1" applyFill="1" applyBorder="1" applyAlignment="1">
      <alignment horizontal="center"/>
    </xf>
    <xf numFmtId="199" fontId="11" fillId="14" borderId="27" xfId="1" applyNumberFormat="1" applyFont="1" applyFill="1" applyBorder="1" applyAlignment="1">
      <alignment horizontal="center"/>
    </xf>
    <xf numFmtId="183" fontId="11" fillId="0" borderId="57" xfId="0" applyNumberFormat="1" applyFont="1" applyBorder="1" applyAlignment="1">
      <alignment horizontal="centerContinuous" vertical="center"/>
    </xf>
    <xf numFmtId="0" fontId="0" fillId="0" borderId="58" xfId="0" applyBorder="1" applyAlignment="1">
      <alignment horizontal="centerContinuous"/>
    </xf>
    <xf numFmtId="176" fontId="11" fillId="14" borderId="59" xfId="1" applyFont="1" applyFill="1" applyBorder="1" applyAlignment="1" applyProtection="1">
      <alignment horizontal="center"/>
      <protection locked="0"/>
    </xf>
    <xf numFmtId="176" fontId="49" fillId="0" borderId="0" xfId="1" applyFont="1"/>
    <xf numFmtId="183" fontId="11" fillId="0" borderId="20" xfId="0" applyNumberFormat="1" applyFont="1" applyBorder="1" applyAlignment="1">
      <alignment horizontal="centerContinuous" vertical="center"/>
    </xf>
    <xf numFmtId="0" fontId="0" fillId="0" borderId="8" xfId="0" applyBorder="1" applyAlignment="1">
      <alignment horizontal="centerContinuous"/>
    </xf>
    <xf numFmtId="176" fontId="11" fillId="0" borderId="23" xfId="1" applyFont="1" applyBorder="1" applyAlignment="1">
      <alignment horizontal="center"/>
    </xf>
    <xf numFmtId="9" fontId="49" fillId="0" borderId="0" xfId="0" applyNumberFormat="1" applyFont="1"/>
    <xf numFmtId="17" fontId="49" fillId="0" borderId="0" xfId="0" applyNumberFormat="1" applyFont="1"/>
    <xf numFmtId="189" fontId="49" fillId="0" borderId="0" xfId="0" applyNumberFormat="1" applyFont="1"/>
    <xf numFmtId="189" fontId="0" fillId="0" borderId="0" xfId="0" applyNumberFormat="1"/>
    <xf numFmtId="17" fontId="0" fillId="0" borderId="0" xfId="0" applyNumberFormat="1"/>
    <xf numFmtId="176" fontId="11" fillId="8" borderId="23" xfId="1" applyFont="1" applyFill="1" applyBorder="1" applyAlignment="1" applyProtection="1">
      <alignment horizontal="center" vertical="center"/>
      <protection locked="0"/>
    </xf>
    <xf numFmtId="9" fontId="11" fillId="14" borderId="23" xfId="3" applyNumberFormat="1" applyFont="1" applyFill="1" applyBorder="1" applyAlignment="1" applyProtection="1">
      <alignment horizontal="center" vertical="center"/>
      <protection locked="0"/>
    </xf>
    <xf numFmtId="10" fontId="11" fillId="14" borderId="23" xfId="3" applyNumberFormat="1" applyFont="1" applyFill="1" applyBorder="1" applyAlignment="1" applyProtection="1">
      <alignment horizontal="center" vertical="center"/>
      <protection locked="0"/>
    </xf>
    <xf numFmtId="10" fontId="11" fillId="16" borderId="23" xfId="3" applyNumberFormat="1" applyFont="1" applyFill="1" applyBorder="1" applyAlignment="1" applyProtection="1">
      <alignment horizontal="center" vertical="center"/>
      <protection locked="0"/>
    </xf>
    <xf numFmtId="183" fontId="11" fillId="0" borderId="14" xfId="0" applyNumberFormat="1" applyFont="1" applyBorder="1" applyAlignment="1">
      <alignment horizontal="centerContinuous" vertical="center"/>
    </xf>
    <xf numFmtId="0" fontId="0" fillId="0" borderId="15" xfId="0" applyBorder="1" applyAlignment="1">
      <alignment horizontal="centerContinuous"/>
    </xf>
    <xf numFmtId="10" fontId="11" fillId="14" borderId="16" xfId="3" applyNumberFormat="1" applyFont="1" applyFill="1" applyBorder="1" applyAlignment="1" applyProtection="1">
      <alignment horizontal="center" vertical="center"/>
      <protection locked="0"/>
    </xf>
    <xf numFmtId="183" fontId="43" fillId="3" borderId="63" xfId="0" applyNumberFormat="1" applyFont="1" applyFill="1" applyBorder="1" applyAlignment="1">
      <alignment horizontal="centerContinuous" vertical="center"/>
    </xf>
    <xf numFmtId="0" fontId="55" fillId="3" borderId="64" xfId="0" applyFont="1" applyFill="1" applyBorder="1" applyAlignment="1">
      <alignment horizontal="centerContinuous"/>
    </xf>
    <xf numFmtId="176" fontId="43" fillId="3" borderId="33" xfId="1" applyFont="1" applyFill="1" applyBorder="1" applyAlignment="1">
      <alignment horizontal="center" vertical="center"/>
    </xf>
    <xf numFmtId="186" fontId="49" fillId="0" borderId="0" xfId="0" applyNumberFormat="1" applyFont="1"/>
    <xf numFmtId="9" fontId="49" fillId="0" borderId="0" xfId="3" applyFont="1" applyFill="1" applyBorder="1"/>
    <xf numFmtId="183" fontId="45" fillId="13" borderId="32" xfId="0" applyNumberFormat="1" applyFont="1" applyFill="1" applyBorder="1" applyAlignment="1">
      <alignment horizontal="right" vertical="center"/>
    </xf>
    <xf numFmtId="183" fontId="45" fillId="13" borderId="28" xfId="0" applyNumberFormat="1" applyFont="1" applyFill="1" applyBorder="1" applyAlignment="1">
      <alignment horizontal="right" vertical="center"/>
    </xf>
    <xf numFmtId="10" fontId="56" fillId="13" borderId="33" xfId="3" applyNumberFormat="1" applyFont="1" applyFill="1" applyBorder="1" applyAlignment="1">
      <alignment horizontal="center" vertical="center"/>
    </xf>
    <xf numFmtId="0" fontId="57" fillId="0" borderId="0" xfId="0" applyFont="1"/>
    <xf numFmtId="183" fontId="45" fillId="13" borderId="65" xfId="0" applyNumberFormat="1" applyFont="1" applyFill="1" applyBorder="1" applyAlignment="1">
      <alignment horizontal="right" vertical="center"/>
    </xf>
    <xf numFmtId="183" fontId="45" fillId="13" borderId="66" xfId="0" applyNumberFormat="1" applyFont="1" applyFill="1" applyBorder="1" applyAlignment="1">
      <alignment horizontal="right" vertical="center"/>
    </xf>
    <xf numFmtId="177" fontId="48" fillId="13" borderId="67" xfId="2" applyFont="1" applyFill="1" applyBorder="1" applyAlignment="1">
      <alignment horizontal="right" vertical="center"/>
    </xf>
    <xf numFmtId="17" fontId="58" fillId="16" borderId="0" xfId="0" applyNumberFormat="1" applyFont="1" applyFill="1"/>
    <xf numFmtId="189" fontId="49" fillId="16" borderId="0" xfId="0" applyNumberFormat="1" applyFont="1" applyFill="1"/>
    <xf numFmtId="183" fontId="22" fillId="13" borderId="0" xfId="0" applyNumberFormat="1" applyFont="1" applyFill="1" applyBorder="1" applyAlignment="1">
      <alignment horizontal="centerContinuous" vertical="center"/>
    </xf>
    <xf numFmtId="0" fontId="16" fillId="13" borderId="0" xfId="0" applyFont="1" applyFill="1" applyBorder="1" applyAlignment="1">
      <alignment horizontal="centerContinuous"/>
    </xf>
    <xf numFmtId="177" fontId="22" fillId="13" borderId="0" xfId="2" applyFont="1" applyFill="1" applyBorder="1" applyAlignment="1">
      <alignment horizontal="center" vertical="center"/>
    </xf>
    <xf numFmtId="0" fontId="49" fillId="13" borderId="0" xfId="0" applyFont="1" applyFill="1"/>
    <xf numFmtId="9" fontId="49" fillId="13" borderId="0" xfId="0" applyNumberFormat="1" applyFont="1" applyFill="1"/>
    <xf numFmtId="0" fontId="59" fillId="13" borderId="0" xfId="6" applyFill="1"/>
    <xf numFmtId="189" fontId="49" fillId="13" borderId="0" xfId="0" applyNumberFormat="1" applyFont="1" applyFill="1"/>
    <xf numFmtId="17" fontId="49" fillId="13" borderId="0" xfId="0" applyNumberFormat="1" applyFont="1" applyFill="1"/>
    <xf numFmtId="189" fontId="0" fillId="13" borderId="0" xfId="0" applyNumberFormat="1" applyFill="1"/>
    <xf numFmtId="17" fontId="0" fillId="13" borderId="0" xfId="0" applyNumberFormat="1" applyFill="1"/>
    <xf numFmtId="0" fontId="39" fillId="0" borderId="0" xfId="0" applyFont="1"/>
    <xf numFmtId="0" fontId="39" fillId="13" borderId="0" xfId="0" applyFont="1" applyFill="1"/>
    <xf numFmtId="9" fontId="39" fillId="13" borderId="0" xfId="0" applyNumberFormat="1" applyFont="1" applyFill="1"/>
    <xf numFmtId="0" fontId="7" fillId="13" borderId="0" xfId="0" applyFont="1" applyFill="1"/>
    <xf numFmtId="0" fontId="7" fillId="0" borderId="0" xfId="0" applyFont="1"/>
    <xf numFmtId="9" fontId="0" fillId="13" borderId="0" xfId="0" applyNumberFormat="1" applyFill="1"/>
    <xf numFmtId="9" fontId="0" fillId="0" borderId="0" xfId="0" applyNumberFormat="1"/>
    <xf numFmtId="0" fontId="0" fillId="0" borderId="32" xfId="0" applyBorder="1"/>
    <xf numFmtId="0" fontId="60" fillId="0" borderId="28" xfId="0" applyFont="1" applyBorder="1" applyAlignment="1">
      <alignment horizontal="center" vertical="center"/>
    </xf>
    <xf numFmtId="0" fontId="0" fillId="0" borderId="33" xfId="0" applyBorder="1"/>
    <xf numFmtId="0" fontId="0" fillId="0" borderId="47" xfId="0" applyBorder="1"/>
    <xf numFmtId="0" fontId="61" fillId="0" borderId="0" xfId="0" applyFont="1" applyAlignment="1">
      <alignment horizontal="center" vertical="center"/>
    </xf>
    <xf numFmtId="0" fontId="0" fillId="0" borderId="48" xfId="0" applyBorder="1"/>
    <xf numFmtId="0" fontId="62" fillId="0" borderId="0" xfId="0" applyFont="1" applyAlignment="1">
      <alignment horizontal="center" vertical="center"/>
    </xf>
    <xf numFmtId="0" fontId="63" fillId="0" borderId="0" xfId="0" applyFont="1" applyAlignment="1">
      <alignment horizontal="justify" vertical="center"/>
    </xf>
    <xf numFmtId="0" fontId="64" fillId="7" borderId="0" xfId="0" applyFont="1" applyFill="1" applyAlignment="1">
      <alignment horizontal="justify" vertical="center"/>
    </xf>
    <xf numFmtId="0" fontId="64" fillId="0" borderId="48" xfId="0" applyFont="1" applyBorder="1" applyAlignment="1">
      <alignment horizontal="justify" vertical="center"/>
    </xf>
    <xf numFmtId="0" fontId="64" fillId="0" borderId="0" xfId="0" applyFont="1" applyAlignment="1">
      <alignment horizontal="justify" vertical="center"/>
    </xf>
    <xf numFmtId="0" fontId="65" fillId="0" borderId="0" xfId="0" applyFont="1" applyAlignment="1">
      <alignment horizontal="justify" vertical="center"/>
    </xf>
    <xf numFmtId="0" fontId="64" fillId="0" borderId="0" xfId="0" applyFont="1" applyAlignment="1">
      <alignment horizontal="right" vertical="center"/>
    </xf>
    <xf numFmtId="0" fontId="59" fillId="0" borderId="0" xfId="6" applyBorder="1" applyAlignment="1">
      <alignment horizontal="right" vertical="center"/>
    </xf>
    <xf numFmtId="0" fontId="0" fillId="0" borderId="65" xfId="0" applyBorder="1"/>
    <xf numFmtId="0" fontId="0" fillId="0" borderId="66" xfId="0" applyBorder="1"/>
    <xf numFmtId="0" fontId="0" fillId="0" borderId="67" xfId="0" applyBorder="1"/>
    <xf numFmtId="0" fontId="7" fillId="11" borderId="0" xfId="0" applyFont="1" applyFill="1"/>
    <xf numFmtId="0" fontId="0" fillId="0" borderId="0" xfId="0" applyAlignment="1">
      <alignment horizontal="left"/>
    </xf>
    <xf numFmtId="176" fontId="7" fillId="13" borderId="0" xfId="1" applyFont="1" applyFill="1"/>
    <xf numFmtId="0" fontId="7" fillId="13" borderId="0" xfId="0" applyFont="1" applyFill="1" applyAlignment="1">
      <alignment horizontal="left"/>
    </xf>
    <xf numFmtId="176" fontId="15" fillId="13" borderId="0" xfId="1" applyFont="1" applyFill="1"/>
    <xf numFmtId="16" fontId="7" fillId="13" borderId="0" xfId="0" applyNumberFormat="1" applyFont="1" applyFill="1" applyAlignment="1">
      <alignment horizontal="left"/>
    </xf>
    <xf numFmtId="176" fontId="7" fillId="11" borderId="0" xfId="1" applyFont="1" applyFill="1"/>
    <xf numFmtId="16" fontId="7" fillId="11" borderId="0" xfId="0" applyNumberFormat="1" applyFont="1" applyFill="1" applyAlignment="1">
      <alignment horizontal="left"/>
    </xf>
    <xf numFmtId="0" fontId="66" fillId="37" borderId="0" xfId="0" applyFont="1" applyFill="1" applyBorder="1" applyAlignment="1">
      <alignment vertical="center"/>
    </xf>
    <xf numFmtId="0" fontId="0" fillId="37" borderId="0" xfId="0" applyFill="1" applyAlignment="1">
      <alignment vertical="center"/>
    </xf>
    <xf numFmtId="0" fontId="0" fillId="0" borderId="0" xfId="0" applyAlignment="1">
      <alignment vertical="center"/>
    </xf>
    <xf numFmtId="0" fontId="0" fillId="0" borderId="0" xfId="0" applyAlignment="1">
      <alignment horizontal="center" vertical="center" wrapText="1"/>
    </xf>
    <xf numFmtId="0" fontId="0" fillId="0" borderId="0" xfId="0" applyBorder="1" applyAlignment="1">
      <alignment vertical="center"/>
    </xf>
    <xf numFmtId="176" fontId="0" fillId="0" borderId="0" xfId="1" applyFont="1" applyBorder="1" applyAlignment="1">
      <alignment horizontal="center" vertical="center"/>
    </xf>
    <xf numFmtId="10" fontId="0" fillId="0" borderId="0" xfId="3" applyNumberFormat="1" applyFont="1" applyBorder="1" applyAlignment="1">
      <alignment horizontal="center" vertical="center"/>
    </xf>
    <xf numFmtId="176" fontId="0" fillId="0" borderId="0" xfId="1" applyFont="1" applyBorder="1" applyAlignment="1">
      <alignment vertical="center"/>
    </xf>
    <xf numFmtId="0" fontId="66" fillId="37" borderId="5" xfId="0" applyFont="1" applyFill="1" applyBorder="1" applyAlignment="1">
      <alignment vertical="center"/>
    </xf>
    <xf numFmtId="0" fontId="67" fillId="37" borderId="10" xfId="0" applyFont="1" applyFill="1" applyBorder="1" applyAlignment="1">
      <alignment horizontal="center" vertical="center"/>
    </xf>
    <xf numFmtId="0" fontId="67" fillId="37" borderId="21" xfId="0" applyFont="1" applyFill="1" applyBorder="1" applyAlignment="1">
      <alignment horizontal="center" vertical="center"/>
    </xf>
    <xf numFmtId="0" fontId="67" fillId="37" borderId="9" xfId="0" applyFont="1" applyFill="1" applyBorder="1" applyAlignment="1">
      <alignment horizontal="center" vertical="center"/>
    </xf>
    <xf numFmtId="0" fontId="16" fillId="38" borderId="8" xfId="0" applyFont="1" applyFill="1" applyBorder="1" applyAlignment="1">
      <alignment vertical="center"/>
    </xf>
    <xf numFmtId="176" fontId="16" fillId="38" borderId="8" xfId="1" applyFont="1" applyFill="1" applyBorder="1" applyAlignment="1">
      <alignment horizontal="center" vertical="center"/>
    </xf>
    <xf numFmtId="10" fontId="16" fillId="38" borderId="8" xfId="3" applyNumberFormat="1" applyFont="1" applyFill="1" applyBorder="1" applyAlignment="1">
      <alignment horizontal="center" vertical="center"/>
    </xf>
    <xf numFmtId="176" fontId="16" fillId="38" borderId="8" xfId="1" applyFont="1" applyFill="1" applyBorder="1" applyAlignment="1">
      <alignment horizontal="center" vertical="center" wrapText="1"/>
    </xf>
    <xf numFmtId="0" fontId="0" fillId="0" borderId="8" xfId="0" applyBorder="1" applyAlignment="1">
      <alignment vertical="center"/>
    </xf>
    <xf numFmtId="0" fontId="7" fillId="0" borderId="8" xfId="0" applyFont="1" applyBorder="1" applyAlignment="1">
      <alignment vertical="center"/>
    </xf>
    <xf numFmtId="176" fontId="0" fillId="23" borderId="8" xfId="1" applyFont="1" applyFill="1" applyBorder="1" applyAlignment="1">
      <alignment horizontal="center" vertical="center"/>
    </xf>
    <xf numFmtId="10" fontId="0" fillId="0" borderId="8" xfId="3" applyNumberFormat="1" applyFont="1" applyBorder="1" applyAlignment="1">
      <alignment horizontal="center" vertical="center"/>
    </xf>
    <xf numFmtId="176" fontId="0" fillId="0" borderId="8" xfId="1" applyFont="1" applyBorder="1" applyAlignment="1">
      <alignment horizontal="center" vertical="center"/>
    </xf>
    <xf numFmtId="176" fontId="17" fillId="23" borderId="8" xfId="1" applyFont="1" applyFill="1" applyBorder="1" applyAlignment="1">
      <alignment horizontal="center" vertical="center"/>
    </xf>
    <xf numFmtId="0" fontId="16" fillId="38" borderId="8" xfId="0" applyFont="1" applyFill="1" applyBorder="1" applyAlignment="1">
      <alignment horizontal="center" vertical="center" wrapText="1"/>
    </xf>
    <xf numFmtId="176" fontId="16" fillId="38" borderId="9" xfId="1" applyFont="1" applyFill="1" applyBorder="1" applyAlignment="1">
      <alignment horizontal="center" vertical="center" wrapText="1"/>
    </xf>
    <xf numFmtId="176" fontId="0" fillId="13" borderId="8" xfId="1" applyFont="1" applyFill="1" applyBorder="1" applyAlignment="1">
      <alignment horizontal="center" vertical="center"/>
    </xf>
    <xf numFmtId="176" fontId="0" fillId="13" borderId="9" xfId="1" applyFont="1" applyFill="1" applyBorder="1" applyAlignment="1">
      <alignment horizontal="center" vertical="center"/>
    </xf>
    <xf numFmtId="0" fontId="66" fillId="37" borderId="0" xfId="0" applyFont="1" applyFill="1" applyBorder="1" applyAlignment="1">
      <alignment horizontal="center" vertical="center"/>
    </xf>
    <xf numFmtId="176" fontId="66" fillId="37" borderId="5" xfId="0" applyNumberFormat="1" applyFont="1" applyFill="1" applyBorder="1" applyAlignment="1">
      <alignment vertical="center"/>
    </xf>
    <xf numFmtId="0" fontId="0" fillId="0" borderId="8" xfId="0" applyBorder="1" applyAlignment="1">
      <alignment horizontal="center" vertical="center"/>
    </xf>
    <xf numFmtId="199" fontId="0" fillId="0" borderId="8" xfId="1" applyNumberFormat="1" applyFont="1" applyBorder="1" applyAlignment="1">
      <alignment horizontal="center" vertical="center"/>
    </xf>
    <xf numFmtId="176" fontId="0" fillId="0" borderId="8" xfId="1" applyFont="1" applyBorder="1" applyAlignment="1">
      <alignment vertical="center"/>
    </xf>
    <xf numFmtId="0" fontId="0" fillId="13" borderId="8" xfId="0" applyFill="1" applyBorder="1" applyAlignment="1">
      <alignment horizontal="center" vertical="center"/>
    </xf>
    <xf numFmtId="0" fontId="7" fillId="13" borderId="8" xfId="0" applyFont="1" applyFill="1" applyBorder="1" applyAlignment="1">
      <alignment vertical="center"/>
    </xf>
    <xf numFmtId="176" fontId="0" fillId="0" borderId="0" xfId="1" applyFont="1" applyBorder="1" applyAlignment="1">
      <alignment horizontal="left" vertical="center"/>
    </xf>
    <xf numFmtId="0" fontId="0" fillId="13" borderId="8" xfId="0" applyFill="1" applyBorder="1" applyAlignment="1">
      <alignment vertical="center"/>
    </xf>
    <xf numFmtId="176" fontId="68" fillId="37" borderId="5" xfId="0" applyNumberFormat="1" applyFont="1" applyFill="1" applyBorder="1" applyAlignment="1">
      <alignment vertical="center"/>
    </xf>
    <xf numFmtId="176" fontId="69" fillId="37" borderId="5" xfId="0" applyNumberFormat="1" applyFont="1" applyFill="1" applyBorder="1" applyAlignment="1">
      <alignment vertical="center"/>
    </xf>
    <xf numFmtId="0" fontId="70" fillId="9" borderId="0" xfId="0" applyFont="1" applyFill="1" applyBorder="1"/>
    <xf numFmtId="0" fontId="7" fillId="7" borderId="0" xfId="0" applyFont="1" applyFill="1" applyBorder="1" applyAlignment="1">
      <alignment horizontal="left"/>
    </xf>
    <xf numFmtId="0" fontId="15" fillId="13" borderId="0" xfId="0" applyFont="1" applyFill="1" applyBorder="1"/>
    <xf numFmtId="0" fontId="16" fillId="13" borderId="0" xfId="0" applyFont="1" applyFill="1" applyBorder="1"/>
    <xf numFmtId="176" fontId="7" fillId="13" borderId="0" xfId="1" applyFont="1" applyFill="1" applyBorder="1"/>
    <xf numFmtId="0" fontId="7" fillId="13" borderId="0" xfId="0" applyFont="1" applyFill="1" applyBorder="1" applyAlignment="1">
      <alignment horizontal="center"/>
    </xf>
    <xf numFmtId="0" fontId="7" fillId="13" borderId="0" xfId="0" applyFont="1" applyFill="1" applyBorder="1"/>
    <xf numFmtId="0" fontId="70" fillId="9" borderId="0" xfId="0" applyFont="1" applyFill="1" applyBorder="1" applyAlignment="1">
      <alignment horizontal="center"/>
    </xf>
    <xf numFmtId="0" fontId="71" fillId="7" borderId="0" xfId="0" applyFont="1" applyFill="1" applyBorder="1" applyAlignment="1">
      <alignment vertical="center"/>
    </xf>
    <xf numFmtId="0" fontId="71" fillId="7" borderId="0" xfId="0" applyFont="1" applyFill="1" applyBorder="1" applyAlignment="1">
      <alignment horizontal="left" vertical="center"/>
    </xf>
    <xf numFmtId="176" fontId="71" fillId="7" borderId="0" xfId="1" applyFont="1" applyFill="1" applyBorder="1" applyAlignment="1">
      <alignment horizontal="left" vertical="center"/>
    </xf>
    <xf numFmtId="0" fontId="16" fillId="13" borderId="68" xfId="0" applyFont="1" applyFill="1" applyBorder="1" applyAlignment="1">
      <alignment horizontal="center" vertical="center" wrapText="1"/>
    </xf>
    <xf numFmtId="0" fontId="16" fillId="13" borderId="68" xfId="0" applyFont="1" applyFill="1" applyBorder="1" applyAlignment="1">
      <alignment vertical="center" wrapText="1"/>
    </xf>
    <xf numFmtId="176" fontId="16" fillId="13" borderId="68" xfId="1" applyFont="1" applyFill="1" applyBorder="1" applyAlignment="1">
      <alignment horizontal="center" vertical="center" wrapText="1"/>
    </xf>
    <xf numFmtId="10" fontId="16" fillId="13" borderId="68" xfId="3" applyNumberFormat="1" applyFont="1" applyFill="1" applyBorder="1" applyAlignment="1">
      <alignment horizontal="center" vertical="center" wrapText="1"/>
    </xf>
    <xf numFmtId="0" fontId="16" fillId="13" borderId="69" xfId="0" applyFont="1" applyFill="1" applyBorder="1" applyAlignment="1">
      <alignment vertical="center"/>
    </xf>
    <xf numFmtId="0" fontId="16" fillId="13" borderId="69" xfId="0" applyFont="1" applyFill="1" applyBorder="1" applyAlignment="1">
      <alignment vertical="center" wrapText="1"/>
    </xf>
    <xf numFmtId="58" fontId="16" fillId="13" borderId="69" xfId="1" applyNumberFormat="1" applyFont="1" applyFill="1" applyBorder="1" applyAlignment="1">
      <alignment horizontal="center" vertical="center" wrapText="1"/>
    </xf>
    <xf numFmtId="58" fontId="16" fillId="13" borderId="69" xfId="3" applyNumberFormat="1" applyFont="1" applyFill="1" applyBorder="1" applyAlignment="1">
      <alignment horizontal="center" vertical="center" wrapText="1"/>
    </xf>
    <xf numFmtId="0" fontId="7" fillId="13" borderId="69" xfId="0" applyFont="1" applyFill="1" applyBorder="1" applyAlignment="1">
      <alignment horizontal="center" vertical="center"/>
    </xf>
    <xf numFmtId="0" fontId="7" fillId="13" borderId="69" xfId="0" applyFont="1" applyFill="1" applyBorder="1" applyAlignment="1">
      <alignment vertical="center"/>
    </xf>
    <xf numFmtId="176" fontId="7" fillId="13" borderId="69" xfId="1" applyFont="1" applyFill="1" applyBorder="1" applyAlignment="1">
      <alignment vertical="center"/>
    </xf>
    <xf numFmtId="9" fontId="7" fillId="13" borderId="69" xfId="3" applyFont="1" applyFill="1" applyBorder="1" applyAlignment="1">
      <alignment horizontal="center" vertical="center"/>
    </xf>
    <xf numFmtId="0" fontId="7" fillId="13" borderId="69" xfId="0" applyFont="1" applyFill="1" applyBorder="1" applyAlignment="1">
      <alignment horizontal="center"/>
    </xf>
    <xf numFmtId="176" fontId="16" fillId="13" borderId="69" xfId="1" applyFont="1" applyFill="1" applyBorder="1" applyAlignment="1">
      <alignment horizontal="center" vertical="center"/>
    </xf>
    <xf numFmtId="0" fontId="15" fillId="13" borderId="69" xfId="0" applyFont="1" applyFill="1" applyBorder="1" applyAlignment="1">
      <alignment horizontal="center"/>
    </xf>
    <xf numFmtId="176" fontId="15" fillId="13" borderId="69" xfId="1" applyFont="1" applyFill="1" applyBorder="1" applyAlignment="1">
      <alignment vertical="center"/>
    </xf>
    <xf numFmtId="0" fontId="15" fillId="13" borderId="69" xfId="0" applyFont="1" applyFill="1" applyBorder="1" applyAlignment="1">
      <alignment vertical="center"/>
    </xf>
    <xf numFmtId="176" fontId="16" fillId="13" borderId="69" xfId="1" applyFont="1" applyFill="1" applyBorder="1" applyAlignment="1">
      <alignment vertical="center"/>
    </xf>
    <xf numFmtId="0" fontId="16" fillId="7" borderId="0" xfId="0" applyFont="1" applyFill="1" applyBorder="1" applyAlignment="1">
      <alignment horizontal="right" vertical="center"/>
    </xf>
    <xf numFmtId="58" fontId="16" fillId="7" borderId="0" xfId="1" applyNumberFormat="1" applyFont="1" applyFill="1" applyBorder="1" applyAlignment="1">
      <alignment horizontal="left" vertical="center"/>
    </xf>
    <xf numFmtId="0" fontId="16" fillId="13" borderId="70" xfId="0" applyFont="1" applyFill="1" applyBorder="1" applyAlignment="1">
      <alignment horizontal="center"/>
    </xf>
    <xf numFmtId="0" fontId="16" fillId="13" borderId="70" xfId="0" applyFont="1" applyFill="1" applyBorder="1"/>
    <xf numFmtId="0" fontId="16" fillId="13" borderId="71" xfId="0" applyFont="1" applyFill="1" applyBorder="1"/>
    <xf numFmtId="0" fontId="16" fillId="13" borderId="72" xfId="0" applyFont="1" applyFill="1" applyBorder="1"/>
    <xf numFmtId="176" fontId="16" fillId="13" borderId="72" xfId="1" applyFont="1" applyFill="1" applyBorder="1" applyAlignment="1">
      <alignment horizontal="left"/>
    </xf>
    <xf numFmtId="176" fontId="16" fillId="13" borderId="69" xfId="1" applyFont="1" applyFill="1" applyBorder="1" applyAlignment="1">
      <alignment horizontal="center"/>
    </xf>
    <xf numFmtId="0" fontId="16" fillId="13" borderId="69" xfId="0" applyFont="1" applyFill="1" applyBorder="1"/>
    <xf numFmtId="0" fontId="16" fillId="13" borderId="0" xfId="0" applyFont="1" applyFill="1" applyBorder="1" applyAlignment="1">
      <alignment horizontal="center"/>
    </xf>
    <xf numFmtId="0" fontId="7" fillId="13" borderId="70" xfId="0" applyFont="1" applyFill="1" applyBorder="1"/>
    <xf numFmtId="0" fontId="7" fillId="13" borderId="71" xfId="0" applyFont="1" applyFill="1" applyBorder="1"/>
    <xf numFmtId="0" fontId="7" fillId="13" borderId="72" xfId="0" applyFont="1" applyFill="1" applyBorder="1"/>
    <xf numFmtId="202" fontId="7" fillId="13" borderId="69" xfId="1" applyNumberFormat="1" applyFont="1" applyFill="1" applyBorder="1" applyAlignment="1">
      <alignment horizontal="center"/>
    </xf>
    <xf numFmtId="176" fontId="7" fillId="13" borderId="69" xfId="1" applyFont="1" applyFill="1" applyBorder="1" applyAlignment="1">
      <alignment horizontal="center"/>
    </xf>
    <xf numFmtId="58" fontId="7" fillId="13" borderId="69" xfId="1" applyNumberFormat="1" applyFont="1" applyFill="1" applyBorder="1" applyAlignment="1">
      <alignment horizontal="center"/>
    </xf>
    <xf numFmtId="0" fontId="7" fillId="13" borderId="69" xfId="0" applyFont="1" applyFill="1" applyBorder="1"/>
    <xf numFmtId="202" fontId="7" fillId="13" borderId="69" xfId="0" applyNumberFormat="1" applyFont="1" applyFill="1" applyBorder="1"/>
    <xf numFmtId="176" fontId="7" fillId="13" borderId="69" xfId="1" applyFont="1" applyFill="1" applyBorder="1"/>
    <xf numFmtId="0" fontId="7" fillId="13" borderId="70" xfId="0" applyFont="1" applyFill="1" applyBorder="1" applyAlignment="1">
      <alignment horizontal="center"/>
    </xf>
    <xf numFmtId="176" fontId="16" fillId="13" borderId="72" xfId="1" applyFont="1" applyFill="1" applyBorder="1" applyAlignment="1">
      <alignment horizontal="center"/>
    </xf>
    <xf numFmtId="1" fontId="7" fillId="13" borderId="70" xfId="1" applyNumberFormat="1" applyFont="1" applyFill="1" applyBorder="1" applyAlignment="1">
      <alignment horizontal="center"/>
    </xf>
    <xf numFmtId="176" fontId="7" fillId="13" borderId="70" xfId="1" applyFont="1" applyFill="1" applyBorder="1"/>
    <xf numFmtId="176" fontId="7" fillId="13" borderId="71" xfId="1" applyFont="1" applyFill="1" applyBorder="1"/>
    <xf numFmtId="176" fontId="7" fillId="13" borderId="72" xfId="1" applyFont="1" applyFill="1" applyBorder="1"/>
    <xf numFmtId="176" fontId="7" fillId="13" borderId="0" xfId="1" applyFont="1" applyFill="1" applyBorder="1" applyAlignment="1">
      <alignment horizontal="center"/>
    </xf>
    <xf numFmtId="176" fontId="7" fillId="20" borderId="70" xfId="1" applyFont="1" applyFill="1" applyBorder="1"/>
    <xf numFmtId="199" fontId="11" fillId="14" borderId="8" xfId="1" applyNumberFormat="1" applyFont="1" applyFill="1" applyBorder="1" applyAlignment="1" quotePrefix="1">
      <alignment horizontal="center"/>
    </xf>
    <xf numFmtId="0" fontId="39" fillId="0" borderId="35" xfId="243" applyFont="1" applyBorder="1" applyAlignment="1" quotePrefix="1">
      <alignment horizontal="left" vertical="center"/>
    </xf>
    <xf numFmtId="0" fontId="6" fillId="0" borderId="8" xfId="241" applyFont="1" applyBorder="1" applyAlignment="1" quotePrefix="1">
      <alignment vertical="center" wrapText="1"/>
    </xf>
    <xf numFmtId="0" fontId="9" fillId="0" borderId="8" xfId="240" applyFont="1" applyBorder="1" applyAlignment="1" quotePrefix="1">
      <alignment vertical="center" wrapText="1"/>
    </xf>
    <xf numFmtId="0" fontId="6" fillId="0" borderId="8" xfId="240" applyFont="1" applyBorder="1" applyAlignment="1" quotePrefix="1">
      <alignment vertical="center" wrapText="1"/>
    </xf>
  </cellXfs>
  <cellStyles count="483">
    <cellStyle name="Normal" xfId="0" builtinId="0"/>
    <cellStyle name="Comma" xfId="1" builtinId="3"/>
    <cellStyle name="Moeda" xfId="2" builtinId="4"/>
    <cellStyle name="Porcentagem" xfId="3" builtinId="5"/>
    <cellStyle name="Comma [0]" xfId="4" builtinId="6"/>
    <cellStyle name="Moeda [0]" xfId="5" builtinId="7"/>
    <cellStyle name="Hyperlink" xfId="6" builtinId="8"/>
    <cellStyle name="Hyperlink seguido" xfId="7" builtinId="9"/>
    <cellStyle name="Observação" xfId="8" builtinId="10"/>
    <cellStyle name="Texto de Aviso" xfId="9" builtinId="11"/>
    <cellStyle name="Título" xfId="10" builtinId="15"/>
    <cellStyle name="Texto Explicativo" xfId="11" builtinId="53"/>
    <cellStyle name="Título 1" xfId="12" builtinId="16"/>
    <cellStyle name="Título 2" xfId="13" builtinId="17"/>
    <cellStyle name="Título 3" xfId="14" builtinId="18"/>
    <cellStyle name="Título 4" xfId="15" builtinId="19"/>
    <cellStyle name="Entrada" xfId="16" builtinId="20"/>
    <cellStyle name="Saída" xfId="17" builtinId="21"/>
    <cellStyle name="Cálculo" xfId="18" builtinId="22"/>
    <cellStyle name="Célula de Verificação" xfId="19" builtinId="23"/>
    <cellStyle name="Célula Vinculada" xfId="20" builtinId="24"/>
    <cellStyle name="Total" xfId="21" builtinId="25"/>
    <cellStyle name="Bom" xfId="22" builtinId="26"/>
    <cellStyle name="Ruim" xfId="23" builtinId="27"/>
    <cellStyle name="Neutro" xfId="24" builtinId="28"/>
    <cellStyle name="Ênfase 1" xfId="25" builtinId="29"/>
    <cellStyle name="20% - Ênfase 1" xfId="26" builtinId="30"/>
    <cellStyle name="40% - Ênfase 1" xfId="27" builtinId="31"/>
    <cellStyle name="60% - Ênfase 1" xfId="28" builtinId="32"/>
    <cellStyle name="Ênfase 2" xfId="29" builtinId="33"/>
    <cellStyle name="20% - Ênfase 2" xfId="30" builtinId="34"/>
    <cellStyle name="40% - Ênfase 2" xfId="31" builtinId="35"/>
    <cellStyle name="60% - Ênfase 2" xfId="32" builtinId="36"/>
    <cellStyle name="Ênfase 3" xfId="33" builtinId="37"/>
    <cellStyle name="20% - Ênfase 3" xfId="34" builtinId="38"/>
    <cellStyle name="40% - Ênfase 3" xfId="35" builtinId="39"/>
    <cellStyle name="60% - Ênfase 3" xfId="36" builtinId="40"/>
    <cellStyle name="Ênfase 4" xfId="37" builtinId="41"/>
    <cellStyle name="20% - Ênfase 4" xfId="38" builtinId="42"/>
    <cellStyle name="40% - Ênfase 4" xfId="39" builtinId="43"/>
    <cellStyle name="60% - Ênfase 4" xfId="40" builtinId="44"/>
    <cellStyle name="Ênfase 5" xfId="41" builtinId="45"/>
    <cellStyle name="20% - Ênfase 5" xfId="42" builtinId="46"/>
    <cellStyle name="40% - Ênfase 5" xfId="43" builtinId="47"/>
    <cellStyle name="60% - Ênfase 5" xfId="44" builtinId="48"/>
    <cellStyle name="Ênfase 6" xfId="45" builtinId="49"/>
    <cellStyle name="20% - Ênfase 6" xfId="46" builtinId="50"/>
    <cellStyle name="40% - Ênfase 6" xfId="47" builtinId="51"/>
    <cellStyle name="60% - Ênfase 6" xfId="48" builtinId="52"/>
    <cellStyle name="20% - Accent1" xfId="49"/>
    <cellStyle name="20% - Accent2" xfId="50"/>
    <cellStyle name="20% - Accent3" xfId="51"/>
    <cellStyle name="20% - Accent4" xfId="52"/>
    <cellStyle name="20% - Accent5" xfId="53"/>
    <cellStyle name="20% - Accent6" xfId="54"/>
    <cellStyle name="20% - Ênfase1 2" xfId="55"/>
    <cellStyle name="20% - Ênfase1 3" xfId="56"/>
    <cellStyle name="20% - Ênfase1 4" xfId="57"/>
    <cellStyle name="20% - Ênfase1 5" xfId="58"/>
    <cellStyle name="20% - Ênfase2 2" xfId="59"/>
    <cellStyle name="20% - Ênfase2 3" xfId="60"/>
    <cellStyle name="20% - Ênfase2 4" xfId="61"/>
    <cellStyle name="20% - Ênfase2 5" xfId="62"/>
    <cellStyle name="20% - Ênfase3 2" xfId="63"/>
    <cellStyle name="20% - Ênfase3 3" xfId="64"/>
    <cellStyle name="20% - Ênfase3 4" xfId="65"/>
    <cellStyle name="20% - Ênfase3 5" xfId="66"/>
    <cellStyle name="20% - Ênfase4 2" xfId="67"/>
    <cellStyle name="20% - Ênfase4 3" xfId="68"/>
    <cellStyle name="20% - Ênfase4 4" xfId="69"/>
    <cellStyle name="20% - Ênfase4 5" xfId="70"/>
    <cellStyle name="20% - Ênfase5 2" xfId="71"/>
    <cellStyle name="20% - Ênfase5 3" xfId="72"/>
    <cellStyle name="20% - Ênfase5 4" xfId="73"/>
    <cellStyle name="20% - Ênfase5 5" xfId="74"/>
    <cellStyle name="20% - Ênfase6 2" xfId="75"/>
    <cellStyle name="20% - Ênfase6 3" xfId="76"/>
    <cellStyle name="20% - Ênfase6 4" xfId="77"/>
    <cellStyle name="20% - Ênfase6 5" xfId="78"/>
    <cellStyle name="40% - Accent1" xfId="79"/>
    <cellStyle name="40% - Accent2" xfId="80"/>
    <cellStyle name="40% - Accent3" xfId="81"/>
    <cellStyle name="40% - Accent4" xfId="82"/>
    <cellStyle name="40% - Accent5" xfId="83"/>
    <cellStyle name="40% - Accent6" xfId="84"/>
    <cellStyle name="40% - Ênfase1 2" xfId="85"/>
    <cellStyle name="40% - Ênfase1 3" xfId="86"/>
    <cellStyle name="40% - Ênfase1 4" xfId="87"/>
    <cellStyle name="40% - Ênfase1 5" xfId="88"/>
    <cellStyle name="40% - Ênfase2 2" xfId="89"/>
    <cellStyle name="40% - Ênfase2 3" xfId="90"/>
    <cellStyle name="40% - Ênfase2 4" xfId="91"/>
    <cellStyle name="40% - Ênfase2 5" xfId="92"/>
    <cellStyle name="40% - Ênfase3 2" xfId="93"/>
    <cellStyle name="40% - Ênfase3 3" xfId="94"/>
    <cellStyle name="40% - Ênfase3 4" xfId="95"/>
    <cellStyle name="40% - Ênfase3 5" xfId="96"/>
    <cellStyle name="40% - Ênfase4 2" xfId="97"/>
    <cellStyle name="40% - Ênfase4 3" xfId="98"/>
    <cellStyle name="40% - Ênfase4 4" xfId="99"/>
    <cellStyle name="40% - Ênfase4 5" xfId="100"/>
    <cellStyle name="40% - Ênfase5 2" xfId="101"/>
    <cellStyle name="40% - Ênfase5 3" xfId="102"/>
    <cellStyle name="40% - Ênfase5 4" xfId="103"/>
    <cellStyle name="40% - Ênfase5 5" xfId="104"/>
    <cellStyle name="40% - Ênfase6 2" xfId="105"/>
    <cellStyle name="40% - Ênfase6 3" xfId="106"/>
    <cellStyle name="40% - Ênfase6 4" xfId="107"/>
    <cellStyle name="40% - Ênfase6 5" xfId="108"/>
    <cellStyle name="60% - Accent1" xfId="109"/>
    <cellStyle name="60% - Accent2" xfId="110"/>
    <cellStyle name="60% - Accent3" xfId="111"/>
    <cellStyle name="60% - Accent4" xfId="112"/>
    <cellStyle name="60% - Accent5" xfId="113"/>
    <cellStyle name="60% - Accent6" xfId="114"/>
    <cellStyle name="60% - Ênfase1 2" xfId="115"/>
    <cellStyle name="60% - Ênfase1 3" xfId="116"/>
    <cellStyle name="60% - Ênfase1 4" xfId="117"/>
    <cellStyle name="60% - Ênfase1 5" xfId="118"/>
    <cellStyle name="60% - Ênfase2 2" xfId="119"/>
    <cellStyle name="60% - Ênfase2 3" xfId="120"/>
    <cellStyle name="60% - Ênfase2 4" xfId="121"/>
    <cellStyle name="60% - Ênfase2 5" xfId="122"/>
    <cellStyle name="60% - Ênfase3 2" xfId="123"/>
    <cellStyle name="60% - Ênfase3 3" xfId="124"/>
    <cellStyle name="60% - Ênfase3 4" xfId="125"/>
    <cellStyle name="60% - Ênfase3 5" xfId="126"/>
    <cellStyle name="60% - Ênfase4 2" xfId="127"/>
    <cellStyle name="60% - Ênfase4 3" xfId="128"/>
    <cellStyle name="60% - Ênfase4 4" xfId="129"/>
    <cellStyle name="60% - Ênfase4 5" xfId="130"/>
    <cellStyle name="60% - Ênfase5 2" xfId="131"/>
    <cellStyle name="60% - Ênfase5 3" xfId="132"/>
    <cellStyle name="60% - Ênfase5 4" xfId="133"/>
    <cellStyle name="60% - Ênfase5 5" xfId="134"/>
    <cellStyle name="60% - Ênfase6 2" xfId="135"/>
    <cellStyle name="60% - Ênfase6 3" xfId="136"/>
    <cellStyle name="60% - Ênfase6 4" xfId="137"/>
    <cellStyle name="60% - Ênfase6 5" xfId="138"/>
    <cellStyle name="Accent1" xfId="139"/>
    <cellStyle name="Accent2" xfId="140"/>
    <cellStyle name="Accent3" xfId="141"/>
    <cellStyle name="Accent4" xfId="142"/>
    <cellStyle name="Accent5" xfId="143"/>
    <cellStyle name="Accent6" xfId="144"/>
    <cellStyle name="Bad" xfId="145"/>
    <cellStyle name="Bom 2" xfId="146"/>
    <cellStyle name="Bom 3" xfId="147"/>
    <cellStyle name="Bom 4" xfId="148"/>
    <cellStyle name="Bom 5" xfId="149"/>
    <cellStyle name="Calculation" xfId="150"/>
    <cellStyle name="Cálculo 2" xfId="151"/>
    <cellStyle name="Cálculo 3" xfId="152"/>
    <cellStyle name="Cálculo 4" xfId="153"/>
    <cellStyle name="Cálculo 5" xfId="154"/>
    <cellStyle name="Célula de Verificação 2" xfId="155"/>
    <cellStyle name="Célula de Verificação 3" xfId="156"/>
    <cellStyle name="Célula de Verificação 4" xfId="157"/>
    <cellStyle name="Célula de Verificação 5" xfId="158"/>
    <cellStyle name="Célula Vinculada 2" xfId="159"/>
    <cellStyle name="Célula Vinculada 3" xfId="160"/>
    <cellStyle name="Célula Vinculada 4" xfId="161"/>
    <cellStyle name="Célula Vinculada 5" xfId="162"/>
    <cellStyle name="Check Cell" xfId="163"/>
    <cellStyle name="Ênfase1 2" xfId="164"/>
    <cellStyle name="Ênfase1 3" xfId="165"/>
    <cellStyle name="Ênfase1 4" xfId="166"/>
    <cellStyle name="Ênfase1 5" xfId="167"/>
    <cellStyle name="Ênfase2 2" xfId="168"/>
    <cellStyle name="Ênfase2 3" xfId="169"/>
    <cellStyle name="Ênfase2 4" xfId="170"/>
    <cellStyle name="Ênfase2 5" xfId="171"/>
    <cellStyle name="Ênfase3 2" xfId="172"/>
    <cellStyle name="Ênfase3 3" xfId="173"/>
    <cellStyle name="Ênfase3 4" xfId="174"/>
    <cellStyle name="Ênfase3 5" xfId="175"/>
    <cellStyle name="Ênfase4 2" xfId="176"/>
    <cellStyle name="Ênfase4 3" xfId="177"/>
    <cellStyle name="Ênfase4 4" xfId="178"/>
    <cellStyle name="Ênfase4 5" xfId="179"/>
    <cellStyle name="Ênfase5 2" xfId="180"/>
    <cellStyle name="Ênfase5 3" xfId="181"/>
    <cellStyle name="Ênfase5 4" xfId="182"/>
    <cellStyle name="Ênfase5 5" xfId="183"/>
    <cellStyle name="Ênfase6 2" xfId="184"/>
    <cellStyle name="Ênfase6 3" xfId="185"/>
    <cellStyle name="Ênfase6 4" xfId="186"/>
    <cellStyle name="Ênfase6 5" xfId="187"/>
    <cellStyle name="Entrada 2" xfId="188"/>
    <cellStyle name="Entrada 3" xfId="189"/>
    <cellStyle name="Entrada 4" xfId="190"/>
    <cellStyle name="Entrada 5" xfId="191"/>
    <cellStyle name="Euro" xfId="192"/>
    <cellStyle name="Explanatory Text" xfId="193"/>
    <cellStyle name="Good" xfId="194"/>
    <cellStyle name="Heading 1" xfId="195"/>
    <cellStyle name="Heading 2" xfId="196"/>
    <cellStyle name="Heading 3" xfId="197"/>
    <cellStyle name="Heading 4" xfId="198"/>
    <cellStyle name="Hiperlink 4 3" xfId="199"/>
    <cellStyle name="Incorreto 2" xfId="200"/>
    <cellStyle name="Incorreto 3" xfId="201"/>
    <cellStyle name="Incorreto 4" xfId="202"/>
    <cellStyle name="Input" xfId="203"/>
    <cellStyle name="Linked Cell" xfId="204"/>
    <cellStyle name="Moeda 2" xfId="205"/>
    <cellStyle name="Moeda 2 2" xfId="206"/>
    <cellStyle name="Moeda 2 3" xfId="207"/>
    <cellStyle name="Moeda 3" xfId="208"/>
    <cellStyle name="Moeda 4" xfId="209"/>
    <cellStyle name="Moeda 5" xfId="210"/>
    <cellStyle name="Moeda 5 3" xfId="211"/>
    <cellStyle name="Moeda_Calculo de Indireto" xfId="212"/>
    <cellStyle name="Moeda_ORÇAMENTO DE CUSTO DIRETO" xfId="213"/>
    <cellStyle name="Neutra 2" xfId="214"/>
    <cellStyle name="Neutra 3" xfId="215"/>
    <cellStyle name="Neutra 4" xfId="216"/>
    <cellStyle name="Neutral" xfId="217"/>
    <cellStyle name="Normal 10" xfId="218"/>
    <cellStyle name="Normal 10 2" xfId="219"/>
    <cellStyle name="Normal 10 2 2" xfId="220"/>
    <cellStyle name="Normal 10 2 3" xfId="221"/>
    <cellStyle name="Normal 10 2 4" xfId="222"/>
    <cellStyle name="Normal 100" xfId="223"/>
    <cellStyle name="Normal 11" xfId="224"/>
    <cellStyle name="Normal 12" xfId="225"/>
    <cellStyle name="Normal 13" xfId="226"/>
    <cellStyle name="Normal 14" xfId="227"/>
    <cellStyle name="Normal 14 2 2" xfId="228"/>
    <cellStyle name="Normal 15" xfId="229"/>
    <cellStyle name="Normal 15 2" xfId="230"/>
    <cellStyle name="Normal 16" xfId="231"/>
    <cellStyle name="Normal 16 2 2 2" xfId="232"/>
    <cellStyle name="Normal 16 2 2 2 2" xfId="233"/>
    <cellStyle name="Normal 17" xfId="234"/>
    <cellStyle name="Normal 18" xfId="235"/>
    <cellStyle name="Normal 18 2" xfId="236"/>
    <cellStyle name="Normal 18 3" xfId="237"/>
    <cellStyle name="Normal 18_RGO" xfId="238"/>
    <cellStyle name="Normal 19" xfId="239"/>
    <cellStyle name="Normal 2" xfId="240"/>
    <cellStyle name="Normal 2 10" xfId="241"/>
    <cellStyle name="Normal 2 2" xfId="242"/>
    <cellStyle name="Normal 2 2 2" xfId="243"/>
    <cellStyle name="Normal 2 2 2 2" xfId="244"/>
    <cellStyle name="Normal 2 2 2 2 2" xfId="245"/>
    <cellStyle name="Normal 2 2 2 2 2 2" xfId="246"/>
    <cellStyle name="Normal 2 2 2 2 2 3" xfId="247"/>
    <cellStyle name="Normal 2 2 2 2 3" xfId="248"/>
    <cellStyle name="Normal 2 2 2 2 4" xfId="249"/>
    <cellStyle name="Normal 2 2 2 3" xfId="250"/>
    <cellStyle name="Normal 2 2 2 4" xfId="251"/>
    <cellStyle name="Normal 2 2 2 4 2" xfId="252"/>
    <cellStyle name="Normal 2 2 2 4 3" xfId="253"/>
    <cellStyle name="Normal 2 2 2 5" xfId="254"/>
    <cellStyle name="Normal 2 2 2_RGO 569 - POUSO ALEGRE - MAI-11" xfId="255"/>
    <cellStyle name="Normal 2 2 3" xfId="256"/>
    <cellStyle name="Normal 2 2 4" xfId="257"/>
    <cellStyle name="Normal 2 2 4 2" xfId="258"/>
    <cellStyle name="Normal 2 2 4 3" xfId="259"/>
    <cellStyle name="Normal 2 2 5" xfId="260"/>
    <cellStyle name="Normal 2 2 6 2 2" xfId="261"/>
    <cellStyle name="Normal 2 2 6 2 2 2" xfId="262"/>
    <cellStyle name="Normal 2 2_RGO 496 - T. CORAÇÕES - FEV-11 - MOD 2011" xfId="263"/>
    <cellStyle name="Normal 2 3" xfId="264"/>
    <cellStyle name="Normal 2 3 2" xfId="265"/>
    <cellStyle name="Normal 2 4" xfId="266"/>
    <cellStyle name="Normal 2 5" xfId="267"/>
    <cellStyle name="Normal 2 5 2" xfId="268"/>
    <cellStyle name="Normal 2 5 3" xfId="269"/>
    <cellStyle name="Normal 2 5_RGO" xfId="270"/>
    <cellStyle name="Normal 2 6" xfId="271"/>
    <cellStyle name="Normal 2 6 2" xfId="272"/>
    <cellStyle name="Normal 2 6 3" xfId="273"/>
    <cellStyle name="Normal 2 6_RGO" xfId="274"/>
    <cellStyle name="Normal 2 7" xfId="275"/>
    <cellStyle name="Normal 2 7 2" xfId="276"/>
    <cellStyle name="Normal 2 7 3" xfId="277"/>
    <cellStyle name="Normal 2 7_RGO" xfId="278"/>
    <cellStyle name="Normal 2 8" xfId="279"/>
    <cellStyle name="Normal 2 9" xfId="280"/>
    <cellStyle name="Normal 2_1ª E UNICA MED -  TRAVESSIA AJUSTADA" xfId="281"/>
    <cellStyle name="Normal 20" xfId="282"/>
    <cellStyle name="Normal 21" xfId="283"/>
    <cellStyle name="Normal 21 13" xfId="284"/>
    <cellStyle name="Normal 21 13 2" xfId="285"/>
    <cellStyle name="Normal 21 13 3" xfId="286"/>
    <cellStyle name="Normal 22" xfId="287"/>
    <cellStyle name="Normal 23" xfId="288"/>
    <cellStyle name="Normal 24" xfId="289"/>
    <cellStyle name="Normal 25" xfId="290"/>
    <cellStyle name="Normal 26" xfId="291"/>
    <cellStyle name="Normal 27" xfId="292"/>
    <cellStyle name="Normal 28" xfId="293"/>
    <cellStyle name="Normal 29" xfId="294"/>
    <cellStyle name="Normal 3" xfId="295"/>
    <cellStyle name="Normal 3 2" xfId="296"/>
    <cellStyle name="Normal 3 3" xfId="297"/>
    <cellStyle name="Normal 3 4" xfId="298"/>
    <cellStyle name="Normal 3 6" xfId="299"/>
    <cellStyle name="Normal 3_1ª E UNICA MED -  TRAVESSIA AJUSTADA" xfId="300"/>
    <cellStyle name="Normal 30" xfId="301"/>
    <cellStyle name="Normal 31" xfId="302"/>
    <cellStyle name="Normal 32" xfId="303"/>
    <cellStyle name="Normal 33" xfId="304"/>
    <cellStyle name="Normal 34" xfId="305"/>
    <cellStyle name="Normal 35" xfId="306"/>
    <cellStyle name="Normal 37 3" xfId="307"/>
    <cellStyle name="Normal 4" xfId="308"/>
    <cellStyle name="Normal 4 2" xfId="309"/>
    <cellStyle name="Normal 4 3" xfId="310"/>
    <cellStyle name="Normal 4 9" xfId="311"/>
    <cellStyle name="Normal 4_1ª E UNICA MED -  TRAVESSIA AJUSTADA" xfId="312"/>
    <cellStyle name="Normal 46" xfId="313"/>
    <cellStyle name="Normal 5" xfId="314"/>
    <cellStyle name="Normal 5 2" xfId="315"/>
    <cellStyle name="Normal 5_1ª E UNICA MED -  TRAVESSIA AJUSTADA" xfId="316"/>
    <cellStyle name="Normal 6" xfId="317"/>
    <cellStyle name="Normal 6 2" xfId="318"/>
    <cellStyle name="Normal 6 3" xfId="319"/>
    <cellStyle name="Normal 6 4" xfId="320"/>
    <cellStyle name="Normal 6_RGO 496 - T. CORAÇÕES - FEV-11 - MOD 2011" xfId="321"/>
    <cellStyle name="Normal 7" xfId="322"/>
    <cellStyle name="Normal 8" xfId="323"/>
    <cellStyle name="Normal 9" xfId="324"/>
    <cellStyle name="Normal_Calculo de Indireto" xfId="325"/>
    <cellStyle name="Normal_ORÇAMENTO DE CUSTO DIRETO" xfId="326"/>
    <cellStyle name="Nota 2" xfId="327"/>
    <cellStyle name="Nota 3" xfId="328"/>
    <cellStyle name="Nota 4" xfId="329"/>
    <cellStyle name="Nota 5" xfId="330"/>
    <cellStyle name="Note" xfId="331"/>
    <cellStyle name="Output" xfId="332"/>
    <cellStyle name="Porcentagem 10" xfId="333"/>
    <cellStyle name="Porcentagem 11" xfId="334"/>
    <cellStyle name="Porcentagem 11 3" xfId="335"/>
    <cellStyle name="Porcentagem 12" xfId="336"/>
    <cellStyle name="Porcentagem 2" xfId="337"/>
    <cellStyle name="Porcentagem 2 2" xfId="338"/>
    <cellStyle name="Porcentagem 2 2 2" xfId="339"/>
    <cellStyle name="Porcentagem 2 2 2 2 2 2" xfId="340"/>
    <cellStyle name="Porcentagem 2 2 2 2 2 2 2" xfId="341"/>
    <cellStyle name="Porcentagem 2 2 3 2 2" xfId="342"/>
    <cellStyle name="Porcentagem 2 2 3 2 2 2" xfId="343"/>
    <cellStyle name="Porcentagem 3" xfId="344"/>
    <cellStyle name="Porcentagem 4" xfId="345"/>
    <cellStyle name="Porcentagem 4 2" xfId="346"/>
    <cellStyle name="Porcentagem 5" xfId="347"/>
    <cellStyle name="Porcentagem 6" xfId="348"/>
    <cellStyle name="Porcentagem 7" xfId="349"/>
    <cellStyle name="Porcentagem 8" xfId="350"/>
    <cellStyle name="Porcentagem 9" xfId="351"/>
    <cellStyle name="Saída 2" xfId="352"/>
    <cellStyle name="Saída 3" xfId="353"/>
    <cellStyle name="Saída 4" xfId="354"/>
    <cellStyle name="Saída 5" xfId="355"/>
    <cellStyle name="Separador de milhares 10" xfId="356"/>
    <cellStyle name="Separador de milhares 10 11" xfId="357"/>
    <cellStyle name="Separador de milhares 10 11 2" xfId="358"/>
    <cellStyle name="Separador de milhares 10 12" xfId="359"/>
    <cellStyle name="Separador de milhares 10 14" xfId="360"/>
    <cellStyle name="Separador de milhares 10 15" xfId="361"/>
    <cellStyle name="Separador de milhares 10 16" xfId="362"/>
    <cellStyle name="Separador de milhares 10 17" xfId="363"/>
    <cellStyle name="Separador de milhares 10 18" xfId="364"/>
    <cellStyle name="Separador de milhares 10 19" xfId="365"/>
    <cellStyle name="Separador de milhares 10 2" xfId="366"/>
    <cellStyle name="Separador de milhares 10 20" xfId="367"/>
    <cellStyle name="Separador de milhares 10 21" xfId="368"/>
    <cellStyle name="Separador de milhares 10 22" xfId="369"/>
    <cellStyle name="Separador de milhares 10 3" xfId="370"/>
    <cellStyle name="Separador de milhares 10 4" xfId="371"/>
    <cellStyle name="Separador de milhares 10 5" xfId="372"/>
    <cellStyle name="Separador de milhares 10 6" xfId="373"/>
    <cellStyle name="Separador de milhares 11" xfId="374"/>
    <cellStyle name="Separador de milhares 12" xfId="375"/>
    <cellStyle name="Separador de milhares 13" xfId="376"/>
    <cellStyle name="Separador de milhares 13 2" xfId="377"/>
    <cellStyle name="Separador de milhares 13 3" xfId="378"/>
    <cellStyle name="Separador de milhares 14" xfId="379"/>
    <cellStyle name="Separador de milhares 15" xfId="380"/>
    <cellStyle name="Separador de milhares 16" xfId="381"/>
    <cellStyle name="Separador de milhares 17" xfId="382"/>
    <cellStyle name="Separador de milhares 18" xfId="383"/>
    <cellStyle name="Separador de milhares 19" xfId="384"/>
    <cellStyle name="Separador de milhares 2" xfId="385"/>
    <cellStyle name="Separador de milhares 2 2" xfId="386"/>
    <cellStyle name="Separador de milhares 2 3" xfId="387"/>
    <cellStyle name="Separador de milhares 2 4" xfId="388"/>
    <cellStyle name="Separador de milhares 2 5" xfId="389"/>
    <cellStyle name="Separador de milhares 2 6" xfId="390"/>
    <cellStyle name="Separador de milhares 2 6 2" xfId="391"/>
    <cellStyle name="Separador de milhares 2 6 3" xfId="392"/>
    <cellStyle name="Separador de milhares 2 7" xfId="393"/>
    <cellStyle name="Separador de milhares 2 7 2" xfId="394"/>
    <cellStyle name="Separador de milhares 2 7 3" xfId="395"/>
    <cellStyle name="Separador de milhares 2 8" xfId="396"/>
    <cellStyle name="Separador de milhares 2_CRONOGRAMA FISICO.FINANCEIRO" xfId="397"/>
    <cellStyle name="Separador de milhares 20" xfId="398"/>
    <cellStyle name="Separador de milhares 21" xfId="399"/>
    <cellStyle name="Separador de milhares 22" xfId="400"/>
    <cellStyle name="Separador de milhares 23" xfId="401"/>
    <cellStyle name="Separador de milhares 24" xfId="402"/>
    <cellStyle name="Separador de milhares 25" xfId="403"/>
    <cellStyle name="Separador de milhares 26" xfId="404"/>
    <cellStyle name="Separador de milhares 27" xfId="405"/>
    <cellStyle name="Separador de milhares 28" xfId="406"/>
    <cellStyle name="Separador de milhares 3" xfId="407"/>
    <cellStyle name="Separador de milhares 3 2" xfId="408"/>
    <cellStyle name="Separador de milhares 4" xfId="409"/>
    <cellStyle name="Separador de milhares 4 2" xfId="410"/>
    <cellStyle name="Separador de milhares 4 2 2" xfId="411"/>
    <cellStyle name="Separador de milhares 4 2 3 2" xfId="412"/>
    <cellStyle name="Separador de milhares 4 2 3 2 2" xfId="413"/>
    <cellStyle name="Separador de milhares 4 2 3 2 2 2" xfId="414"/>
    <cellStyle name="Separador de milhares 4 2 3 2 3" xfId="415"/>
    <cellStyle name="Separador de milhares 5" xfId="416"/>
    <cellStyle name="Separador de milhares 6" xfId="417"/>
    <cellStyle name="Separador de milhares 6 2" xfId="418"/>
    <cellStyle name="Separador de milhares 6_BM1 + memória" xfId="419"/>
    <cellStyle name="Separador de milhares 7" xfId="420"/>
    <cellStyle name="Separador de milhares 8" xfId="421"/>
    <cellStyle name="Separador de milhares 9" xfId="422"/>
    <cellStyle name="Separador de milhares 9 2" xfId="423"/>
    <cellStyle name="Separador de milhares 9 3" xfId="424"/>
    <cellStyle name="Separador de milhares 9 4" xfId="425"/>
    <cellStyle name="Separador de milhares 9 5" xfId="426"/>
    <cellStyle name="Separador de milhares 9 6" xfId="427"/>
    <cellStyle name="Texto de Aviso 2" xfId="428"/>
    <cellStyle name="Texto de Aviso 3" xfId="429"/>
    <cellStyle name="Texto de Aviso 4" xfId="430"/>
    <cellStyle name="Texto de Aviso 5" xfId="431"/>
    <cellStyle name="Texto Explicativo 2" xfId="432"/>
    <cellStyle name="Texto Explicativo 3" xfId="433"/>
    <cellStyle name="Texto Explicativo 4" xfId="434"/>
    <cellStyle name="Texto Explicativo 5" xfId="435"/>
    <cellStyle name="Title" xfId="436"/>
    <cellStyle name="Título 1 2" xfId="437"/>
    <cellStyle name="Título 1 3" xfId="438"/>
    <cellStyle name="Título 1 4" xfId="439"/>
    <cellStyle name="Título 1 5" xfId="440"/>
    <cellStyle name="Título 2 2" xfId="441"/>
    <cellStyle name="Título 2 3" xfId="442"/>
    <cellStyle name="Título 2 4" xfId="443"/>
    <cellStyle name="Título 2 5" xfId="444"/>
    <cellStyle name="Título 3 2" xfId="445"/>
    <cellStyle name="Título 3 3" xfId="446"/>
    <cellStyle name="Título 3 4" xfId="447"/>
    <cellStyle name="Título 3 5" xfId="448"/>
    <cellStyle name="Título 4 2" xfId="449"/>
    <cellStyle name="Título 4 3" xfId="450"/>
    <cellStyle name="Título 4 4" xfId="451"/>
    <cellStyle name="Título 4 5" xfId="452"/>
    <cellStyle name="Título 5" xfId="453"/>
    <cellStyle name="Título 6" xfId="454"/>
    <cellStyle name="Título 7" xfId="455"/>
    <cellStyle name="Título 8" xfId="456"/>
    <cellStyle name="Total 2" xfId="457"/>
    <cellStyle name="Total 3" xfId="458"/>
    <cellStyle name="Total 4" xfId="459"/>
    <cellStyle name="Total 5" xfId="460"/>
    <cellStyle name="Vírgula 10" xfId="461"/>
    <cellStyle name="Vírgula 11" xfId="462"/>
    <cellStyle name="Vírgula 12" xfId="463"/>
    <cellStyle name="Vírgula 13" xfId="464"/>
    <cellStyle name="Vírgula 14" xfId="465"/>
    <cellStyle name="Vírgula 16 2" xfId="466"/>
    <cellStyle name="Vírgula 2" xfId="467"/>
    <cellStyle name="Vírgula 2 2" xfId="468"/>
    <cellStyle name="Vírgula 2 3" xfId="469"/>
    <cellStyle name="Vírgula 2 6" xfId="470"/>
    <cellStyle name="Vírgula 2 6 2" xfId="471"/>
    <cellStyle name="Vírgula 24" xfId="472"/>
    <cellStyle name="Vírgula 3" xfId="473"/>
    <cellStyle name="Vírgula 3 2" xfId="474"/>
    <cellStyle name="Vírgula 4" xfId="475"/>
    <cellStyle name="Vírgula 4 2" xfId="476"/>
    <cellStyle name="Vírgula 5" xfId="477"/>
    <cellStyle name="Vírgula 6" xfId="478"/>
    <cellStyle name="Vírgula 7" xfId="479"/>
    <cellStyle name="Vírgula 8" xfId="480"/>
    <cellStyle name="Vírgula 9" xfId="481"/>
    <cellStyle name="Warning Text" xfId="482"/>
  </cellStyles>
  <dxfs count="1">
    <dxf>
      <font>
        <color rgb="FF9C0006"/>
      </font>
      <fill>
        <patternFill patternType="solid">
          <bgColor rgb="FFFFC7CE"/>
        </patternFill>
      </fill>
    </dxf>
  </dxfs>
  <tableStyles count="0" defaultTableStyle="TableStyleMedium2" defaultPivotStyle="PivotStyleLight16"/>
  <colors>
    <mruColors>
      <color rgb="00CCCCFF"/>
      <color rgb="00FF99FF"/>
      <color rgb="00FFD966"/>
      <color rgb="00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9" Type="http://schemas.openxmlformats.org/officeDocument/2006/relationships/externalLink" Target="externalLinks/externalLink78.xml"/><Relationship Id="rId98" Type="http://schemas.openxmlformats.org/officeDocument/2006/relationships/externalLink" Target="externalLinks/externalLink77.xml"/><Relationship Id="rId97" Type="http://schemas.openxmlformats.org/officeDocument/2006/relationships/externalLink" Target="externalLinks/externalLink76.xml"/><Relationship Id="rId96" Type="http://schemas.openxmlformats.org/officeDocument/2006/relationships/externalLink" Target="externalLinks/externalLink75.xml"/><Relationship Id="rId95" Type="http://schemas.openxmlformats.org/officeDocument/2006/relationships/externalLink" Target="externalLinks/externalLink74.xml"/><Relationship Id="rId94" Type="http://schemas.openxmlformats.org/officeDocument/2006/relationships/externalLink" Target="externalLinks/externalLink73.xml"/><Relationship Id="rId93" Type="http://schemas.openxmlformats.org/officeDocument/2006/relationships/externalLink" Target="externalLinks/externalLink72.xml"/><Relationship Id="rId92" Type="http://schemas.openxmlformats.org/officeDocument/2006/relationships/externalLink" Target="externalLinks/externalLink71.xml"/><Relationship Id="rId91" Type="http://schemas.openxmlformats.org/officeDocument/2006/relationships/externalLink" Target="externalLinks/externalLink70.xml"/><Relationship Id="rId90" Type="http://schemas.openxmlformats.org/officeDocument/2006/relationships/externalLink" Target="externalLinks/externalLink69.xml"/><Relationship Id="rId9" Type="http://schemas.openxmlformats.org/officeDocument/2006/relationships/worksheet" Target="worksheets/sheet9.xml"/><Relationship Id="rId89" Type="http://schemas.openxmlformats.org/officeDocument/2006/relationships/externalLink" Target="externalLinks/externalLink68.xml"/><Relationship Id="rId88" Type="http://schemas.openxmlformats.org/officeDocument/2006/relationships/externalLink" Target="externalLinks/externalLink67.xml"/><Relationship Id="rId87" Type="http://schemas.openxmlformats.org/officeDocument/2006/relationships/externalLink" Target="externalLinks/externalLink66.xml"/><Relationship Id="rId86" Type="http://schemas.openxmlformats.org/officeDocument/2006/relationships/externalLink" Target="externalLinks/externalLink65.xml"/><Relationship Id="rId85" Type="http://schemas.openxmlformats.org/officeDocument/2006/relationships/externalLink" Target="externalLinks/externalLink64.xml"/><Relationship Id="rId84" Type="http://schemas.openxmlformats.org/officeDocument/2006/relationships/externalLink" Target="externalLinks/externalLink63.xml"/><Relationship Id="rId83" Type="http://schemas.openxmlformats.org/officeDocument/2006/relationships/externalLink" Target="externalLinks/externalLink62.xml"/><Relationship Id="rId82" Type="http://schemas.openxmlformats.org/officeDocument/2006/relationships/externalLink" Target="externalLinks/externalLink61.xml"/><Relationship Id="rId81" Type="http://schemas.openxmlformats.org/officeDocument/2006/relationships/externalLink" Target="externalLinks/externalLink60.xml"/><Relationship Id="rId80" Type="http://schemas.openxmlformats.org/officeDocument/2006/relationships/externalLink" Target="externalLinks/externalLink59.xml"/><Relationship Id="rId8" Type="http://schemas.openxmlformats.org/officeDocument/2006/relationships/worksheet" Target="worksheets/sheet8.xml"/><Relationship Id="rId79" Type="http://schemas.openxmlformats.org/officeDocument/2006/relationships/externalLink" Target="externalLinks/externalLink58.xml"/><Relationship Id="rId78" Type="http://schemas.openxmlformats.org/officeDocument/2006/relationships/externalLink" Target="externalLinks/externalLink57.xml"/><Relationship Id="rId77" Type="http://schemas.openxmlformats.org/officeDocument/2006/relationships/externalLink" Target="externalLinks/externalLink56.xml"/><Relationship Id="rId76" Type="http://schemas.openxmlformats.org/officeDocument/2006/relationships/externalLink" Target="externalLinks/externalLink55.xml"/><Relationship Id="rId75" Type="http://schemas.openxmlformats.org/officeDocument/2006/relationships/externalLink" Target="externalLinks/externalLink54.xml"/><Relationship Id="rId74" Type="http://schemas.openxmlformats.org/officeDocument/2006/relationships/externalLink" Target="externalLinks/externalLink53.xml"/><Relationship Id="rId73" Type="http://schemas.openxmlformats.org/officeDocument/2006/relationships/externalLink" Target="externalLinks/externalLink52.xml"/><Relationship Id="rId72" Type="http://schemas.openxmlformats.org/officeDocument/2006/relationships/externalLink" Target="externalLinks/externalLink51.xml"/><Relationship Id="rId71" Type="http://schemas.openxmlformats.org/officeDocument/2006/relationships/externalLink" Target="externalLinks/externalLink50.xml"/><Relationship Id="rId70" Type="http://schemas.openxmlformats.org/officeDocument/2006/relationships/externalLink" Target="externalLinks/externalLink49.xml"/><Relationship Id="rId7" Type="http://schemas.openxmlformats.org/officeDocument/2006/relationships/worksheet" Target="worksheets/sheet7.xml"/><Relationship Id="rId69" Type="http://schemas.openxmlformats.org/officeDocument/2006/relationships/externalLink" Target="externalLinks/externalLink48.xml"/><Relationship Id="rId68" Type="http://schemas.openxmlformats.org/officeDocument/2006/relationships/externalLink" Target="externalLinks/externalLink47.xml"/><Relationship Id="rId67" Type="http://schemas.openxmlformats.org/officeDocument/2006/relationships/externalLink" Target="externalLinks/externalLink46.xml"/><Relationship Id="rId66" Type="http://schemas.openxmlformats.org/officeDocument/2006/relationships/externalLink" Target="externalLinks/externalLink45.xml"/><Relationship Id="rId65" Type="http://schemas.openxmlformats.org/officeDocument/2006/relationships/externalLink" Target="externalLinks/externalLink44.xml"/><Relationship Id="rId64" Type="http://schemas.openxmlformats.org/officeDocument/2006/relationships/externalLink" Target="externalLinks/externalLink43.xml"/><Relationship Id="rId63" Type="http://schemas.openxmlformats.org/officeDocument/2006/relationships/externalLink" Target="externalLinks/externalLink42.xml"/><Relationship Id="rId62" Type="http://schemas.openxmlformats.org/officeDocument/2006/relationships/externalLink" Target="externalLinks/externalLink41.xml"/><Relationship Id="rId61" Type="http://schemas.openxmlformats.org/officeDocument/2006/relationships/externalLink" Target="externalLinks/externalLink40.xml"/><Relationship Id="rId60" Type="http://schemas.openxmlformats.org/officeDocument/2006/relationships/externalLink" Target="externalLinks/externalLink39.xml"/><Relationship Id="rId6" Type="http://schemas.openxmlformats.org/officeDocument/2006/relationships/worksheet" Target="worksheets/sheet6.xml"/><Relationship Id="rId59" Type="http://schemas.openxmlformats.org/officeDocument/2006/relationships/externalLink" Target="externalLinks/externalLink38.xml"/><Relationship Id="rId58" Type="http://schemas.openxmlformats.org/officeDocument/2006/relationships/externalLink" Target="externalLinks/externalLink37.xml"/><Relationship Id="rId57" Type="http://schemas.openxmlformats.org/officeDocument/2006/relationships/externalLink" Target="externalLinks/externalLink36.xml"/><Relationship Id="rId56" Type="http://schemas.openxmlformats.org/officeDocument/2006/relationships/externalLink" Target="externalLinks/externalLink35.xml"/><Relationship Id="rId55" Type="http://schemas.openxmlformats.org/officeDocument/2006/relationships/externalLink" Target="externalLinks/externalLink34.xml"/><Relationship Id="rId54" Type="http://schemas.openxmlformats.org/officeDocument/2006/relationships/externalLink" Target="externalLinks/externalLink33.xml"/><Relationship Id="rId53" Type="http://schemas.openxmlformats.org/officeDocument/2006/relationships/externalLink" Target="externalLinks/externalLink32.xml"/><Relationship Id="rId52" Type="http://schemas.openxmlformats.org/officeDocument/2006/relationships/externalLink" Target="externalLinks/externalLink31.xml"/><Relationship Id="rId51" Type="http://schemas.openxmlformats.org/officeDocument/2006/relationships/externalLink" Target="externalLinks/externalLink30.xml"/><Relationship Id="rId50" Type="http://schemas.openxmlformats.org/officeDocument/2006/relationships/externalLink" Target="externalLinks/externalLink29.xml"/><Relationship Id="rId5" Type="http://schemas.openxmlformats.org/officeDocument/2006/relationships/worksheet" Target="worksheets/sheet5.xml"/><Relationship Id="rId49" Type="http://schemas.openxmlformats.org/officeDocument/2006/relationships/externalLink" Target="externalLinks/externalLink28.xml"/><Relationship Id="rId48" Type="http://schemas.openxmlformats.org/officeDocument/2006/relationships/externalLink" Target="externalLinks/externalLink27.xml"/><Relationship Id="rId47" Type="http://schemas.openxmlformats.org/officeDocument/2006/relationships/externalLink" Target="externalLinks/externalLink26.xml"/><Relationship Id="rId46" Type="http://schemas.openxmlformats.org/officeDocument/2006/relationships/externalLink" Target="externalLinks/externalLink25.xml"/><Relationship Id="rId45" Type="http://schemas.openxmlformats.org/officeDocument/2006/relationships/externalLink" Target="externalLinks/externalLink24.xml"/><Relationship Id="rId44" Type="http://schemas.openxmlformats.org/officeDocument/2006/relationships/externalLink" Target="externalLinks/externalLink23.xml"/><Relationship Id="rId43" Type="http://schemas.openxmlformats.org/officeDocument/2006/relationships/externalLink" Target="externalLinks/externalLink22.xml"/><Relationship Id="rId42" Type="http://schemas.openxmlformats.org/officeDocument/2006/relationships/externalLink" Target="externalLinks/externalLink21.xml"/><Relationship Id="rId41" Type="http://schemas.openxmlformats.org/officeDocument/2006/relationships/externalLink" Target="externalLinks/externalLink20.xml"/><Relationship Id="rId40" Type="http://schemas.openxmlformats.org/officeDocument/2006/relationships/externalLink" Target="externalLinks/externalLink19.xml"/><Relationship Id="rId4" Type="http://schemas.openxmlformats.org/officeDocument/2006/relationships/worksheet" Target="worksheets/sheet4.xml"/><Relationship Id="rId39" Type="http://schemas.openxmlformats.org/officeDocument/2006/relationships/externalLink" Target="externalLinks/externalLink18.xml"/><Relationship Id="rId38" Type="http://schemas.openxmlformats.org/officeDocument/2006/relationships/externalLink" Target="externalLinks/externalLink17.xml"/><Relationship Id="rId37" Type="http://schemas.openxmlformats.org/officeDocument/2006/relationships/externalLink" Target="externalLinks/externalLink16.xml"/><Relationship Id="rId36" Type="http://schemas.openxmlformats.org/officeDocument/2006/relationships/externalLink" Target="externalLinks/externalLink15.xml"/><Relationship Id="rId35" Type="http://schemas.openxmlformats.org/officeDocument/2006/relationships/externalLink" Target="externalLinks/externalLink14.xml"/><Relationship Id="rId34" Type="http://schemas.openxmlformats.org/officeDocument/2006/relationships/externalLink" Target="externalLinks/externalLink13.xml"/><Relationship Id="rId33" Type="http://schemas.openxmlformats.org/officeDocument/2006/relationships/externalLink" Target="externalLinks/externalLink12.xml"/><Relationship Id="rId32" Type="http://schemas.openxmlformats.org/officeDocument/2006/relationships/externalLink" Target="externalLinks/externalLink11.xml"/><Relationship Id="rId31" Type="http://schemas.openxmlformats.org/officeDocument/2006/relationships/externalLink" Target="externalLinks/externalLink10.xml"/><Relationship Id="rId30" Type="http://schemas.openxmlformats.org/officeDocument/2006/relationships/externalLink" Target="externalLinks/externalLink9.xml"/><Relationship Id="rId3" Type="http://schemas.openxmlformats.org/officeDocument/2006/relationships/worksheet" Target="worksheets/sheet3.xml"/><Relationship Id="rId29" Type="http://schemas.openxmlformats.org/officeDocument/2006/relationships/externalLink" Target="externalLinks/externalLink8.xml"/><Relationship Id="rId28" Type="http://schemas.openxmlformats.org/officeDocument/2006/relationships/externalLink" Target="externalLinks/externalLink7.xml"/><Relationship Id="rId27" Type="http://schemas.openxmlformats.org/officeDocument/2006/relationships/externalLink" Target="externalLinks/externalLink6.xml"/><Relationship Id="rId26" Type="http://schemas.openxmlformats.org/officeDocument/2006/relationships/externalLink" Target="externalLinks/externalLink5.xml"/><Relationship Id="rId25" Type="http://schemas.openxmlformats.org/officeDocument/2006/relationships/externalLink" Target="externalLinks/externalLink4.xml"/><Relationship Id="rId24" Type="http://schemas.openxmlformats.org/officeDocument/2006/relationships/externalLink" Target="externalLinks/externalLink3.xml"/><Relationship Id="rId23" Type="http://schemas.openxmlformats.org/officeDocument/2006/relationships/externalLink" Target="externalLinks/externalLink2.xml"/><Relationship Id="rId22" Type="http://schemas.openxmlformats.org/officeDocument/2006/relationships/externalLink" Target="externalLinks/externalLink1.xml"/><Relationship Id="rId21" Type="http://schemas.openxmlformats.org/officeDocument/2006/relationships/customXml" Target="../customXml/item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0" Type="http://schemas.openxmlformats.org/officeDocument/2006/relationships/customXml" Target="../customXml/item2.xml"/><Relationship Id="rId14" Type="http://schemas.openxmlformats.org/officeDocument/2006/relationships/worksheet" Target="worksheets/sheet14.xml"/><Relationship Id="rId139" Type="http://schemas.openxmlformats.org/officeDocument/2006/relationships/styles" Target="styles.xml"/><Relationship Id="rId138" Type="http://schemas.microsoft.com/office/2006/relationships/vbaProject" Target="vbaProject.bin"/><Relationship Id="rId137" Type="http://schemas.openxmlformats.org/officeDocument/2006/relationships/sharedStrings" Target="sharedStrings.xml"/><Relationship Id="rId136" Type="http://schemas.openxmlformats.org/officeDocument/2006/relationships/theme" Target="theme/theme1.xml"/><Relationship Id="rId135" Type="http://schemas.openxmlformats.org/officeDocument/2006/relationships/externalLink" Target="externalLinks/externalLink114.xml"/><Relationship Id="rId134" Type="http://schemas.openxmlformats.org/officeDocument/2006/relationships/externalLink" Target="externalLinks/externalLink113.xml"/><Relationship Id="rId133" Type="http://schemas.openxmlformats.org/officeDocument/2006/relationships/externalLink" Target="externalLinks/externalLink112.xml"/><Relationship Id="rId132" Type="http://schemas.openxmlformats.org/officeDocument/2006/relationships/externalLink" Target="externalLinks/externalLink111.xml"/><Relationship Id="rId131" Type="http://schemas.openxmlformats.org/officeDocument/2006/relationships/externalLink" Target="externalLinks/externalLink110.xml"/><Relationship Id="rId130" Type="http://schemas.openxmlformats.org/officeDocument/2006/relationships/externalLink" Target="externalLinks/externalLink109.xml"/><Relationship Id="rId13" Type="http://schemas.openxmlformats.org/officeDocument/2006/relationships/worksheet" Target="worksheets/sheet13.xml"/><Relationship Id="rId129" Type="http://schemas.openxmlformats.org/officeDocument/2006/relationships/externalLink" Target="externalLinks/externalLink108.xml"/><Relationship Id="rId128" Type="http://schemas.openxmlformats.org/officeDocument/2006/relationships/externalLink" Target="externalLinks/externalLink107.xml"/><Relationship Id="rId127" Type="http://schemas.openxmlformats.org/officeDocument/2006/relationships/externalLink" Target="externalLinks/externalLink106.xml"/><Relationship Id="rId126" Type="http://schemas.openxmlformats.org/officeDocument/2006/relationships/externalLink" Target="externalLinks/externalLink105.xml"/><Relationship Id="rId125" Type="http://schemas.openxmlformats.org/officeDocument/2006/relationships/externalLink" Target="externalLinks/externalLink104.xml"/><Relationship Id="rId124" Type="http://schemas.openxmlformats.org/officeDocument/2006/relationships/externalLink" Target="externalLinks/externalLink103.xml"/><Relationship Id="rId123" Type="http://schemas.openxmlformats.org/officeDocument/2006/relationships/externalLink" Target="externalLinks/externalLink102.xml"/><Relationship Id="rId122" Type="http://schemas.openxmlformats.org/officeDocument/2006/relationships/externalLink" Target="externalLinks/externalLink101.xml"/><Relationship Id="rId121" Type="http://schemas.openxmlformats.org/officeDocument/2006/relationships/externalLink" Target="externalLinks/externalLink100.xml"/><Relationship Id="rId120" Type="http://schemas.openxmlformats.org/officeDocument/2006/relationships/externalLink" Target="externalLinks/externalLink99.xml"/><Relationship Id="rId12" Type="http://schemas.openxmlformats.org/officeDocument/2006/relationships/worksheet" Target="worksheets/sheet12.xml"/><Relationship Id="rId119" Type="http://schemas.openxmlformats.org/officeDocument/2006/relationships/externalLink" Target="externalLinks/externalLink98.xml"/><Relationship Id="rId118" Type="http://schemas.openxmlformats.org/officeDocument/2006/relationships/externalLink" Target="externalLinks/externalLink97.xml"/><Relationship Id="rId117" Type="http://schemas.openxmlformats.org/officeDocument/2006/relationships/externalLink" Target="externalLinks/externalLink96.xml"/><Relationship Id="rId116" Type="http://schemas.openxmlformats.org/officeDocument/2006/relationships/externalLink" Target="externalLinks/externalLink95.xml"/><Relationship Id="rId115" Type="http://schemas.openxmlformats.org/officeDocument/2006/relationships/externalLink" Target="externalLinks/externalLink94.xml"/><Relationship Id="rId114" Type="http://schemas.openxmlformats.org/officeDocument/2006/relationships/externalLink" Target="externalLinks/externalLink93.xml"/><Relationship Id="rId113" Type="http://schemas.openxmlformats.org/officeDocument/2006/relationships/externalLink" Target="externalLinks/externalLink92.xml"/><Relationship Id="rId112" Type="http://schemas.openxmlformats.org/officeDocument/2006/relationships/externalLink" Target="externalLinks/externalLink91.xml"/><Relationship Id="rId111" Type="http://schemas.openxmlformats.org/officeDocument/2006/relationships/externalLink" Target="externalLinks/externalLink90.xml"/><Relationship Id="rId110" Type="http://schemas.openxmlformats.org/officeDocument/2006/relationships/externalLink" Target="externalLinks/externalLink89.xml"/><Relationship Id="rId11" Type="http://schemas.openxmlformats.org/officeDocument/2006/relationships/worksheet" Target="worksheets/sheet11.xml"/><Relationship Id="rId109" Type="http://schemas.openxmlformats.org/officeDocument/2006/relationships/externalLink" Target="externalLinks/externalLink88.xml"/><Relationship Id="rId108" Type="http://schemas.openxmlformats.org/officeDocument/2006/relationships/externalLink" Target="externalLinks/externalLink87.xml"/><Relationship Id="rId107" Type="http://schemas.openxmlformats.org/officeDocument/2006/relationships/externalLink" Target="externalLinks/externalLink86.xml"/><Relationship Id="rId106" Type="http://schemas.openxmlformats.org/officeDocument/2006/relationships/externalLink" Target="externalLinks/externalLink85.xml"/><Relationship Id="rId105" Type="http://schemas.openxmlformats.org/officeDocument/2006/relationships/externalLink" Target="externalLinks/externalLink84.xml"/><Relationship Id="rId104" Type="http://schemas.openxmlformats.org/officeDocument/2006/relationships/externalLink" Target="externalLinks/externalLink83.xml"/><Relationship Id="rId103" Type="http://schemas.openxmlformats.org/officeDocument/2006/relationships/externalLink" Target="externalLinks/externalLink82.xml"/><Relationship Id="rId102" Type="http://schemas.openxmlformats.org/officeDocument/2006/relationships/externalLink" Target="externalLinks/externalLink81.xml"/><Relationship Id="rId101" Type="http://schemas.openxmlformats.org/officeDocument/2006/relationships/externalLink" Target="externalLinks/externalLink80.xml"/><Relationship Id="rId100" Type="http://schemas.openxmlformats.org/officeDocument/2006/relationships/externalLink" Target="externalLinks/externalLink79.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pt-BR" sz="1400" b="0" i="0" u="none" strike="noStrike" kern="1200" spc="0" baseline="0">
                <a:solidFill>
                  <a:schemeClr val="tx1">
                    <a:lumMod val="65000"/>
                    <a:lumOff val="35000"/>
                  </a:schemeClr>
                </a:solidFill>
                <a:latin typeface="+mn-lt"/>
                <a:ea typeface="+mn-ea"/>
                <a:cs typeface="+mn-cs"/>
              </a:defRPr>
            </a:pPr>
            <a:r>
              <a:rPr lang="pt-BR"/>
              <a:t>Peso dos</a:t>
            </a:r>
            <a:r>
              <a:rPr lang="pt-BR" baseline="0"/>
              <a:t> preços de custo por natureza do gasto</a:t>
            </a:r>
            <a:endParaRPr lang="pt-BR" baseline="0"/>
          </a:p>
        </c:rich>
      </c:tx>
      <c:layout/>
      <c:overlay val="0"/>
      <c:spPr>
        <a:noFill/>
        <a:ln>
          <a:noFill/>
        </a:ln>
        <a:effectLst/>
      </c:spPr>
    </c:title>
    <c:autoTitleDeleted val="0"/>
    <c:plotArea>
      <c:layout>
        <c:manualLayout>
          <c:layoutTarget val="inner"/>
          <c:xMode val="edge"/>
          <c:yMode val="edge"/>
          <c:x val="0.263282154445323"/>
          <c:y val="0.205673944704785"/>
          <c:w val="0.460579217540846"/>
          <c:h val="0.693130450149603"/>
        </c:manualLayout>
      </c:layout>
      <c:pieChart>
        <c:varyColors val="1"/>
        <c:ser>
          <c:idx val="0"/>
          <c:order val="0"/>
          <c:spPr/>
          <c:explosion val="0"/>
          <c:dPt>
            <c:idx val="0"/>
            <c:bubble3D val="0"/>
            <c:spPr>
              <a:solidFill>
                <a:schemeClr val="accent6"/>
              </a:solidFill>
              <a:ln w="19050">
                <a:solidFill>
                  <a:schemeClr val="lt1"/>
                </a:solidFill>
              </a:ln>
              <a:effectLst/>
            </c:spPr>
          </c:dPt>
          <c:dPt>
            <c:idx val="1"/>
            <c:bubble3D val="0"/>
            <c:spPr>
              <a:solidFill>
                <a:schemeClr val="accent5"/>
              </a:solidFill>
              <a:ln w="19050">
                <a:solidFill>
                  <a:schemeClr val="lt1"/>
                </a:solidFill>
              </a:ln>
              <a:effectLst/>
            </c:spPr>
          </c:dPt>
          <c:dPt>
            <c:idx val="2"/>
            <c:bubble3D val="0"/>
            <c:spPr>
              <a:solidFill>
                <a:schemeClr val="accent4"/>
              </a:solidFill>
              <a:ln w="19050">
                <a:solidFill>
                  <a:schemeClr val="lt1"/>
                </a:solidFill>
              </a:ln>
              <a:effectLst/>
            </c:spPr>
          </c:dPt>
          <c:dPt>
            <c:idx val="3"/>
            <c:bubble3D val="0"/>
            <c:spPr>
              <a:solidFill>
                <a:schemeClr val="accent6">
                  <a:lumMod val="60000"/>
                </a:schemeClr>
              </a:solidFill>
              <a:ln w="19050">
                <a:solidFill>
                  <a:schemeClr val="lt1"/>
                </a:solidFill>
              </a:ln>
              <a:effectLst/>
            </c:spPr>
          </c:dPt>
          <c:dLbls>
            <c:dLbl>
              <c:idx val="0"/>
              <c:layout>
                <c:manualLayout>
                  <c:x val="0"/>
                  <c:y val="-0.0754070570911579"/>
                </c:manualLayout>
              </c:layout>
              <c:dLblPos val="bestFit"/>
              <c:showLegendKey val="0"/>
              <c:showVal val="0"/>
              <c:showCatName val="1"/>
              <c:showSerName val="0"/>
              <c:showPercent val="1"/>
              <c:showBubbleSize val="0"/>
              <c:separator>
</c:separator>
              <c:extLst>
                <c:ext xmlns:c15="http://schemas.microsoft.com/office/drawing/2012/chart" uri="{CE6537A1-D6FC-4f65-9D91-7224C49458BB}">
                  <c15:layout/>
                </c:ext>
              </c:extLst>
            </c:dLbl>
            <c:dLbl>
              <c:idx val="1"/>
              <c:layout>
                <c:manualLayout>
                  <c:x val="0.155051095877708"/>
                  <c:y val="-0.0188518046812634"/>
                </c:manualLayout>
              </c:layout>
              <c:dLblPos val="bestFit"/>
              <c:showLegendKey val="0"/>
              <c:showVal val="0"/>
              <c:showCatName val="1"/>
              <c:showSerName val="0"/>
              <c:showPercent val="1"/>
              <c:showBubbleSize val="0"/>
              <c:separator>
</c:separator>
              <c:extLst>
                <c:ext xmlns:c15="http://schemas.microsoft.com/office/drawing/2012/chart" uri="{CE6537A1-D6FC-4f65-9D91-7224C49458BB}">
                  <c15:layout/>
                </c:ext>
              </c:extLst>
            </c:dLbl>
            <c:dLbl>
              <c:idx val="2"/>
              <c:layout>
                <c:manualLayout>
                  <c:x val="0"/>
                  <c:y val="0.174378819523303"/>
                </c:manualLayout>
              </c:layout>
              <c:dLblPos val="bestFit"/>
              <c:showLegendKey val="0"/>
              <c:showVal val="0"/>
              <c:showCatName val="1"/>
              <c:showSerName val="0"/>
              <c:showPercent val="1"/>
              <c:showBubbleSize val="0"/>
              <c:separator>
</c:separator>
              <c:extLst>
                <c:ext xmlns:c15="http://schemas.microsoft.com/office/drawing/2012/chart" uri="{CE6537A1-D6FC-4f65-9D91-7224C49458BB}">
                  <c15:layout/>
                </c:ext>
              </c:extLst>
            </c:dLbl>
            <c:dLbl>
              <c:idx val="3"/>
              <c:layout>
                <c:manualLayout>
                  <c:x val="-0.0841820401294202"/>
                  <c:y val="0.00682144024589501"/>
                </c:manualLayout>
              </c:layout>
              <c:dLblPos val="bestFit"/>
              <c:showLegendKey val="0"/>
              <c:showVal val="0"/>
              <c:showCatName val="1"/>
              <c:showSerName val="0"/>
              <c:showPercent val="1"/>
              <c:showBubbleSize val="0"/>
              <c:separator>
</c:separator>
              <c:extLst>
                <c:ext xmlns:c15="http://schemas.microsoft.com/office/drawing/2012/chart" uri="{CE6537A1-D6FC-4f65-9D91-7224C49458BB}">
                  <c15:layout>
                    <c:manualLayout>
                      <c:w val="0.179609997355818"/>
                      <c:h val="0.0999186476621105"/>
                    </c:manualLayout>
                  </c15:layout>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lang="pt-BR" sz="900" b="0" i="0" u="none" strike="noStrike" kern="1200" baseline="0">
                    <a:solidFill>
                      <a:schemeClr val="dk1">
                        <a:lumMod val="65000"/>
                        <a:lumOff val="35000"/>
                      </a:schemeClr>
                    </a:solidFill>
                    <a:latin typeface="+mn-lt"/>
                    <a:ea typeface="+mn-ea"/>
                    <a:cs typeface="+mn-cs"/>
                  </a:defRPr>
                </a:pPr>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layout/>
                <c15:showLeaderLines val="0"/>
                <c15:leaderLines>
                  <c:spPr>
                    <a:ln w="9525" cap="flat" cmpd="sng" algn="ctr">
                      <a:solidFill>
                        <a:schemeClr val="tx1">
                          <a:lumMod val="35000"/>
                          <a:lumOff val="65000"/>
                        </a:schemeClr>
                      </a:solidFill>
                      <a:round/>
                    </a:ln>
                    <a:effectLst/>
                  </c:spPr>
                </c15:leaderLines>
              </c:ext>
            </c:extLst>
          </c:dLbls>
          <c:cat>
            <c:strRef>
              <c:f>'RESUMO DA VIABILIDADE'!$B$4:$B$7</c:f>
              <c:strCache>
                <c:ptCount val="4"/>
                <c:pt idx="0">
                  <c:v>Equipamento</c:v>
                </c:pt>
                <c:pt idx="1">
                  <c:v>Mão de Obra</c:v>
                </c:pt>
                <c:pt idx="2">
                  <c:v>Indireto</c:v>
                </c:pt>
                <c:pt idx="3">
                  <c:v>Material</c:v>
                </c:pt>
              </c:strCache>
            </c:strRef>
          </c:cat>
          <c:val>
            <c:numRef>
              <c:f>'RESUMO DA VIABILIDADE'!$D$4:$D$7</c:f>
              <c:numCache>
                <c:formatCode>0.0%</c:formatCode>
                <c:ptCount val="4"/>
                <c:pt idx="0">
                  <c:v>0.140037226185298</c:v>
                </c:pt>
                <c:pt idx="1">
                  <c:v>0.0715413454014588</c:v>
                </c:pt>
                <c:pt idx="2">
                  <c:v>0.145131830315682</c:v>
                </c:pt>
                <c:pt idx="3">
                  <c:v>0.643289598097562</c:v>
                </c:pt>
              </c:numCache>
            </c:numRef>
          </c:val>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uri="{0b15fc19-7d7d-44ad-8c2d-2c3a37ce22c3}">
        <chartProps xmlns="https://web.wps.cn/et/2018/main" chartId="{0e26a9ed-a3dd-4eb5-a6f5-ae2d9c299cc3}"/>
      </c:ext>
    </c:extLst>
  </c:chart>
  <c:spPr>
    <a:solidFill>
      <a:schemeClr val="bg1"/>
    </a:solidFill>
    <a:ln w="28575" cap="flat" cmpd="sng" algn="ctr">
      <a:solidFill>
        <a:schemeClr val="tx1">
          <a:lumMod val="65000"/>
          <a:lumOff val="35000"/>
        </a:schemeClr>
      </a:solidFill>
      <a:round/>
    </a:ln>
    <a:effectLst/>
    <a:scene3d>
      <a:camera prst="orthographicFront"/>
      <a:lightRig rig="threePt" dir="t"/>
    </a:scene3d>
    <a:sp3d prstMaterial="matte"/>
  </c:spPr>
  <c:txPr>
    <a:bodyPr/>
    <a:lstStyle/>
    <a:p>
      <a:pPr>
        <a:defRPr lang="pt-BR" baseline="0"/>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Button" val="0"/>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2</xdr:col>
          <xdr:colOff>327660</xdr:colOff>
          <xdr:row>0</xdr:row>
          <xdr:rowOff>175260</xdr:rowOff>
        </xdr:from>
        <xdr:to>
          <xdr:col>2</xdr:col>
          <xdr:colOff>6766560</xdr:colOff>
          <xdr:row>1</xdr:row>
          <xdr:rowOff>1379220</xdr:rowOff>
        </xdr:to>
        <xdr:sp macro="[0]!CopiarPlanilhaSemBotao">
          <xdr:nvSpPr>
            <xdr:cNvPr id="14338" name="Button 2" hidden="1">
              <a:extLst>
                <a:ext uri="{63B3BB69-23CF-44E3-9099-C40C66FF867C}">
                  <a14:compatExt spid="_x0000_s14338"/>
                </a:ext>
              </a:extLst>
            </xdr:cNvPr>
            <xdr:cNvSpPr/>
          </xdr:nvSpPr>
          <xdr:spPr>
            <a:xfrm>
              <a:off x="2142490" y="161925"/>
              <a:ext cx="6438900" cy="1379220"/>
            </a:xfrm>
            <a:prstGeom prst="rect">
              <a:avLst/>
            </a:prstGeom>
          </xdr:spPr>
          <xdr:txBody>
            <a:bodyPr vertOverflow="clip" wrap="square" lIns="36576" tIns="27432" rIns="36576" bIns="27432" anchor="ctr" upright="1"/>
            <a:lstStyle/>
            <a:p>
              <a:pPr algn="ctr" rtl="0">
                <a:defRPr sz="1000"/>
              </a:pPr>
              <a:r>
                <a:rPr lang="pt-BR" sz="1000" b="0" i="0" u="none" strike="noStrike" baseline="0">
                  <a:solidFill>
                    <a:srgbClr val="000000"/>
                  </a:solidFill>
                  <a:latin typeface="Arial" panose="020B0604020202020204"/>
                  <a:cs typeface="Arial" panose="020B0604020202020204"/>
                </a:rPr>
                <a:t>É um milagre! Essa virgem gerará uma prole!</a:t>
              </a:r>
              <a:endParaRPr lang="pt-BR" sz="1000" b="0" i="0" u="none" strike="noStrike" baseline="0">
                <a:solidFill>
                  <a:srgbClr val="000000"/>
                </a:solidFill>
                <a:latin typeface="Arial" panose="020B0604020202020204"/>
                <a:cs typeface="Arial" panose="020B0604020202020204"/>
              </a:endParaRPr>
            </a:p>
          </xdr:txBody>
        </xdr:sp>
        <xdr:clientData fPrintsWithSheet="0"/>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5</xdr:col>
      <xdr:colOff>774488</xdr:colOff>
      <xdr:row>0</xdr:row>
      <xdr:rowOff>104848</xdr:rowOff>
    </xdr:from>
    <xdr:to>
      <xdr:col>10</xdr:col>
      <xdr:colOff>717565</xdr:colOff>
      <xdr:row>25</xdr:row>
      <xdr:rowOff>96271</xdr:rowOff>
    </xdr:to>
    <xdr:graphicFrame>
      <xdr:nvGraphicFramePr>
        <xdr:cNvPr id="3" name="Gráfico 2"/>
        <xdr:cNvGraphicFramePr/>
      </xdr:nvGraphicFramePr>
      <xdr:xfrm>
        <a:off x="6640195" y="104775"/>
        <a:ext cx="5180330" cy="46126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4</xdr:col>
          <xdr:colOff>121920</xdr:colOff>
          <xdr:row>1</xdr:row>
          <xdr:rowOff>7620</xdr:rowOff>
        </xdr:from>
        <xdr:to>
          <xdr:col>4</xdr:col>
          <xdr:colOff>1661160</xdr:colOff>
          <xdr:row>2</xdr:row>
          <xdr:rowOff>7620</xdr:rowOff>
        </xdr:to>
        <xdr:sp macro="[0]!InserirCopiaFormatada2">
          <xdr:nvSpPr>
            <xdr:cNvPr id="7169" name="Button 1" hidden="1">
              <a:extLst>
                <a:ext uri="{63B3BB69-23CF-44E3-9099-C40C66FF867C}">
                  <a14:compatExt spid="_x0000_s7169"/>
                </a:ext>
              </a:extLst>
            </xdr:cNvPr>
            <xdr:cNvSpPr/>
          </xdr:nvSpPr>
          <xdr:spPr>
            <a:xfrm>
              <a:off x="7359650" y="266700"/>
              <a:ext cx="1539240" cy="624840"/>
            </a:xfrm>
            <a:prstGeom prst="rect">
              <a:avLst/>
            </a:prstGeom>
          </xdr:spPr>
          <xdr:txBody>
            <a:bodyPr vertOverflow="clip" wrap="square" lIns="36576" tIns="32004" rIns="36576" bIns="32004" anchor="ctr" upright="1"/>
            <a:lstStyle/>
            <a:p>
              <a:pPr algn="ctr" rtl="0">
                <a:defRPr sz="1000"/>
              </a:pPr>
              <a:r>
                <a:rPr lang="pt-BR" sz="1200" b="0" i="0" u="none" strike="noStrike" baseline="0">
                  <a:solidFill>
                    <a:srgbClr val="000000"/>
                  </a:solidFill>
                  <a:latin typeface="Calibri" panose="020F0502020204030204"/>
                  <a:ea typeface="Calibri" panose="020F0502020204030204"/>
                  <a:cs typeface="Calibri" panose="020F0502020204030204"/>
                </a:rPr>
                <a:t>Inserir novo campo</a:t>
              </a:r>
              <a:endParaRPr lang="pt-BR" sz="1200" b="0" i="0" u="none" strike="noStrike" baseline="0">
                <a:solidFill>
                  <a:srgbClr val="000000"/>
                </a:solidFill>
                <a:latin typeface="Calibri" panose="020F0502020204030204"/>
                <a:ea typeface="Calibri" panose="020F0502020204030204"/>
                <a:cs typeface="Calibri" panose="020F050202020403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68580</xdr:colOff>
          <xdr:row>1</xdr:row>
          <xdr:rowOff>0</xdr:rowOff>
        </xdr:from>
        <xdr:to>
          <xdr:col>5</xdr:col>
          <xdr:colOff>1607820</xdr:colOff>
          <xdr:row>2</xdr:row>
          <xdr:rowOff>0</xdr:rowOff>
        </xdr:to>
        <xdr:sp macro="[0]!VerificarEApagarLinhas">
          <xdr:nvSpPr>
            <xdr:cNvPr id="7170" name="Button 2" hidden="1">
              <a:extLst>
                <a:ext uri="{63B3BB69-23CF-44E3-9099-C40C66FF867C}">
                  <a14:compatExt spid="_x0000_s7170"/>
                </a:ext>
              </a:extLst>
            </xdr:cNvPr>
            <xdr:cNvSpPr/>
          </xdr:nvSpPr>
          <xdr:spPr>
            <a:xfrm>
              <a:off x="8995410" y="259080"/>
              <a:ext cx="1538605" cy="624840"/>
            </a:xfrm>
            <a:prstGeom prst="rect">
              <a:avLst/>
            </a:prstGeom>
          </xdr:spPr>
          <xdr:txBody>
            <a:bodyPr vertOverflow="clip" wrap="square" lIns="36576" tIns="32004" rIns="36576" bIns="32004" anchor="ctr" upright="1"/>
            <a:lstStyle/>
            <a:p>
              <a:pPr algn="ctr" rtl="0">
                <a:defRPr sz="1000"/>
              </a:pPr>
              <a:r>
                <a:rPr lang="pt-BR" sz="1200" b="0" i="0" u="none" strike="noStrike" baseline="0">
                  <a:solidFill>
                    <a:srgbClr val="000000"/>
                  </a:solidFill>
                  <a:latin typeface="Calibri" panose="020F0502020204030204"/>
                  <a:ea typeface="Calibri" panose="020F0502020204030204"/>
                  <a:cs typeface="Calibri" panose="020F0502020204030204"/>
                </a:rPr>
                <a:t>Apagar último campo</a:t>
              </a:r>
              <a:endParaRPr lang="pt-BR" sz="1200" b="0" i="0" u="none" strike="noStrike" baseline="0">
                <a:solidFill>
                  <a:srgbClr val="000000"/>
                </a:solidFill>
                <a:latin typeface="Calibri" panose="020F0502020204030204"/>
                <a:ea typeface="Calibri" panose="020F0502020204030204"/>
                <a:cs typeface="Calibri" panose="020F0502020204030204"/>
              </a:endParaRPr>
            </a:p>
          </xdr:txBody>
        </xdr:sp>
        <xdr:clientData fPrintsWithSheet="0"/>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1</xdr:col>
          <xdr:colOff>83820</xdr:colOff>
          <xdr:row>0</xdr:row>
          <xdr:rowOff>45720</xdr:rowOff>
        </xdr:from>
        <xdr:to>
          <xdr:col>2</xdr:col>
          <xdr:colOff>1264920</xdr:colOff>
          <xdr:row>0</xdr:row>
          <xdr:rowOff>297180</xdr:rowOff>
        </xdr:to>
        <xdr:sp macro="[0]!AbrirUserForm">
          <xdr:nvSpPr>
            <xdr:cNvPr id="9219" name="Button 3" hidden="1">
              <a:extLst>
                <a:ext uri="{63B3BB69-23CF-44E3-9099-C40C66FF867C}">
                  <a14:compatExt spid="_x0000_s9219"/>
                </a:ext>
              </a:extLst>
            </xdr:cNvPr>
            <xdr:cNvSpPr/>
          </xdr:nvSpPr>
          <xdr:spPr>
            <a:xfrm>
              <a:off x="246380" y="45720"/>
              <a:ext cx="1684655" cy="251460"/>
            </a:xfrm>
            <a:prstGeom prst="rect">
              <a:avLst/>
            </a:prstGeom>
          </xdr:spPr>
          <xdr:txBody>
            <a:bodyPr vertOverflow="clip" wrap="square" lIns="36576" tIns="27432" rIns="36576" bIns="27432" anchor="ctr" upright="1"/>
            <a:lstStyle/>
            <a:p>
              <a:pPr algn="ctr" rtl="0">
                <a:defRPr sz="1000"/>
              </a:pPr>
              <a:r>
                <a:rPr lang="pt-BR" sz="1000" b="0" i="0" u="none" strike="noStrike" baseline="0">
                  <a:solidFill>
                    <a:srgbClr val="000000"/>
                  </a:solidFill>
                  <a:latin typeface="Arial" panose="020B0604020202020204"/>
                  <a:cs typeface="Arial" panose="020B0604020202020204"/>
                </a:rPr>
                <a:t>AJUSTE DOS MESES</a:t>
              </a:r>
              <a:endParaRPr lang="pt-BR" sz="1000" b="0" i="0" u="none" strike="noStrike" baseline="0">
                <a:solidFill>
                  <a:srgbClr val="000000"/>
                </a:solidFill>
                <a:latin typeface="Arial" panose="020B0604020202020204"/>
                <a:cs typeface="Arial" panose="020B0604020202020204"/>
              </a:endParaRPr>
            </a:p>
          </xdr:txBody>
        </xdr:sp>
        <xdr:clientData fPrintsWithSheet="0"/>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49530</xdr:colOff>
      <xdr:row>0</xdr:row>
      <xdr:rowOff>97184</xdr:rowOff>
    </xdr:from>
    <xdr:to>
      <xdr:col>2</xdr:col>
      <xdr:colOff>1149764</xdr:colOff>
      <xdr:row>0</xdr:row>
      <xdr:rowOff>374015</xdr:rowOff>
    </xdr:to>
    <xdr:pic>
      <xdr:nvPicPr>
        <xdr:cNvPr id="2" name="Imagem 1"/>
        <xdr:cNvPicPr>
          <a:picLocks noChangeAspect="1"/>
        </xdr:cNvPicPr>
      </xdr:nvPicPr>
      <xdr:blipFill>
        <a:blip r:embed="rId1" cstate="print">
          <a:extLst>
            <a:ext uri="{28A0092B-C50C-407E-A947-70E740481C1C}">
              <a14:useLocalDpi xmlns:a14="http://schemas.microsoft.com/office/drawing/2010/main" val="0"/>
            </a:ext>
          </a:extLst>
        </a:blip>
        <a:stretch>
          <a:fillRect/>
        </a:stretch>
      </xdr:blipFill>
      <xdr:spPr>
        <a:xfrm>
          <a:off x="182880" y="97155"/>
          <a:ext cx="1551940" cy="276860"/>
        </a:xfrm>
        <a:prstGeom prst="rect">
          <a:avLst/>
        </a:prstGeom>
      </xdr:spPr>
    </xdr:pic>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30480</xdr:rowOff>
        </xdr:from>
        <xdr:to>
          <xdr:col>11</xdr:col>
          <xdr:colOff>327660</xdr:colOff>
          <xdr:row>1</xdr:row>
          <xdr:rowOff>289560</xdr:rowOff>
        </xdr:to>
        <xdr:sp macro="[0]!ImportarPlanilha">
          <xdr:nvSpPr>
            <xdr:cNvPr id="13313" name="Button 1" hidden="1">
              <a:extLst>
                <a:ext uri="{63B3BB69-23CF-44E3-9099-C40C66FF867C}">
                  <a14:compatExt spid="_x0000_s13313"/>
                </a:ext>
              </a:extLst>
            </xdr:cNvPr>
            <xdr:cNvSpPr/>
          </xdr:nvSpPr>
          <xdr:spPr>
            <a:xfrm>
              <a:off x="8905240" y="30480"/>
              <a:ext cx="1258570" cy="626745"/>
            </a:xfrm>
            <a:prstGeom prst="rect">
              <a:avLst/>
            </a:prstGeom>
          </xdr:spPr>
          <xdr:txBody>
            <a:bodyPr vertOverflow="clip" wrap="square" lIns="36576" tIns="27432" rIns="36576" bIns="27432" anchor="ctr" upright="1"/>
            <a:lstStyle/>
            <a:p>
              <a:pPr algn="ctr" rtl="0">
                <a:defRPr sz="1000"/>
              </a:pPr>
              <a:r>
                <a:rPr lang="pt-BR" sz="1000" b="0" i="0" u="none" strike="noStrike" baseline="0">
                  <a:solidFill>
                    <a:srgbClr val="000000"/>
                  </a:solidFill>
                  <a:latin typeface="Arial" panose="020B0604020202020204"/>
                  <a:cs typeface="Arial" panose="020B0604020202020204"/>
                </a:rPr>
                <a:t>Importar novo relatório</a:t>
              </a:r>
              <a:endParaRPr lang="pt-BR" sz="1000" b="0" i="0" u="none" strike="noStrike" baseline="0">
                <a:solidFill>
                  <a:srgbClr val="000000"/>
                </a:solidFill>
                <a:latin typeface="Arial" panose="020B0604020202020204"/>
                <a:cs typeface="Arial" panose="020B0604020202020204"/>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Dados\PE_2003\CompGerCustos200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controladoria\Dados\PE_2003\CompGerCustos2003.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PE_2003\CompGerCustos2003.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SERADM\OFFICE\USUARIOS\BARTOLOM\EMISI-ON\PROFORMA.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NT0_ATRIUM\PLANEJAMENTO\windows\TEMP\DCF%204.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D:\TEMP\Client\DSMneste\Excel\00_05_30valuation.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03\Trab%20(D)%20C03\Documents%20and%20Settings\Owner\My%20Documents\z-note\RO\R_Ostras\EstrCalif\18km\SINAL\Rio%20das%20Ostras\RJ106%20AUXILIAR\Pista%20Auxiliar\Memorial%20descritivo.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E:\controladoria\Dados\Contabil\Gest&#227;o\2002\Base\GastosRealiz2002.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E:\controladoria\Dados\Contabil\ApresMensalInvest2003\InvEngFev03.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E:\controladoria\Dados\Contabil\ApresMensalInvest2003\apresent-01-03%20Karla.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F:\Concerncontrolling\Consolidatie\Periode\2005\Per07\Holding\Bijlage%201%20Sjabloon%20Rapportageset%20Q205%2020050725.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A:\windows\TEMP\Vendex%20acquiring%20Kaufhof3.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E:\controladoria\Dados\Orcto2004\BaseOrcto04\Consolid2004.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E:\controladoria\Dados\Contabil\ApresMensalInvest2004\InvEngJan04.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E:\Users\luciano.fontes\Desktop\Pessoal%202013.xlsx"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E:\Prolagos\BNDES%202008\ACOMPANHAMENTO%20DO%20PROJETO\Enviados\Quadro%20II%20-%20Quadro%20de%20Usos%20e%20Fontes.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E:\teixegu\Local%20Settings\Temporary%20Internet%20Files\OLKB\WINDOWS\TEMP\Jangada%20Modelo0618\Jangada%20Modelo06181.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10.146.4.18\Perdas_Fonte\REGISTROS\22-OUTUBRO%202011\RE_8.2_004-005-%20Placar%20de%20Perdas%20-%20Junho%202011.xlsx"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F:\Corpfin\COMPANY\A_C\Addtek\Models\DCF%20Model_Addtek_0211%20(007).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Mic468\c\USU\RAS\VSI\TVA-98\cota&#231;&#227;o\Pre&#231;os.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intranet\areas\USU\FICHAS\Biom%20Exper.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C:\Users\caioc\Desktop\paracatu\PLN-EXE-ORC-CSL-CBV-0101-REV04%20(A%20EXECUTAR).xlsm"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C:\Users\User\Desktop\DUDA\PLAN%20AUTOMATIZADA%20PROJETA.xlsm"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CVF07\Pasta%20Comum\WINNT\Profiles\jteodoro\LOCALS~1\Temp\LATASA%20Valuation%2030.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E:\BNDES\bndes.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C:\Drives%20compartilhados\LICITA&#199;&#195;O\2024\06-24%20-%20MARIP&#193;%20DE%20MINAS\01%20ARQUIVOS%20LICITA&#199;&#195;O\07%20-%20Or&#231;amento\PLANILHA%20M&#218;LTIPLA%20-%20TRATAMENTO%20ESGOTOS%20MARIP&#193;%20SEDE.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T:\Begroting2006\Mtp\MTP2007-2008_definitief.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F:\Corpfin\COMPANY\N_Q\Nutreco\Project%20Bluefin\Scenario%20Questions\Models\Models\Corpfin\COMPANY\N_Q\Nutreco\Project%20Bluefin\Models\Acquisition%20Model%20Feb%202006.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F:\Shared\Rapportages%20Finance\FLASH\Flash%202006\RTTVWAL\BackUp_DAW.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F:\Projecten\standaard%20model\BASE%20MODEL%20V1.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http://webmail.aguasguariroba.com.br/mail/sidneymarques.nsf/0/4B050B2C7AD329FD042570E00040903E/$File/MESA/OPERA&#199;&#213;ES%20DE%20GIRO/Controle%20Opera&#231;&#245;es%20-%20PRE%20PAGTOnova.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E:\a03a291\LOCALS~1\Temp\OutlookSecureTemp\080806%20Model%20Asterix.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Private\cd%20copy%20to%20share\BUSINESS\MODEL\PROJECT%20PATRIA%20-%20MODEL%20V126.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F:\Consolidatie\Periode\2005\Per11\Managementletter\inputsheets\tabellen%20voor%20verslag\Inputsheet%20management%20summary%20p.11.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file:///E:\Users\luciano.fontes\AppData\Local\Microsoft\Windows\Temporary%20Internet%20Files\Content.Outlook\IFSHTJQA\Pessoal%202013%20V7.xlsx"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http://webmail.aguasguariroba.com.br/mail/sidneymarques.nsf/0/4B050B2C7AD329FD042570E00040903E/$File/MESA/FORWARD.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BRCAPFS\USERS\Contabilidade\Alian&#231;a%20do%20Brasil\1999\Fevereiro%2099\BALGER\CRITICA.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F:\windows\TEMP\3381MAIN\boa\BASECASE.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file:///T:\Documents%20and%20Settings\vpnuser\Mijn%20documenten\Bert\Trader.com\leftovers\Additional%20schedules%20C0040%20V5.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file:///\\Est107733\publico\ALESSANDRO\Alessandro's%20Personal\Alessandro's%20Composings\Construction%20Assemblies%20A-E.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file:///\\Est107733\publico\ALESSANDRO\Alessandro's%20Personal\Alessandro's%20Composings\Construction%20Assemblies%20L-Q.xls"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file:///\\Est107733\publico\ALESSANDRO\Alessandro's%20Personal\Alessandro's%20Composings\Construction%20Assemblies%20R-Z.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file:///\\Est107733\publico\ALESSANDRO\Alessandro's%20Personal\Alessandro's%20Composings\Construction%20Assemblies%20F-K.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file:///\\CVF07\Pasta%20Comum\Investment%20Bank\Associates\Michael\BAS%20Templates\standalonetraining.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file:///E:\ControlloGestione\2002%20corporate\Consolidato\rep%202002%20print.xls"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file:///\\Servassinfo\projetos\Or&#231;amentos\Santa%20Marta%202004\Urbaniza&#231;&#227;o\santa%20marta%20urbanizacao%20-%20ORCAMENTO%2003.2004.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file:///E:\controladoria\Dados\Orcto2003\BaseOrc2003\Consolid2003.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file:///E:\controladoria\Dados\PE_2003\CompGerDesp2003.xls"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file:///F:\3419\excel\windows\TEMP\3381MAIN\boa\BASECASE.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file:///A:\F%20L%20&#193;%20V%20I%20O\OR&#199;AMENTOS\ANEL%20RIO%20-%20CONS&#211;RCIO\OR&#199;.%20REVIS&#195;O%203\Pre&#231;os.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file:///C:\Users\caioc\Desktop\paracatu\PLN-EXE-ORC-PRT-MRC-0101-REV00.xlsm"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file:///E:\AdmFin\Or&#231;amentos\2000\Bens%20Uso.xls"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CORP%20INVESTMENTS\vcn\Hugo\Models\Clean%20New%20MBO\Standard%20LBO%20Model%202%20January.xls"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CORP%20INVESTMENTS\vcn\Hugo\Models\New%20Model%20MBO%20-%20MBI\Standard%20LBO%20Model%202%20January.xls"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file:///F:\Corpfin\COMPANY\N_Q\Ordina\Project%20Rainbow\Models\Dcf_lbo%20models\DCF%20and%20LBO%20Model%20Purple_(002).xls" TargetMode="External"/></Relationships>
</file>

<file path=xl/externalLinks/_rels/externalLink56.xml.rels><?xml version="1.0" encoding="UTF-8" standalone="yes"?>
<Relationships xmlns="http://schemas.openxmlformats.org/package/2006/relationships"><Relationship Id="rId1" Type="http://schemas.openxmlformats.org/officeDocument/2006/relationships/externalLinkPath" Target="file:///E:\controladoria\Dados\Contabil\ApresMensalInvest2004\InvEngAbr04.xls"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file:///E:\controladoria\Dados\Contabil\ApresMensalInvest2004\InvEngJun04.xls" TargetMode="External"/></Relationships>
</file>

<file path=xl/externalLinks/_rels/externalLink58.xml.rels><?xml version="1.0" encoding="UTF-8" standalone="yes"?>
<Relationships xmlns="http://schemas.openxmlformats.org/package/2006/relationships"><Relationship Id="rId1" Type="http://schemas.openxmlformats.org/officeDocument/2006/relationships/externalLinkPath" Target="file:///E:\Dados\Contabil\Gest&#227;o\2005\Base\AcompMensalInvest05.xls" TargetMode="External"/></Relationships>
</file>

<file path=xl/externalLinks/_rels/externalLink59.xml.rels><?xml version="1.0" encoding="UTF-8" standalone="yes"?>
<Relationships xmlns="http://schemas.openxmlformats.org/package/2006/relationships"><Relationship Id="rId1" Type="http://schemas.openxmlformats.org/officeDocument/2006/relationships/externalLinkPath" Target="file:///E:\controladoria\Dados\Contabil\ApresMensalInvest2004\InvEngMai04Apres.xls" TargetMode="External"/></Relationships>
</file>

<file path=xl/externalLinks/_rels/externalLink60.xml.rels><?xml version="1.0" encoding="UTF-8" standalone="yes"?>
<Relationships xmlns="http://schemas.openxmlformats.org/package/2006/relationships"><Relationship Id="rId1" Type="http://schemas.openxmlformats.org/officeDocument/2006/relationships/externalLinkPath" Target="file:///\\Ntserver\vol2\Documents%20and%20Settings\ASeverino\Desktop\Piano\LINCE_Buyout_model_V03.xls" TargetMode="External"/></Relationships>
</file>

<file path=xl/externalLinks/_rels/externalLink61.xml.rels><?xml version="1.0" encoding="UTF-8" standalone="yes"?>
<Relationships xmlns="http://schemas.openxmlformats.org/package/2006/relationships"><Relationship Id="rId1" Type="http://schemas.openxmlformats.org/officeDocument/2006/relationships/externalLinkPath" Target="file:///F:\Documents%20and%20Settings\marc2_2\Local%20Settings\Temporary%20Internet%20Files\OLKA\TransCo_Supply%20Sep061.xls" TargetMode="External"/></Relationships>
</file>

<file path=xl/externalLinks/_rels/externalLink62.xml.rels><?xml version="1.0" encoding="UTF-8" standalone="yes"?>
<Relationships xmlns="http://schemas.openxmlformats.org/package/2006/relationships"><Relationship Id="rId1" Type="http://schemas.openxmlformats.org/officeDocument/2006/relationships/externalLinkPath" Target="file:///I:\GV\1%20FERNANDA\CPU\CPUs-SUDECAP-2005-02.xls" TargetMode="External"/></Relationships>
</file>

<file path=xl/externalLinks/_rels/externalLink63.xml.rels><?xml version="1.0" encoding="UTF-8" standalone="yes"?>
<Relationships xmlns="http://schemas.openxmlformats.org/package/2006/relationships"><Relationship Id="rId1" Type="http://schemas.openxmlformats.org/officeDocument/2006/relationships/externalLinkPath" Target="file:///D:\Desktop\LEO\MEMORIA%20ESTRUTURAL%20LEO%20-%2020140922.xlsx" TargetMode="External"/></Relationships>
</file>

<file path=xl/externalLinks/_rels/externalLink64.xml.rels><?xml version="1.0" encoding="UTF-8" standalone="yes"?>
<Relationships xmlns="http://schemas.openxmlformats.org/package/2006/relationships"><Relationship Id="rId1" Type="http://schemas.openxmlformats.org/officeDocument/2006/relationships/externalLinkPath" Target="file:///\\SERVIDOR\Comercial\DIMENSIONAL\ARQUIVOS%20DE%20TRABALHO\COMPERJ%20OR&#199;AMENTO_REV06.xls" TargetMode="External"/></Relationships>
</file>

<file path=xl/externalLinks/_rels/externalLink65.xml.rels><?xml version="1.0" encoding="UTF-8" standalone="yes"?>
<Relationships xmlns="http://schemas.openxmlformats.org/package/2006/relationships"><Relationship Id="rId1" Type="http://schemas.openxmlformats.org/officeDocument/2006/relationships/externalLinkPath" Target="file:///F:\Corpfin\COMPANY\R_U\Telegraaf\Project%20Miguel\Financials%20Miguel\Balans%20per%20periode\2004\Balans2004Periode6.xls" TargetMode="External"/></Relationships>
</file>

<file path=xl/externalLinks/_rels/externalLink66.xml.rels><?xml version="1.0" encoding="UTF-8" standalone="yes"?>
<Relationships xmlns="http://schemas.openxmlformats.org/package/2006/relationships"><Relationship Id="rId1" Type="http://schemas.openxmlformats.org/officeDocument/2006/relationships/externalLinkPath" Target="file:///\\Dime3\C\PREFEITURA%20DO%20RIO%20DE%20JANEIRO\VILA%20RICA%20DE%20IRAJA\MEM&#211;RIA%20SMH\Composi&#231;&#245;es-Vila%20Rica\PISO%20DE%20SAIBRO.xls" TargetMode="External"/></Relationships>
</file>

<file path=xl/externalLinks/_rels/externalLink67.xml.rels><?xml version="1.0" encoding="UTF-8" standalone="yes"?>
<Relationships xmlns="http://schemas.openxmlformats.org/package/2006/relationships"><Relationship Id="rId1" Type="http://schemas.openxmlformats.org/officeDocument/2006/relationships/externalLinkPath" Target="file:///http://share.aegea.com.br/Luciano%20Caires.AGUAS/Desktop/setembro/2%20-%20Resultado%20Mes/0.0Apresenta&#231;&#227;o%20Resultados/0%20Fechamento%20Mensal%20-%20Base%20Dados.xlsx" TargetMode="External"/></Relationships>
</file>

<file path=xl/externalLinks/_rels/externalLink68.xml.rels><?xml version="1.0" encoding="UTF-8" standalone="yes"?>
<Relationships xmlns="http://schemas.openxmlformats.org/package/2006/relationships"><Relationship Id="rId1" Type="http://schemas.openxmlformats.org/officeDocument/2006/relationships/externalLinkPath" Target="file:///\\SERVIDOR\Comercial\CGOM\ASS\REQUIS~1\2009\014-RI~1\RIOPEQ~1\Rio%20Pequeno_Serpen\MC-R14%20Rev0-Rio%20Pequeno%20(05_2004).xls" TargetMode="External"/></Relationships>
</file>

<file path=xl/externalLinks/_rels/externalLink69.xml.rels><?xml version="1.0" encoding="UTF-8" standalone="yes"?>
<Relationships xmlns="http://schemas.openxmlformats.org/package/2006/relationships"><Relationship Id="rId1" Type="http://schemas.openxmlformats.org/officeDocument/2006/relationships/externalLinkPath" Target="file:///\\FILE_SERVER\1-Contratos\Furukawa\Infovias%202001\Ra\USU\RAS\VSI\TVA-98\cota&#231;&#227;o\Pre&#231;os.xls" TargetMode="External"/></Relationships>
</file>

<file path=xl/externalLinks/_rels/externalLink70.xml.rels><?xml version="1.0" encoding="UTF-8" standalone="yes"?>
<Relationships xmlns="http://schemas.openxmlformats.org/package/2006/relationships"><Relationship Id="rId1" Type="http://schemas.openxmlformats.org/officeDocument/2006/relationships/externalLinkPath" Target="file:///F:\Corpfin\COMPANY\R_U\Telegraaf%20Media%20Group\Project%20Simon\SImon%20DCF%20v3).xls" TargetMode="External"/></Relationships>
</file>

<file path=xl/externalLinks/_rels/externalLink71.xml.rels><?xml version="1.0" encoding="UTF-8" standalone="yes"?>
<Relationships xmlns="http://schemas.openxmlformats.org/package/2006/relationships"><Relationship Id="rId1" Type="http://schemas.openxmlformats.org/officeDocument/2006/relationships/externalLinkPath" Target="file:///\\netuno\controladoria\Dados\PE_2003\CompGerCustos2003.xls" TargetMode="External"/></Relationships>
</file>

<file path=xl/externalLinks/_rels/externalLink72.xml.rels><?xml version="1.0" encoding="UTF-8" standalone="yes"?>
<Relationships xmlns="http://schemas.openxmlformats.org/package/2006/relationships"><Relationship Id="rId1" Type="http://schemas.openxmlformats.org/officeDocument/2006/relationships/externalLinkPath" Target="file:///\\FILE_SERVER\1-Contratos\TELECOM%20-%202002\I%20N%20T%20E%20L%20I%20G\5.%20RENOVA&#199;&#195;O%20DE%20CONTRATO\BDI-FLUXO\BDI%20-%20Fluxo%20REV%201%20(12meses).xls" TargetMode="External"/></Relationships>
</file>

<file path=xl/externalLinks/_rels/externalLink73.xml.rels><?xml version="1.0" encoding="UTF-8" standalone="yes"?>
<Relationships xmlns="http://schemas.openxmlformats.org/package/2006/relationships"><Relationship Id="rId1" Type="http://schemas.openxmlformats.org/officeDocument/2006/relationships/externalLinkPath" Target="file:///E:\COMPANY\R_U\Telegraaf\Project%20South\Models\Model%20based%20on%20new%20MTP\Telegraaf%20DCF%20Normalised%20(092).xls" TargetMode="External"/></Relationships>
</file>

<file path=xl/externalLinks/_rels/externalLink74.xml.rels><?xml version="1.0" encoding="UTF-8" standalone="yes"?>
<Relationships xmlns="http://schemas.openxmlformats.org/package/2006/relationships"><Relationship Id="rId1" Type="http://schemas.openxmlformats.org/officeDocument/2006/relationships/externalLinkPath" Target="file:///F:\IBK%20Files\Modelos\gullivermodelo1006.xls" TargetMode="External"/></Relationships>
</file>

<file path=xl/externalLinks/_rels/externalLink75.xml.rels><?xml version="1.0" encoding="UTF-8" standalone="yes"?>
<Relationships xmlns="http://schemas.openxmlformats.org/package/2006/relationships"><Relationship Id="rId1" Type="http://schemas.openxmlformats.org/officeDocument/2006/relationships/externalLinkPath" Target="file:///E:\2012\1%20Fechamento%20&#193;guas%20Guariroba\Kamilo\Capex%20-%20replanejamento%2007_12%20V2.xlsx" TargetMode="External"/></Relationships>
</file>

<file path=xl/externalLinks/_rels/externalLink76.xml.rels><?xml version="1.0" encoding="UTF-8" standalone="yes"?>
<Relationships xmlns="http://schemas.openxmlformats.org/package/2006/relationships"><Relationship Id="rId1" Type="http://schemas.openxmlformats.org/officeDocument/2006/relationships/externalLinkPath" Target="file:///E:\controladoria\Dados\Contabil\Gest&#227;o\2003\Base\GastosRealiz2003.xls" TargetMode="External"/></Relationships>
</file>

<file path=xl/externalLinks/_rels/externalLink77.xml.rels><?xml version="1.0" encoding="UTF-8" standalone="yes"?>
<Relationships xmlns="http://schemas.openxmlformats.org/package/2006/relationships"><Relationship Id="rId1" Type="http://schemas.openxmlformats.org/officeDocument/2006/relationships/externalLinkPath" Target="file:///F:\Corpfin\COMPANY\V_Z\VNU\World%20Directories%20(May%202004)\Project%20Daisy\Models\LBO%20model_Daisy_8July04_FINAL.xls" TargetMode="External"/></Relationships>
</file>

<file path=xl/externalLinks/_rels/externalLink78.xml.rels><?xml version="1.0" encoding="UTF-8" standalone="yes"?>
<Relationships xmlns="http://schemas.openxmlformats.org/package/2006/relationships"><Relationship Id="rId1" Type="http://schemas.openxmlformats.org/officeDocument/2006/relationships/externalLinkPath" Target="file:///\\FILE_SERVER\1-Contratos\F%20L%20&#193;%20V%20I%20O\OR&#199;AMENTOS\ANEL%20RIO%20-%20CONS&#211;RCIO\PROPOSTA%206%200409\ANEL%20RIO\CUSTO%20LARANJEIRAS.xls" TargetMode="External"/></Relationships>
</file>

<file path=xl/externalLinks/_rels/externalLink79.xml.rels><?xml version="1.0" encoding="UTF-8" standalone="yes"?>
<Relationships xmlns="http://schemas.openxmlformats.org/package/2006/relationships"><Relationship Id="rId1" Type="http://schemas.openxmlformats.org/officeDocument/2006/relationships/externalLinkPath" Target="file:///\\FILE_SERVER\1-Contratos\F%20L%20&#193;%20V%20I%20O\OR&#199;AMENTOS\ANEL%20RIO%20-%20CONS&#211;RCIO\PROPOSTA%206%200409\ANEL%20RIO\CUSTO%20ZONA%20SUL.xls" TargetMode="External"/></Relationships>
</file>

<file path=xl/externalLinks/_rels/externalLink80.xml.rels><?xml version="1.0" encoding="UTF-8" standalone="yes"?>
<Relationships xmlns="http://schemas.openxmlformats.org/package/2006/relationships"><Relationship Id="rId1" Type="http://schemas.openxmlformats.org/officeDocument/2006/relationships/externalLinkPath" Target="file:///E:\teixegu\Local%20Settings\Temporary%20Internet%20Files\OLKB\WINDOWS\TEMP\Modelnew52_BASE_CashPayout.xls" TargetMode="External"/></Relationships>
</file>

<file path=xl/externalLinks/_rels/externalLink81.xml.rels><?xml version="1.0" encoding="UTF-8" standalone="yes"?>
<Relationships xmlns="http://schemas.openxmlformats.org/package/2006/relationships"><Relationship Id="rId1" Type="http://schemas.openxmlformats.org/officeDocument/2006/relationships/externalLinkPath" Target="file:///E:\Users\sabrina.lima.LATAM\AppData\Local\Microsoft\Windows\Temporary%20Internet%20Files\Content.Outlook\53VXTZDB\Relat&#243;rio%20Mensal%202011.xlsx" TargetMode="External"/></Relationships>
</file>

<file path=xl/externalLinks/_rels/externalLink82.xml.rels><?xml version="1.0" encoding="UTF-8" standalone="yes"?>
<Relationships xmlns="http://schemas.openxmlformats.org/package/2006/relationships"><Relationship Id="rId1" Type="http://schemas.openxmlformats.org/officeDocument/2006/relationships/externalLinkPath" Target="file:///E:\COMPANY\V_Z\Wolters\Project%20Newton%20Dec-2006\Model\Wolters%20Kluwer%20education%20(v05).xls" TargetMode="External"/></Relationships>
</file>

<file path=xl/externalLinks/_rels/externalLink83.xml.rels><?xml version="1.0" encoding="UTF-8" standalone="yes"?>
<Relationships xmlns="http://schemas.openxmlformats.org/package/2006/relationships"><Relationship Id="rId1" Type="http://schemas.openxmlformats.org/officeDocument/2006/relationships/externalLinkPath" Target="file:///C:\BICOS\Diversos\Paraty-%20REV02.xls" TargetMode="External"/></Relationships>
</file>

<file path=xl/externalLinks/_rels/externalLink84.xml.rels><?xml version="1.0" encoding="UTF-8" standalone="yes"?>
<Relationships xmlns="http://schemas.openxmlformats.org/package/2006/relationships"><Relationship Id="rId1" Type="http://schemas.openxmlformats.org/officeDocument/2006/relationships/externalLinkPath" Target="file:///A:\Acesita\MODELoriginal.xls" TargetMode="External"/></Relationships>
</file>

<file path=xl/externalLinks/_rels/externalLink85.xml.rels><?xml version="1.0" encoding="UTF-8" standalone="yes"?>
<Relationships xmlns="http://schemas.openxmlformats.org/package/2006/relationships"><Relationship Id="rId1" Type="http://schemas.openxmlformats.org/officeDocument/2006/relationships/externalLinkPath" Target="file:///E:\controladoria\Dados\Contabil\ApresMensalInvest2004\InvEngFev04.xls" TargetMode="External"/></Relationships>
</file>

<file path=xl/externalLinks/_rels/externalLink86.xml.rels><?xml version="1.0" encoding="UTF-8" standalone="yes"?>
<Relationships xmlns="http://schemas.openxmlformats.org/package/2006/relationships"><Relationship Id="rId1" Type="http://schemas.openxmlformats.org/officeDocument/2006/relationships/externalLinkPath" Target="file:///E:\Users\luciano.fontes\Documents\0%20MAIL%20EXCLUIR\Projetos%20de%20Maximiza&#231;&#227;o%20-%20Viabilidade%20v3.xlsx" TargetMode="External"/></Relationships>
</file>

<file path=xl/externalLinks/_rels/externalLink87.xml.rels><?xml version="1.0" encoding="UTF-8" standalone="yes"?>
<Relationships xmlns="http://schemas.openxmlformats.org/package/2006/relationships"><Relationship Id="rId1" Type="http://schemas.openxmlformats.org/officeDocument/2006/relationships/externalLinkPath" Target="file:///F:\Rapportages%20Finance\Flash%202002\BACKUPFLASH%202002.xls" TargetMode="External"/></Relationships>
</file>

<file path=xl/externalLinks/_rels/externalLink88.xml.rels><?xml version="1.0" encoding="UTF-8" standalone="yes"?>
<Relationships xmlns="http://schemas.openxmlformats.org/package/2006/relationships"><Relationship Id="rId1" Type="http://schemas.openxmlformats.org/officeDocument/2006/relationships/externalLinkPath" Target="file:///\\Servidor\B%20Jacare\Bacia%20Jacarepagu&#225;%20TRABALHO\Andrade\Mem&#243;ria%20de%20c&#225;lculo%20caixa%20de%20deten&#231;&#227;o%20Rio%20Viegas%20Trecho%204.xls" TargetMode="External"/></Relationships>
</file>

<file path=xl/externalLinks/_rels/externalLink89.xml.rels><?xml version="1.0" encoding="UTF-8" standalone="yes"?>
<Relationships xmlns="http://schemas.openxmlformats.org/package/2006/relationships"><Relationship Id="rId1" Type="http://schemas.openxmlformats.org/officeDocument/2006/relationships/externalLinkPath" Target="file:///\\Nw_server1\SYS\-OFERTAS\-S_PAULO\lote-9\planos\Financ09.xls" TargetMode="External"/></Relationships>
</file>

<file path=xl/externalLinks/_rels/externalLink90.xml.rels><?xml version="1.0" encoding="UTF-8" standalone="yes"?>
<Relationships xmlns="http://schemas.openxmlformats.org/package/2006/relationships"><Relationship Id="rId1" Type="http://schemas.openxmlformats.org/officeDocument/2006/relationships/externalLinkPath" Target="file:///E:\controladoria\Dados\Contabil\ApresMensalInvest2002\InvestEngOut02....xls" TargetMode="External"/></Relationships>
</file>

<file path=xl/externalLinks/_rels/externalLink91.xml.rels><?xml version="1.0" encoding="UTF-8" standalone="yes"?>
<Relationships xmlns="http://schemas.openxmlformats.org/package/2006/relationships"><Relationship Id="rId1" Type="http://schemas.openxmlformats.org/officeDocument/2006/relationships/externalLinkPath" Target="file:///E:\controladoria\Dados\Contabil\Gest&#227;o\2002\05-Mai\InvestEngMai02.xls" TargetMode="External"/></Relationships>
</file>

<file path=xl/externalLinks/_rels/externalLink92.xml.rels><?xml version="1.0" encoding="UTF-8" standalone="yes"?>
<Relationships xmlns="http://schemas.openxmlformats.org/package/2006/relationships"><Relationship Id="rId1" Type="http://schemas.openxmlformats.org/officeDocument/2006/relationships/externalLinkPath" Target="file:///E:\controladoria\Dados\Contabil\Gest&#227;o\2002\04-Abr\InvestEngAbr02.xls" TargetMode="External"/></Relationships>
</file>

<file path=xl/externalLinks/_rels/externalLink93.xml.rels><?xml version="1.0" encoding="UTF-8" standalone="yes"?>
<Relationships xmlns="http://schemas.openxmlformats.org/package/2006/relationships"><Relationship Id="rId1" Type="http://schemas.openxmlformats.org/officeDocument/2006/relationships/externalLinkPath" Target="file:///E:\controladoria\Dados\Contabil\ApresMensalInvest2002\InvestEngSet02....xls" TargetMode="External"/></Relationships>
</file>

<file path=xl/externalLinks/_rels/externalLink94.xml.rels><?xml version="1.0" encoding="UTF-8" standalone="yes"?>
<Relationships xmlns="http://schemas.openxmlformats.org/package/2006/relationships"><Relationship Id="rId1" Type="http://schemas.openxmlformats.org/officeDocument/2006/relationships/externalLinkPath" Target="file:///E:\controladoria\Dados\Contabil\ApresMensalInvest2002\InvestEngAgo02....xls" TargetMode="External"/></Relationships>
</file>

<file path=xl/externalLinks/_rels/externalLink95.xml.rels><?xml version="1.0" encoding="UTF-8" standalone="yes"?>
<Relationships xmlns="http://schemas.openxmlformats.org/package/2006/relationships"><Relationship Id="rId1" Type="http://schemas.openxmlformats.org/officeDocument/2006/relationships/externalLinkPath" Target="file:///E:\controladoria\Dados\Contabil\ApresMensalInvest2002\InvestEngJul02....xls" TargetMode="External"/></Relationships>
</file>

<file path=xl/externalLinks/_rels/externalLink96.xml.rels><?xml version="1.0" encoding="UTF-8" standalone="yes"?>
<Relationships xmlns="http://schemas.openxmlformats.org/package/2006/relationships"><Relationship Id="rId1" Type="http://schemas.openxmlformats.org/officeDocument/2006/relationships/externalLinkPath" Target="file:///E:\Users\alvaro.alvarenga.LATAM\Documents\aegea\Aguas%20Guariroba\Or&#231;amento\Avalia&#231;&#227;o%20de%20investimentos-2011.xlsm" TargetMode="External"/></Relationships>
</file>

<file path=xl/externalLinks/_rels/externalLink97.xml.rels><?xml version="1.0" encoding="UTF-8" standalone="yes"?>
<Relationships xmlns="http://schemas.openxmlformats.org/package/2006/relationships"><Relationship Id="rId1" Type="http://schemas.openxmlformats.org/officeDocument/2006/relationships/externalLinkPath" Target="file:///F:\Corpfin\COMPANY\N_Q\PCM\Project%20Montana\Models\DCF_LBO%20PCM\Waardering%20PCM_150503.xls" TargetMode="External"/></Relationships>
</file>

<file path=xl/externalLinks/_rels/externalLink98.xml.rels><?xml version="1.0" encoding="UTF-8" standalone="yes"?>
<Relationships xmlns="http://schemas.openxmlformats.org/package/2006/relationships"><Relationship Id="rId1" Type="http://schemas.openxmlformats.org/officeDocument/2006/relationships/externalLinkPath" Target="file:///E:\Deals\Active\Trade%20Shows\Models\Trade%20Shows%20v7%20scenarios.xls" TargetMode="External"/></Relationships>
</file>

<file path=xl/externalLinks/_rels/externalLink99.xml.rels><?xml version="1.0" encoding="UTF-8" standalone="yes"?>
<Relationships xmlns="http://schemas.openxmlformats.org/package/2006/relationships"><Relationship Id="rId1" Type="http://schemas.openxmlformats.org/officeDocument/2006/relationships/externalLinkPath" Target="file:///\\Server\d\Sepre_2\DETRAN\Santa%20Luzia\Posto%20Vistoria%20Santa%20Luzia1.xls" TargetMode="External"/></Relationships>
</file>

<file path=xl/externalLinks/_rels/externalLink100.xml.rels><?xml version="1.0" encoding="UTF-8" standalone="yes"?>
<Relationships xmlns="http://schemas.openxmlformats.org/package/2006/relationships"><Relationship Id="rId1" Type="http://schemas.openxmlformats.org/officeDocument/2006/relationships/externalLinkPath" Target="file:///Z:\L&amp;C\Clientes\Trabalhos%20em%20andamento\F03%20-%20Fidens\SEINF-RORAIMA\Edital\Or&#231;amento%20enviado\5%20QUADRO%20DE%20QUANTIDADES%20E%20PRE&#199;O\Arquivos%20internos\Quadro%20de%20quantidades\ORCAMENT.xls" TargetMode="External"/></Relationships>
</file>

<file path=xl/externalLinks/_rels/externalLink101.xml.rels><?xml version="1.0" encoding="UTF-8" standalone="yes"?>
<Relationships xmlns="http://schemas.openxmlformats.org/package/2006/relationships"><Relationship Id="rId1" Type="http://schemas.openxmlformats.org/officeDocument/2006/relationships/externalLinkPath" Target="file:///C:\Users\Usu&#225;rio\Desktop\OR&#199;AMENTOS\BELO%20VALE\LOTE%2007\PLN-EXE-ORC-BLV-EZT-0101-REV02.xlsb" TargetMode="External"/></Relationships>
</file>

<file path=xl/externalLinks/_rels/externalLink102.xml.rels><?xml version="1.0" encoding="UTF-8" standalone="yes"?>
<Relationships xmlns="http://schemas.openxmlformats.org/package/2006/relationships"><Relationship Id="rId1" Type="http://schemas.openxmlformats.org/officeDocument/2006/relationships/externalLinkPath" Target="file:///C:\Drives%20compartilhados\LICITA&#199;&#195;O\2026\05-15%20-%20ASSAI\IMPORTAR%20EXPORTAR\01IMPORT.xlsx" TargetMode="External"/></Relationships>
</file>

<file path=xl/externalLinks/_rels/externalLink103.xml.rels><?xml version="1.0" encoding="UTF-8" standalone="yes"?>
<Relationships xmlns="http://schemas.openxmlformats.org/package/2006/relationships"><Relationship Id="rId1" Type="http://schemas.openxmlformats.org/officeDocument/2006/relationships/externalLinkPath" Target="file:///\\cesaserver01\Base%20DPOB\Users\jsanabio\Desktop\CESAMA\TERMOS%20DE%20REFER&#202;NCIA\SOLO%20GRAMPEADO%20%20CHAP&#201;U%20D'UVAS\VERS&#195;O%2009.08.2023\PLANILHA%20OR&#199;AMENT&#193;RIA%20-%20CHAP&#201;U%20D'UVAS%2018.07.2023.xlsm" TargetMode="External"/></Relationships>
</file>

<file path=xl/externalLinks/_rels/externalLink104.xml.rels><?xml version="1.0" encoding="UTF-8" standalone="yes"?>
<Relationships xmlns="http://schemas.openxmlformats.org/package/2006/relationships"><Relationship Id="rId1" Type="http://schemas.openxmlformats.org/officeDocument/2006/relationships/externalLinkPath" Target="file:///E:\COMPANY\V_Z\WEGENER\Presentations%202005\Warburg%20Pincus\Models\Warburg%20Pincus\Karibu%20v5.xls" TargetMode="External"/></Relationships>
</file>

<file path=xl/externalLinks/_rels/externalLink105.xml.rels><?xml version="1.0" encoding="UTF-8" standalone="yes"?>
<Relationships xmlns="http://schemas.openxmlformats.org/package/2006/relationships"><Relationship Id="rId1" Type="http://schemas.openxmlformats.org/officeDocument/2006/relationships/externalLinkPath" Target="file:///E:\a4600521\Local%20Settings\Temporary%20Internet%20Files\OLKF\Wegener%20Nov%2005%20LBOv5%20new.xls" TargetMode="External"/></Relationships>
</file>

<file path=xl/externalLinks/_rels/externalLink106.xml.rels><?xml version="1.0" encoding="UTF-8" standalone="yes"?>
<Relationships xmlns="http://schemas.openxmlformats.org/package/2006/relationships"><Relationship Id="rId1" Type="http://schemas.openxmlformats.org/officeDocument/2006/relationships/externalLinkPath" Target="file:///T:\Consolidatie%20MGL\2005\Periode%207%20(prognose%202)\Bijlage%201Halfjaarbericht.xls" TargetMode="External"/></Relationships>
</file>

<file path=xl/externalLinks/_rels/externalLink107.xml.rels><?xml version="1.0" encoding="UTF-8" standalone="yes"?>
<Relationships xmlns="http://schemas.openxmlformats.org/package/2006/relationships"><Relationship Id="rId1" Type="http://schemas.openxmlformats.org/officeDocument/2006/relationships/externalLinkPath" Target="file:///E:\2014\1%20Or&#231;amento%20pessoal%202014%20(2).xlsx" TargetMode="External"/></Relationships>
</file>

<file path=xl/externalLinks/_rels/externalLink108.xml.rels><?xml version="1.0" encoding="UTF-8" standalone="yes"?>
<Relationships xmlns="http://schemas.openxmlformats.org/package/2006/relationships"><Relationship Id="rId1" Type="http://schemas.openxmlformats.org/officeDocument/2006/relationships/externalLinkPath" Target="\CORP%20INVESTMENTS\vcn\Hugo\Models\Eventuele%20basis%20voor%20VCN\DCF%20model%20-%20ingevuld.xls" TargetMode="External"/></Relationships>
</file>

<file path=xl/externalLinks/_rels/externalLink109.xml.rels><?xml version="1.0" encoding="UTF-8" standalone="yes"?>
<Relationships xmlns="http://schemas.openxmlformats.org/package/2006/relationships"><Relationship Id="rId1" Type="http://schemas.openxmlformats.org/officeDocument/2006/relationships/externalLinkPath" Target="file:///E:\Dados\Orcto2003\ApresOrc2003\ArqFinalOrc2003\Orcto2003NL.xls" TargetMode="External"/></Relationships>
</file>

<file path=xl/externalLinks/_rels/externalLink110.xml.rels><?xml version="1.0" encoding="UTF-8" standalone="yes"?>
<Relationships xmlns="http://schemas.openxmlformats.org/package/2006/relationships"><Relationship Id="rId1" Type="http://schemas.openxmlformats.org/officeDocument/2006/relationships/externalLinkPath" Target="file:///http://webmail.aguasguariroba.com.br/mail/sidneymarques.nsf/0/4B050B2C7AD329FD042570E00040903E/$File/MESA/POSICAO%20FINANCEIRA/POSICAO%20FINANCEIRA%2022122003.xls" TargetMode="External"/></Relationships>
</file>

<file path=xl/externalLinks/_rels/externalLink111.xml.rels><?xml version="1.0" encoding="UTF-8" standalone="yes"?>
<Relationships xmlns="http://schemas.openxmlformats.org/package/2006/relationships"><Relationship Id="rId1" Type="http://schemas.openxmlformats.org/officeDocument/2006/relationships/externalLinkPath" Target="file:///E:\Spreadsheets\Empresas\DOCUME~1\vb\CONFIG~1\Temp\contraparc2002." TargetMode="External"/></Relationships>
</file>

<file path=xl/externalLinks/_rels/externalLink112.xml.rels><?xml version="1.0" encoding="UTF-8" standalone="yes"?>
<Relationships xmlns="http://schemas.openxmlformats.org/package/2006/relationships"><Relationship Id="rId1" Type="http://schemas.openxmlformats.org/officeDocument/2006/relationships/externalLinkPath" Target="file:///E:\Documents%20and%20Settings\guest\Configura&#231;&#245;es%20locais\Temporary%20Internet%20Files\OLKCE\Documents%20and%20Settings\guest\Configura&#231;&#245;es%20locais\Temp\-OFERTAS\-S_PAULO\lote-9\planos\Financ09.xls" TargetMode="External"/></Relationships>
</file>

<file path=xl/externalLinks/_rels/externalLink113.xml.rels><?xml version="1.0" encoding="UTF-8" standalone="yes"?>
<Relationships xmlns="http://schemas.openxmlformats.org/package/2006/relationships"><Relationship Id="rId1" Type="http://schemas.openxmlformats.org/officeDocument/2006/relationships/externalLinkPath" Target="file:///E:\COMPANY\A_C\Addtek\Models\DCF%20Model_Addtek_0211%20(007).xls" TargetMode="External"/></Relationships>
</file>

<file path=xl/externalLinks/_rels/externalLink114.xml.rels><?xml version="1.0" encoding="UTF-8" standalone="yes"?>
<Relationships xmlns="http://schemas.openxmlformats.org/package/2006/relationships"><Relationship Id="rId1" Type="http://schemas.openxmlformats.org/officeDocument/2006/relationships/externalLinkPath" Target="file:///D:\Users\leticia.carboni\Desktop\Medi&#231;&#245;es%202017\07%20-%20JULHO%2017\SFS\BM%2029%20ASFS%20x%20AegeaEng.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Oper"/>
      <sheetName val="Tec"/>
      <sheetName val="CompGerCustos2003"/>
      <sheetName val="íNDICES"/>
      <sheetName val="CONSPRES"/>
      <sheetName val="CONSDIRE"/>
      <sheetName val="GERAFIM"/>
      <sheetName val="ENG"/>
      <sheetName val="CONSCOM"/>
      <sheetName val="CIC"/>
      <sheetName val="Lista"/>
      <sheetName val="Plan1"/>
      <sheetName val="Produtos Químicos"/>
      <sheetName val="Infos Gerais"/>
      <sheetName val="Planilha1"/>
      <sheetName val="Ctrl"/>
      <sheetName val="Capa"/>
      <sheetName val="BASE"/>
      <sheetName val="Auxilio Criar PEP"/>
      <sheetName val="Detalhamento"/>
      <sheetName val="Produtos_Químicos"/>
      <sheetName val="Infos_Gerais"/>
      <sheetName val="Auxilio_Criar_PEP"/>
      <sheetName val="Produtos_Químicos1"/>
      <sheetName val="Infos_Gerais1"/>
      <sheetName val="Auxilio_Criar_PEP1"/>
      <sheetName val="Overige"/>
      <sheetName val="Summary_T"/>
      <sheetName val="Produtos_Químicos2"/>
      <sheetName val="Infos_Gerais2"/>
      <sheetName val="Auxilio_Criar_PEP2"/>
      <sheetName val="Inputs"/>
      <sheetName val="MAR01"/>
      <sheetName val="8.3.11.1"/>
      <sheetName val="Cenarios"/>
      <sheetName val="Constants"/>
      <sheetName val="POP cost"/>
      <sheetName val="BDG"/>
      <sheetName val="ConsRot"/>
      <sheetName val="Orc"/>
      <sheetName val="Cover"/>
      <sheetName val="Parameters"/>
      <sheetName val="P&amp;L"/>
      <sheetName val="Base Data"/>
      <sheetName val="2002CB"/>
      <sheetName val="Assumptions"/>
      <sheetName val="1. Instellingen"/>
      <sheetName val="BRADESCO - 2ª"/>
      <sheetName val="BRADESCO - SAMPCO (2)"/>
      <sheetName val="ING US$10MM"/>
      <sheetName val="ITAÚ US$ 23MM"/>
      <sheetName val="ITAÚ"/>
      <sheetName val="OCTAGON"/>
      <sheetName val="RABOBANK US$ 20MM"/>
      <sheetName val="RABOBANK US$ 40MM"/>
      <sheetName val="SAFRA - US$10"/>
      <sheetName val="SAFRA - US$5"/>
      <sheetName val="SAFRA - US$5 (2)"/>
      <sheetName val="REqpt03"/>
      <sheetName val="AbertInvest"/>
      <sheetName val="Orcto"/>
      <sheetName val="Assum"/>
      <sheetName val="CAPEX CUSTO"/>
      <sheetName val="O x 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sheetData sheetId="22"/>
      <sheetData sheetId="23"/>
      <sheetData sheetId="24"/>
      <sheetData sheetId="25"/>
      <sheetData sheetId="26" refreshError="1"/>
      <sheetData sheetId="27" refreshError="1"/>
      <sheetData sheetId="28"/>
      <sheetData sheetId="29"/>
      <sheetData sheetId="30"/>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Oper"/>
      <sheetName val="Tec"/>
      <sheetName val="CONSPRES"/>
      <sheetName val="CONSDIRE"/>
      <sheetName val="GERAFIM"/>
      <sheetName val="ENG"/>
      <sheetName val="CONSCOM"/>
      <sheetName val="CIC"/>
      <sheetName val="CompGerCustos2003"/>
      <sheetName val="íNDICES"/>
      <sheetName val="Lista"/>
      <sheetName val="Plan1"/>
      <sheetName val="Produtos Químicos"/>
      <sheetName val="Opções"/>
      <sheetName val="Inputs"/>
      <sheetName val="Produtos_Químicos"/>
      <sheetName val="Produtos_Químicos1"/>
      <sheetName val="P&amp;L"/>
      <sheetName val="Parameters"/>
      <sheetName val="Produtos_Químicos2"/>
      <sheetName val="Dados"/>
      <sheetName val="MAR01"/>
      <sheetName val="FluxoCaixaIndexado"/>
      <sheetName val="Company data"/>
      <sheetName val="Cover"/>
      <sheetName val="orçamento"/>
      <sheetName val="         Title              "/>
      <sheetName val="LD-PS-PMC-RMA"/>
      <sheetName val="REqpt03"/>
      <sheetName val="AbertInvest"/>
      <sheetName val="Orcto"/>
      <sheetName val="WACC_PCM"/>
      <sheetName val="Controls"/>
      <sheetName val="SCO_0507"/>
      <sheetName val="EMOP0607"/>
      <sheetName val="DADOS COLETATO"/>
      <sheetName val="Atual"/>
      <sheetName val="conssid12-96"/>
      <sheetName val="Constants"/>
      <sheetName val="POP cost"/>
      <sheetName val="Sheet2"/>
      <sheetName val="eco-fin"/>
      <sheetName val="fluxo de caix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sheetData sheetId="17" refreshError="1"/>
      <sheetData sheetId="18" refreshError="1"/>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Oper"/>
      <sheetName val="Tec"/>
      <sheetName val="CompGerCustos2003"/>
      <sheetName val="1. Instellingen"/>
      <sheetName val="orçamento"/>
      <sheetName val="1__Instellingen"/>
      <sheetName val="1__Instellingen1"/>
      <sheetName val="Capa"/>
      <sheetName val="Cenarios"/>
      <sheetName val="1__Instellingen2"/>
      <sheetName val="Orcto"/>
      <sheetName val="SCO_0507"/>
      <sheetName val="EMOP0607"/>
      <sheetName val="CAPEX CUSTO"/>
      <sheetName val="O x R"/>
      <sheetName val="BRADESCO - 2ª"/>
      <sheetName val="BRADESCO - SAMPCO (2)"/>
      <sheetName val="ING US$10MM"/>
      <sheetName val="ITAÚ US$ 23MM"/>
      <sheetName val="ITAÚ"/>
      <sheetName val="OCTAGON"/>
      <sheetName val="RABOBANK US$ 20MM"/>
      <sheetName val="RABOBANK US$ 40MM"/>
      <sheetName val="SAFRA - US$10"/>
      <sheetName val="SAFRA - US$5"/>
      <sheetName val="SAFRA - US$5 (2)"/>
      <sheetName val="Assump. "/>
      <sheetName val="eco-fin"/>
      <sheetName val="conssid12-96"/>
      <sheetName val="fluxo de caixa"/>
      <sheetName val="Ctrl"/>
      <sheetName val="FluxoCaixaIndexado"/>
      <sheetName val="Inputs"/>
      <sheetName val="Parameters"/>
      <sheetName val="Cover"/>
      <sheetName val="VISÃO GERAL"/>
      <sheetName val="Controls"/>
      <sheetName val="FCF"/>
      <sheetName val="Input"/>
      <sheetName val="AbertInvest"/>
      <sheetName val="DADOS"/>
      <sheetName val="Imobiliz"/>
      <sheetName val="REqpt03"/>
    </sheetNames>
    <sheetDataSet>
      <sheetData sheetId="0" refreshError="1"/>
      <sheetData sheetId="1" refreshError="1"/>
      <sheetData sheetId="2" refreshError="1"/>
      <sheetData sheetId="3" refreshError="1"/>
      <sheetData sheetId="4" refreshError="1"/>
      <sheetData sheetId="5"/>
      <sheetData sheetId="6"/>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CONSSID12_96"/>
      <sheetName val="CONSSID12-96"/>
      <sheetName val="var"/>
      <sheetName val="bgpg"/>
      <sheetName val="Soportes"/>
      <sheetName val="conc898"/>
      <sheetName val="98VS99"/>
      <sheetName val="Plan1"/>
      <sheetName val="Plan2"/>
      <sheetName val="resfinal"/>
      <sheetName val="Assum"/>
      <sheetName val="Fazenda"/>
      <sheetName val="listas"/>
      <sheetName val="DADOS_DASH"/>
      <sheetName val="De Para"/>
      <sheetName val="Oper"/>
      <sheetName val="T&amp;A_SP065"/>
      <sheetName val="PROCESSOS DE COMPROVAÇÃO DELIBE"/>
      <sheetName val="Deliberado -Parcial"/>
      <sheetName val="Orçado x Deliberado - Geral"/>
      <sheetName val="Glosas 3ª RQ -"/>
      <sheetName val="Glosas Processos desarquivados "/>
      <sheetName val="Input"/>
      <sheetName val="De_Para"/>
      <sheetName val="De_Para1"/>
      <sheetName val="matrix"/>
      <sheetName val="contrib"/>
      <sheetName val="Repurchase"/>
      <sheetName val="proforma"/>
      <sheetName val="Struc"/>
      <sheetName val="Wet Seal Expenses"/>
      <sheetName val="De_Para2"/>
      <sheetName val="PROCESSOS_DE_COMPROVAÇÃO_DELIBE"/>
      <sheetName val="Deliberado_-Parcial"/>
      <sheetName val="Orçado_x_Deliberado_-_Geral"/>
      <sheetName val="Glosas_3ª_RQ_-"/>
      <sheetName val="Glosas_Processos_desarquivados_"/>
      <sheetName val="Wet_Seal_Expenses"/>
      <sheetName val="De_Para3"/>
      <sheetName val="PROCESSOS_DE_COMPROVAÇÃO_DELIB1"/>
      <sheetName val="Deliberado_-Parcial1"/>
      <sheetName val="Orçado_x_Deliberado_-_Geral1"/>
      <sheetName val="Glosas_3ª_RQ_-1"/>
      <sheetName val="Glosas_Processos_desarquivados1"/>
      <sheetName val="Wet_Seal_Expenses1"/>
      <sheetName val="Tab5-04p"/>
      <sheetName val="Orçamento"/>
      <sheetName val="BALANCE"/>
      <sheetName val="Modelo"/>
      <sheetName val="US GAAP"/>
      <sheetName val="MARZO REAL"/>
      <sheetName val="US_GAAP"/>
      <sheetName val="De_Para4"/>
      <sheetName val="PROCESSOS_DE_COMPROVAÇÃO_DELIB2"/>
      <sheetName val="Deliberado_-Parcial2"/>
      <sheetName val="Orçado_x_Deliberado_-_Geral2"/>
      <sheetName val="Glosas_3ª_RQ_-2"/>
      <sheetName val="Glosas_Processos_desarquivados2"/>
      <sheetName val="Wet_Seal_Expenses2"/>
      <sheetName val="De_Para5"/>
      <sheetName val="PROCESSOS_DE_COMPROVAÇÃO_DELIB3"/>
      <sheetName val="Deliberado_-Parcial3"/>
      <sheetName val="Orçado_x_Deliberado_-_Geral3"/>
      <sheetName val="Glosas_3ª_RQ_-3"/>
      <sheetName val="Glosas_Processos_desarquivados3"/>
      <sheetName val="Wet_Seal_Expenses3"/>
      <sheetName val="US_GAAP1"/>
      <sheetName val="MARZO_REAL"/>
      <sheetName val="De_Para6"/>
      <sheetName val="PROCESSOS_DE_COMPROVAÇÃO_DELIB4"/>
      <sheetName val="Deliberado_-Parcial4"/>
      <sheetName val="Orçado_x_Deliberado_-_Geral4"/>
      <sheetName val="Glosas_3ª_RQ_-4"/>
      <sheetName val="Glosas_Processos_desarquivados4"/>
      <sheetName val="Wet_Seal_Expenses4"/>
      <sheetName val="US_GAAP2"/>
      <sheetName val="MARZO_REAL1"/>
      <sheetName val="De_Para7"/>
      <sheetName val="PROCESSOS_DE_COMPROVAÇÃO_DELIB5"/>
      <sheetName val="Deliberado_-Parcial5"/>
      <sheetName val="Orçado_x_Deliberado_-_Geral5"/>
      <sheetName val="Glosas_3ª_RQ_-5"/>
      <sheetName val="Glosas_Processos_desarquivados5"/>
      <sheetName val="Wet_Seal_Expenses5"/>
      <sheetName val="US_GAAP3"/>
      <sheetName val="MARZO_REAL2"/>
      <sheetName val="De_Para8"/>
      <sheetName val="PROCESSOS_DE_COMPROVAÇÃO_DELIB6"/>
      <sheetName val="Deliberado_-Parcial6"/>
      <sheetName val="Orçado_x_Deliberado_-_Geral6"/>
      <sheetName val="Glosas_3ª_RQ_-6"/>
      <sheetName val="Glosas_Processos_desarquivados6"/>
      <sheetName val="Wet_Seal_Expenses6"/>
      <sheetName val="US_GAAP4"/>
      <sheetName val="MARZO_REAL3"/>
      <sheetName val="De_Para9"/>
      <sheetName val="PROCESSOS_DE_COMPROVAÇÃO_DELIB7"/>
      <sheetName val="Deliberado_-Parcial7"/>
      <sheetName val="Orçado_x_Deliberado_-_Geral7"/>
      <sheetName val="Glosas_3ª_RQ_-7"/>
      <sheetName val="Glosas_Processos_desarquivados7"/>
      <sheetName val="Wet_Seal_Expenses7"/>
      <sheetName val="US_GAAP5"/>
      <sheetName val="MARZO_REAL4"/>
      <sheetName val="Diferença Rede "/>
      <sheetName val="bol. acum."/>
      <sheetName val="0 - PUC"/>
      <sheetName val="SINAPI"/>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 sheetId="20"/>
      <sheetData sheetId="21"/>
      <sheetData sheetId="22" refreshError="1"/>
      <sheetData sheetId="23"/>
      <sheetData sheetId="24"/>
      <sheetData sheetId="25"/>
      <sheetData sheetId="26"/>
      <sheetData sheetId="27"/>
      <sheetData sheetId="28"/>
      <sheetData sheetId="29" refreshError="1"/>
      <sheetData sheetId="30" refreshError="1"/>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refreshError="1"/>
      <sheetData sheetId="46" refreshError="1"/>
      <sheetData sheetId="47" refreshError="1"/>
      <sheetData sheetId="48" refreshError="1"/>
      <sheetData sheetId="49" refreshError="1"/>
      <sheetData sheetId="50" refreshError="1"/>
      <sheetData sheetId="51" refreshError="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refreshError="1"/>
      <sheetData sheetId="105" refreshError="1"/>
      <sheetData sheetId="106" refreshError="1"/>
      <sheetData sheetId="107" refreshError="1"/>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TOC"/>
      <sheetName val="Input"/>
      <sheetName val="Inputs"/>
      <sheetName val="Assum"/>
      <sheetName val="Op-BS"/>
      <sheetName val="IS"/>
      <sheetName val="BSCF"/>
      <sheetName val="Ratios"/>
      <sheetName val="Sens"/>
      <sheetName val="Matrix"/>
      <sheetName val="Contrib"/>
      <sheetName val="AcqIS"/>
      <sheetName val="AcqBSCF"/>
      <sheetName val="AcqRat"/>
      <sheetName val="AcqDCF1"/>
      <sheetName val="AcqDCF2"/>
      <sheetName val="Wacc"/>
      <sheetName val="DCF-EBITDA"/>
      <sheetName val="Summary"/>
      <sheetName val="Macroeconomic"/>
      <sheetName val="Scenarios"/>
      <sheetName val="Projections"/>
      <sheetName val="Income Statement"/>
      <sheetName val="Balance Sheet - Cash Flow"/>
      <sheetName val="Module1"/>
      <sheetName val="Module2"/>
      <sheetName val="Module3"/>
      <sheetName val="Module4"/>
      <sheetName val="Receitas"/>
      <sheetName val=""/>
      <sheetName val="44"/>
      <sheetName val="48"/>
      <sheetName val="Income_Statement"/>
      <sheetName val="Balance_Sheet_-_Cash_Flow"/>
      <sheetName val="Plan2"/>
      <sheetName val="Lista"/>
      <sheetName val="Apoio"/>
      <sheetName val="2. Resumo de Elim."/>
      <sheetName val="Estrutura Função"/>
      <sheetName val="CONSSID12-96"/>
      <sheetName val="Planilha1"/>
      <sheetName val="Plan4"/>
      <sheetName val="Turno"/>
      <sheetName val="Validação de Dados"/>
      <sheetName val="Auxilio Criar PEP"/>
      <sheetName val="Detalhamento"/>
      <sheetName val="Graficos"/>
      <sheetName val="Status"/>
      <sheetName val="CADASTRO"/>
      <sheetName val="Aux"/>
      <sheetName val="Cover"/>
      <sheetName val="orçamento"/>
      <sheetName val="Income_Statement2"/>
      <sheetName val="Balance_Sheet_-_Cash_Flow2"/>
      <sheetName val="2__Resumo_de_Elim_1"/>
      <sheetName val="Estrutura_Função1"/>
      <sheetName val="Validação_de_Dados1"/>
      <sheetName val="Auxilio_Criar_PEP1"/>
      <sheetName val="Income_Statement1"/>
      <sheetName val="Balance_Sheet_-_Cash_Flow1"/>
      <sheetName val="2__Resumo_de_Elim_"/>
      <sheetName val="Estrutura_Função"/>
      <sheetName val="Validação_de_Dados"/>
      <sheetName val="Auxilio_Criar_PEP"/>
      <sheetName val="Income_Statement3"/>
      <sheetName val="Balance_Sheet_-_Cash_Flow3"/>
      <sheetName val="2__Resumo_de_Elim_2"/>
      <sheetName val="Estrutura_Função2"/>
      <sheetName val="Validação_de_Dados2"/>
      <sheetName val="Auxilio_Criar_PEP2"/>
      <sheetName val="PayTV"/>
      <sheetName val="Pres_Esc_Base_segmentos"/>
      <sheetName val="Evaluation - IPTV"/>
      <sheetName val="Evaluation_-_IPTV"/>
      <sheetName val="Códigos "/>
      <sheetName val="PRODUCAO"/>
      <sheetName val="market"/>
      <sheetName val="PREMISSAS"/>
      <sheetName val="PARÂMETROS"/>
      <sheetName val="Overige"/>
      <sheetName val="Oper"/>
      <sheetName val="Income_Statement4"/>
      <sheetName val="Balance_Sheet_-_Cash_Flow4"/>
      <sheetName val="2__Resumo_de_Elim_3"/>
      <sheetName val="Estrutura_Função3"/>
      <sheetName val="Validação_de_Dados3"/>
      <sheetName val="Auxilio_Criar_PEP3"/>
      <sheetName val="Evaluation_-_IPTV1"/>
      <sheetName val="Códigos_"/>
      <sheetName val="Cargo CC Set"/>
      <sheetName val="SCO_0507"/>
      <sheetName val="EMOP0607"/>
      <sheetName val="BU TV &amp; Ancillary"/>
      <sheetName val="Dados"/>
      <sheetName val="listas"/>
      <sheetName val="Cambio"/>
      <sheetName val="Lead"/>
      <sheetName val="Assump. "/>
      <sheetName val="Assumptions"/>
      <sheetName val="Income_Statement5"/>
      <sheetName val="Balance_Sheet_-_Cash_Flow5"/>
      <sheetName val="2__Resumo_de_Elim_4"/>
      <sheetName val="Estrutura_Função4"/>
      <sheetName val="Validação_de_Dados4"/>
      <sheetName val="Auxilio_Criar_PEP4"/>
      <sheetName val="Evaluation_-_IPTV2"/>
      <sheetName val="Códigos_1"/>
      <sheetName val="Cargo_CC_Set"/>
      <sheetName val="BU_TV_&amp;_Ancillary"/>
      <sheetName val="Assump__"/>
      <sheetName val="Income_Statement6"/>
      <sheetName val="Balance_Sheet_-_Cash_Flow6"/>
      <sheetName val="2__Resumo_de_Elim_5"/>
      <sheetName val="Estrutura_Função5"/>
      <sheetName val="Validação_de_Dados5"/>
      <sheetName val="Auxilio_Criar_PEP5"/>
      <sheetName val="Evaluation_-_IPTV3"/>
      <sheetName val="Códigos_2"/>
      <sheetName val="Cargo_CC_Set1"/>
      <sheetName val="BU_TV_&amp;_Ancillary1"/>
      <sheetName val="Assump__1"/>
      <sheetName val="BM Repasse Caixa"/>
      <sheetName val="Summary_T"/>
      <sheetName val="Ctrl"/>
      <sheetName val="Constants"/>
      <sheetName val="POP cost"/>
      <sheetName val="Base Data"/>
      <sheetName val="1.P&amp;L"/>
      <sheetName val="Buy Out Overview"/>
      <sheetName val="RealOut02"/>
      <sheetName val="Income_Statement7"/>
      <sheetName val="Balance_Sheet_-_Cash_Flow7"/>
      <sheetName val="2__Resumo_de_Elim_6"/>
      <sheetName val="Estrutura_Função6"/>
      <sheetName val="Validação_de_Dados6"/>
      <sheetName val="Auxilio_Criar_PEP6"/>
      <sheetName val="Evaluation_-_IPTV4"/>
      <sheetName val="Códigos_3"/>
      <sheetName val="Cargo_CC_Set2"/>
      <sheetName val="BU_TV_&amp;_Ancillary2"/>
      <sheetName val="Assump__2"/>
      <sheetName val="BM_Repasse_Caixa"/>
      <sheetName val="Base_Data"/>
      <sheetName val="1_P&amp;L"/>
      <sheetName val="Buy_Out_Overview"/>
      <sheetName val="Apresentação"/>
      <sheetName val="REqpt03"/>
      <sheetName val="Orcto"/>
      <sheetName val="Parameters"/>
      <sheetName val="Index"/>
      <sheetName val="1. Instellingen"/>
      <sheetName val="orcID nº1"/>
      <sheetName val="orc ID nº12"/>
      <sheetName val="orc ID nº13"/>
      <sheetName val="orc ID nº 14"/>
      <sheetName val="orc ID nº 15"/>
      <sheetName val="orc ID nº16"/>
      <sheetName val="orc ID nº17"/>
      <sheetName val="orc ID nº 18"/>
      <sheetName val="orc ID nº19"/>
      <sheetName val="orc ID nº2 "/>
      <sheetName val="orc ID nº3"/>
      <sheetName val="orcID nº4"/>
      <sheetName val="orcID nº5"/>
      <sheetName val="orcID nº6"/>
      <sheetName val="orcID nº7"/>
      <sheetName val="orc ID nº8"/>
      <sheetName val="orc ID nº9"/>
      <sheetName val="12-2007 - BACAXA"/>
      <sheetName val="Composições"/>
      <sheetName val="ENC SOCIAIS"/>
      <sheetName val="b-pav"/>
      <sheetName val="Controls"/>
      <sheetName val="WACC_PCM"/>
      <sheetName val="Cenarios"/>
      <sheetName val="FICBIOM"/>
      <sheetName val="FCF"/>
      <sheetName val="P&amp;L"/>
      <sheetName val="B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sheetData sheetId="33"/>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sheetData sheetId="51" refreshError="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refreshError="1"/>
      <sheetData sheetId="71" refreshError="1"/>
      <sheetData sheetId="72" refreshError="1"/>
      <sheetData sheetId="73"/>
      <sheetData sheetId="74" refreshError="1"/>
      <sheetData sheetId="75" refreshError="1"/>
      <sheetData sheetId="76" refreshError="1"/>
      <sheetData sheetId="77" refreshError="1"/>
      <sheetData sheetId="78" refreshError="1"/>
      <sheetData sheetId="79" refreshError="1"/>
      <sheetData sheetId="80" refreshError="1"/>
      <sheetData sheetId="81"/>
      <sheetData sheetId="82"/>
      <sheetData sheetId="83"/>
      <sheetData sheetId="84"/>
      <sheetData sheetId="85"/>
      <sheetData sheetId="86"/>
      <sheetData sheetId="87"/>
      <sheetData sheetId="88"/>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Cover"/>
      <sheetName val="Val summary"/>
      <sheetName val="DCF Title"/>
      <sheetName val="Detailed P&amp;L"/>
      <sheetName val="DCF Assumptions"/>
      <sheetName val="DCF P&amp;L"/>
      <sheetName val="DCF BS"/>
      <sheetName val="DCF Cashflow"/>
      <sheetName val="PV Calcs"/>
      <sheetName val="WACC (2)"/>
      <sheetName val="Synergies (3)"/>
      <sheetName val="Synergies (2)"/>
      <sheetName val="Cocos Title"/>
      <sheetName val="CoCo Multiples"/>
      <sheetName val="CoCo Base Data"/>
      <sheetName val="CoCo Activities"/>
      <sheetName val="CoTrans Title"/>
      <sheetName val="CoTrans Multiples"/>
      <sheetName val="CoTrans Base Data"/>
      <sheetName val="&lt;&lt;Base data, don't print&gt;&gt;"/>
      <sheetName val="US business old"/>
      <sheetName val="NP North"/>
      <sheetName val="NP south"/>
      <sheetName val="Krems"/>
      <sheetName val="USA"/>
      <sheetName val="China"/>
      <sheetName val="Aggregation"/>
      <sheetName val="Polyester total"/>
      <sheetName val="WACC"/>
      <sheetName val="Synergies"/>
      <sheetName val="fixed costs"/>
      <sheetName val="Macros"/>
      <sheetName val="CONSSID12-96"/>
      <sheetName val="Manual"/>
      <sheetName val="Val_summary"/>
      <sheetName val="DCF_Title"/>
      <sheetName val="Detailed_P&amp;L"/>
      <sheetName val="DCF_Assumptions"/>
      <sheetName val="DCF_P&amp;L"/>
      <sheetName val="DCF_BS"/>
      <sheetName val="DCF_Cashflow"/>
      <sheetName val="PV_Calcs"/>
      <sheetName val="WACC_(2)"/>
      <sheetName val="Synergies_(3)"/>
      <sheetName val="Synergies_(2)"/>
      <sheetName val="Cocos_Title"/>
      <sheetName val="CoCo_Multiples"/>
      <sheetName val="CoCo_Base_Data"/>
      <sheetName val="CoCo_Activities"/>
      <sheetName val="CoTrans_Title"/>
      <sheetName val="CoTrans_Multiples"/>
      <sheetName val="CoTrans_Base_Data"/>
      <sheetName val="&lt;&lt;Base_data,_don't_print&gt;&gt;"/>
      <sheetName val="US_business_old"/>
      <sheetName val="NP_North"/>
      <sheetName val="NP_south"/>
      <sheetName val="Polyester_total"/>
      <sheetName val="fixed_costs"/>
      <sheetName val="Pendencias MOdelo"/>
      <sheetName val="Painel de Performance"/>
      <sheetName val="Apresentação"/>
      <sheetName val="Dem. Fin."/>
      <sheetName val="Entrada de Dados"/>
      <sheetName val="Receita"/>
      <sheetName val="Capex"/>
      <sheetName val="Dados Retroativos"/>
      <sheetName val="Crono. Físico Financ CAPEX"/>
      <sheetName val="Check Formulas"/>
      <sheetName val="Resumo Econ-Financ"/>
      <sheetName val="Infos Gerais"/>
      <sheetName val="Perg. e resp."/>
      <sheetName val="Apresentação old"/>
      <sheetName val="Premissas"/>
      <sheetName val="Dívida Existente"/>
      <sheetName val="Novas Dívidas"/>
      <sheetName val="Kgiro"/>
      <sheetName val="Impostos Parcelados"/>
      <sheetName val="Cenarios Consol"/>
      <sheetName val="Input Cen 0"/>
      <sheetName val="Ônus_Outorga"/>
      <sheetName val="Demais Financ"/>
      <sheetName val="Dividendos+JSCP"/>
      <sheetName val="Depreciação"/>
      <sheetName val="Impostos"/>
      <sheetName val="Conta Reserva"/>
      <sheetName val="PL"/>
      <sheetName val="Equivalencia"/>
      <sheetName val="ppt."/>
      <sheetName val="DADOS_DASH"/>
      <sheetName val="Dados"/>
      <sheetName val="WACC_PCM"/>
      <sheetName val="Inputs"/>
      <sheetName val="FluxoCaixaIndexado"/>
      <sheetName val="Orcto"/>
      <sheetName val="parameters"/>
      <sheetName val="Assum"/>
      <sheetName val="orçamento"/>
      <sheetName val="Plan1"/>
      <sheetName val="AbertInvest"/>
      <sheetName val="Assumptions"/>
      <sheetName val="Company data"/>
      <sheetName val="Opções"/>
      <sheetName val="Oper"/>
      <sheetName val="         Title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Set>
  </externalBook>
</externalLink>
</file>

<file path=xl/externalLinks/externalLink7.xml><?xml version="1.0" encoding="utf-8"?>
<externalLink xmlns="http://schemas.openxmlformats.org/spreadsheetml/2006/main">
  <externalBook xmlns:r="http://schemas.openxmlformats.org/officeDocument/2006/relationships" r:id="rId1">
    <sheetNames>
      <sheetName val="DADOS COLETATO"/>
      <sheetName val="MEMORIAL DESCRITIVO"/>
      <sheetName val="CAUCULO"/>
      <sheetName val="Gráfico"/>
      <sheetName val="Plan1"/>
      <sheetName val="DADOS_COLETATO"/>
      <sheetName val="MEMORIAL_DESCRITIVO"/>
      <sheetName val="12_1"/>
      <sheetName val="SCO0504"/>
      <sheetName val="Resumo_do_Consolidado"/>
      <sheetName val="Predio_02_andares"/>
      <sheetName val="Emop0205"/>
      <sheetName val="pontes"/>
      <sheetName val="BDI Com"/>
      <sheetName val="C_268-038"/>
      <sheetName val="C_268-039"/>
      <sheetName val="C_268-041"/>
      <sheetName val="C_268-042"/>
      <sheetName val="C_268-043"/>
      <sheetName val="C_268-044"/>
      <sheetName val="C_268-045"/>
      <sheetName val="C_268-046"/>
      <sheetName val="C_268-047"/>
      <sheetName val="C_268-048"/>
      <sheetName val="C_268-049"/>
      <sheetName val="C_268-060"/>
      <sheetName val="C_268-061"/>
      <sheetName val="E-001"/>
      <sheetName val="E-002"/>
      <sheetName val="E-004"/>
      <sheetName val="E-005"/>
      <sheetName val="E-006"/>
      <sheetName val="E-007"/>
      <sheetName val="E-008"/>
      <sheetName val="E-009"/>
      <sheetName val="E-010"/>
      <sheetName val="E-011"/>
      <sheetName val="E-012"/>
      <sheetName val="E-013"/>
      <sheetName val="E-014"/>
      <sheetName val="E-015"/>
      <sheetName val="E-017"/>
      <sheetName val="E-018"/>
      <sheetName val="E-019"/>
      <sheetName val="E-020"/>
      <sheetName val="E-021"/>
      <sheetName val="E-022"/>
      <sheetName val="E-023"/>
      <sheetName val="E-024"/>
      <sheetName val="E-025"/>
      <sheetName val="E-026"/>
      <sheetName val="E-027"/>
      <sheetName val="E-028"/>
      <sheetName val="E-029"/>
      <sheetName val="E-030"/>
      <sheetName val="E-031"/>
      <sheetName val="E-032"/>
      <sheetName val="E-033"/>
      <sheetName val="E-034"/>
      <sheetName val="E-035"/>
      <sheetName val="E-036"/>
      <sheetName val="E-037"/>
      <sheetName val="E-038"/>
      <sheetName val="E-039"/>
      <sheetName val="E-040"/>
      <sheetName val="Rerratificação"/>
      <sheetName val="Resumo Funasa"/>
      <sheetName val="Resumo RERRA"/>
      <sheetName val="MAR01"/>
      <sheetName val="MED_SET"/>
      <sheetName val="2002CB"/>
      <sheetName val="Apresentação"/>
      <sheetName val="DADOS_COLETATO1"/>
      <sheetName val="MEMORIAL_DESCRITIVO1"/>
      <sheetName val="ORÇAMENTO RESUMO"/>
      <sheetName val="plmuseu"/>
      <sheetName val="DADOS_COLETATO2"/>
      <sheetName val="MEMORIAL_DESCRITIVO2"/>
      <sheetName val="DADOS_COLETATO3"/>
      <sheetName val="MEMORIAL_DESCRITIVO3"/>
      <sheetName val="DADOS_COLETATO4"/>
      <sheetName val="MEMORIAL_DESCRITIVO4"/>
      <sheetName val="DADOS_COLETATO6"/>
      <sheetName val="MEMORIAL_DESCRITIVO6"/>
      <sheetName val="DADOS_COLETATO5"/>
      <sheetName val="MEMORIAL_DESCRITIVO5"/>
      <sheetName val="DADOS_COLETATO7"/>
      <sheetName val="MEMORIAL_DESCRITIVO7"/>
      <sheetName val="DADOS_COLETATO8"/>
      <sheetName val="MEMORIAL_DESCRITIVO8"/>
      <sheetName val="DADOS_COLETATO9"/>
      <sheetName val="MEMORIAL_DESCRITIVO9"/>
      <sheetName val="DADOS_COLETATO10"/>
      <sheetName val="MEMORIAL_DESCRITIVO10"/>
      <sheetName val="DADOS_COLETATO11"/>
      <sheetName val="MEMORIAL_DESCRITIVO11"/>
      <sheetName val="DADOS_COLETATO12"/>
      <sheetName val="MEMORIAL_DESCRITIVO12"/>
    </sheetNames>
    <sheetDataSet>
      <sheetData sheetId="0" refreshError="1"/>
      <sheetData sheetId="1" refreshError="1"/>
      <sheetData sheetId="2" refreshError="1"/>
      <sheetData sheetId="3" refreshError="1"/>
      <sheetData sheetId="4" refreshError="1"/>
      <sheetData sheetId="5"/>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sheetData sheetId="73"/>
      <sheetData sheetId="74" refreshError="1"/>
      <sheetData sheetId="75" refreshError="1"/>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Set>
  </externalBook>
</externalLink>
</file>

<file path=xl/externalLinks/externalLink8.xml><?xml version="1.0" encoding="utf-8"?>
<externalLink xmlns="http://schemas.openxmlformats.org/spreadsheetml/2006/main">
  <externalBook xmlns:r="http://schemas.openxmlformats.org/officeDocument/2006/relationships" r:id="rId1">
    <sheetNames>
      <sheetName val="Balanço"/>
      <sheetName val="Bal-NL"/>
      <sheetName val="Imobiliz"/>
      <sheetName val="Abert.Mensal Investim "/>
      <sheetName val="Invest Apres"/>
      <sheetName val="Pessoal"/>
      <sheetName val="Receita"/>
      <sheetName val="NIC"/>
      <sheetName val="Dados"/>
      <sheetName val="GrupoDiret"/>
      <sheetName val="GastosContab"/>
      <sheetName val="ReclassifGerencial"/>
      <sheetName val="FinalGerencial"/>
      <sheetName val="DCF Assumptions"/>
      <sheetName val="PV Calcs"/>
      <sheetName val="Oper"/>
      <sheetName val="orçamento"/>
      <sheetName val="Abert_Mensal_Investim_"/>
      <sheetName val="Invest_Apres"/>
      <sheetName val="DCF_Assumptions"/>
      <sheetName val="PV_Calcs"/>
      <sheetName val="Abert_Mensal_Investim_1"/>
      <sheetName val="Invest_Apres1"/>
      <sheetName val="DCF_Assumptions1"/>
      <sheetName val="PV_Calcs1"/>
      <sheetName val="Control"/>
      <sheetName val="Abert_Mensal_Investim_2"/>
      <sheetName val="Invest_Apres2"/>
      <sheetName val="DCF_Assumptions2"/>
      <sheetName val="PV_Calcs2"/>
      <sheetName val="Capa"/>
      <sheetName val="2002CB"/>
      <sheetName val="P&amp;L"/>
      <sheetName val="Cargo CC Set"/>
      <sheetName val="         Title              "/>
      <sheetName val="P&amp;L consolidated"/>
      <sheetName val="Cenarios"/>
      <sheetName val="FCF"/>
      <sheetName val="Inputs"/>
      <sheetName val="BS"/>
      <sheetName val="aux"/>
      <sheetName val="Base data"/>
      <sheetName val="FluxoCaixaIndexado"/>
      <sheetName val="Parameter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sheetData sheetId="25" refreshError="1"/>
      <sheetData sheetId="26"/>
      <sheetData sheetId="27"/>
      <sheetData sheetId="28"/>
      <sheetData sheetId="29"/>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Set>
  </externalBook>
</externalLink>
</file>

<file path=xl/externalLinks/externalLink9.xml><?xml version="1.0" encoding="utf-8"?>
<externalLink xmlns="http://schemas.openxmlformats.org/spreadsheetml/2006/main">
  <externalBook xmlns:r="http://schemas.openxmlformats.org/officeDocument/2006/relationships" r:id="rId1">
    <sheetNames>
      <sheetName val="orçamento"/>
      <sheetName val="forecast"/>
      <sheetName val="anterior"/>
      <sheetName val="atual"/>
      <sheetName val="apresent"/>
      <sheetName val="Dados"/>
      <sheetName val="Oper"/>
      <sheetName val="Imobiliz"/>
      <sheetName val="Overige"/>
      <sheetName val="DCF Assumptions"/>
      <sheetName val="PV Calcs"/>
      <sheetName val="P&amp;L consolidated"/>
      <sheetName val="         Title              "/>
      <sheetName val="CAPEX CUSTO"/>
      <sheetName val="O x R"/>
      <sheetName val="Sheet2"/>
      <sheetName val="PESOS PARA CRONOGRAMA"/>
      <sheetName val="conssid12-96"/>
      <sheetName val="Control Panel"/>
      <sheetName val="Plan1"/>
      <sheetName val="FICBIOM"/>
      <sheetName val="1.P&amp;L"/>
      <sheetName val="Buy Out Overview"/>
      <sheetName val="Orcto"/>
      <sheetName val="Control"/>
      <sheetName val="REqpt0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10.xml><?xml version="1.0" encoding="utf-8"?>
<externalLink xmlns="http://schemas.openxmlformats.org/spreadsheetml/2006/main">
  <externalBook xmlns:r="http://schemas.openxmlformats.org/officeDocument/2006/relationships" r:id="rId1">
    <sheetNames>
      <sheetName val="orçamento"/>
      <sheetName val="forecast"/>
      <sheetName val="anterior"/>
      <sheetName val="atual"/>
      <sheetName val="apresent"/>
      <sheetName val="Oper"/>
      <sheetName val="Opções"/>
      <sheetName val="Dados"/>
      <sheetName val="DADOS COLETATO"/>
      <sheetName val="Inputs"/>
      <sheetName val="FCF"/>
      <sheetName val="P&amp;L"/>
      <sheetName val="BS"/>
      <sheetName val="Control"/>
      <sheetName val="Plan1"/>
      <sheetName val="Base Data"/>
      <sheetName val="BDI Com"/>
      <sheetName val="C_268-038"/>
      <sheetName val="C_268-039"/>
      <sheetName val="C_268-041"/>
      <sheetName val="C_268-042"/>
      <sheetName val="C_268-043"/>
      <sheetName val="C_268-044"/>
      <sheetName val="C_268-045"/>
      <sheetName val="C_268-046"/>
      <sheetName val="C_268-047"/>
      <sheetName val="C_268-048"/>
      <sheetName val="C_268-049"/>
      <sheetName val="C_268-060"/>
      <sheetName val="C_268-061"/>
      <sheetName val="E-001"/>
      <sheetName val="E-002"/>
      <sheetName val="E-004"/>
      <sheetName val="E-005"/>
      <sheetName val="E-006"/>
      <sheetName val="E-007"/>
      <sheetName val="E-008"/>
      <sheetName val="E-009"/>
      <sheetName val="E-010"/>
      <sheetName val="E-011"/>
      <sheetName val="E-012"/>
      <sheetName val="E-013"/>
      <sheetName val="E-014"/>
      <sheetName val="E-015"/>
      <sheetName val="E-017"/>
      <sheetName val="E-018"/>
      <sheetName val="E-019"/>
      <sheetName val="E-020"/>
      <sheetName val="E-021"/>
      <sheetName val="E-022"/>
      <sheetName val="E-023"/>
      <sheetName val="E-024"/>
      <sheetName val="E-025"/>
      <sheetName val="E-026"/>
      <sheetName val="E-027"/>
      <sheetName val="E-028"/>
      <sheetName val="E-029"/>
      <sheetName val="E-030"/>
      <sheetName val="E-031"/>
      <sheetName val="E-032"/>
      <sheetName val="E-033"/>
      <sheetName val="E-034"/>
      <sheetName val="E-035"/>
      <sheetName val="E-036"/>
      <sheetName val="E-037"/>
      <sheetName val="E-038"/>
      <sheetName val="E-039"/>
      <sheetName val="E-040"/>
      <sheetName val="Assum"/>
      <sheetName val="BU TV &amp; Ancillary"/>
      <sheetName val="Parameters"/>
      <sheetName val="Sheet2"/>
      <sheetName val="Orcto"/>
      <sheetName val="FluxoCaixaIndexad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Set>
  </externalBook>
</externalLink>
</file>

<file path=xl/externalLinks/externalLink11.xml><?xml version="1.0" encoding="utf-8"?>
<externalLink xmlns="http://schemas.openxmlformats.org/spreadsheetml/2006/main">
  <externalBook xmlns:r="http://schemas.openxmlformats.org/officeDocument/2006/relationships" r:id="rId1">
    <sheetNames>
      <sheetName val="Index"/>
      <sheetName val="2.1"/>
      <sheetName val="3.10"/>
      <sheetName val="3.11"/>
      <sheetName val="3.12"/>
      <sheetName val="3.20"/>
      <sheetName val="3.25"/>
      <sheetName val="3.3"/>
      <sheetName val="3.7"/>
      <sheetName val="3.85"/>
      <sheetName val="3.9"/>
      <sheetName val="4.2"/>
      <sheetName val="1. Instellingen"/>
      <sheetName val="Controllers"/>
      <sheetName val="DCF Assumptions"/>
      <sheetName val="PV Calcs"/>
      <sheetName val="conssid12-96"/>
      <sheetName val="2_1"/>
      <sheetName val="3_10"/>
      <sheetName val="3_11"/>
      <sheetName val="3_12"/>
      <sheetName val="3_20"/>
      <sheetName val="3_25"/>
      <sheetName val="3_3"/>
      <sheetName val="3_7"/>
      <sheetName val="3_85"/>
      <sheetName val="3_9"/>
      <sheetName val="4_2"/>
      <sheetName val="1__Instellingen"/>
      <sheetName val="DCF_Assumptions"/>
      <sheetName val="PV_Calcs"/>
      <sheetName val="2_11"/>
      <sheetName val="3_101"/>
      <sheetName val="3_111"/>
      <sheetName val="3_121"/>
      <sheetName val="3_201"/>
      <sheetName val="3_251"/>
      <sheetName val="3_31"/>
      <sheetName val="3_71"/>
      <sheetName val="3_851"/>
      <sheetName val="3_91"/>
      <sheetName val="4_21"/>
      <sheetName val="1__Instellingen1"/>
      <sheetName val="DCF_Assumptions1"/>
      <sheetName val="PV_Calcs1"/>
      <sheetName val="2_12"/>
      <sheetName val="3_102"/>
      <sheetName val="3_112"/>
      <sheetName val="3_122"/>
      <sheetName val="3_202"/>
      <sheetName val="3_252"/>
      <sheetName val="3_32"/>
      <sheetName val="3_72"/>
      <sheetName val="3_852"/>
      <sheetName val="3_92"/>
      <sheetName val="4_22"/>
      <sheetName val="1__Instellingen2"/>
      <sheetName val="DCF_Assumptions2"/>
      <sheetName val="PV_Calcs2"/>
      <sheetName val="DADOS COLETATO"/>
      <sheetName val="Oper"/>
      <sheetName val="P&amp;L"/>
      <sheetName val="CAT EMOP"/>
      <sheetName val="Cat Elem +Reut"/>
      <sheetName val="Composição"/>
      <sheetName val="ELEM0910"/>
      <sheetName val="Elementar"/>
      <sheetName val="EMOP201202"/>
      <sheetName val="Espelho"/>
      <sheetName val="Planilha"/>
      <sheetName val="aux"/>
      <sheetName val="Fresagem de Pista Ago-98"/>
      <sheetName val="anterior"/>
      <sheetName val="orçamento"/>
      <sheetName val="atual"/>
      <sheetName val="memo"/>
      <sheetName val="ENC SOCIAIS"/>
      <sheetName val="3-Material de consum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Set>
  </externalBook>
</externalLink>
</file>

<file path=xl/externalLinks/externalLink12.xml><?xml version="1.0" encoding="utf-8"?>
<externalLink xmlns="http://schemas.openxmlformats.org/spreadsheetml/2006/main">
  <externalBook xmlns:r="http://schemas.openxmlformats.org/officeDocument/2006/relationships" r:id="rId1">
    <sheetNames>
      <sheetName val="Title"/>
      <sheetName val="Summary"/>
      <sheetName val="Stats"/>
      <sheetName val="Uplift"/>
      <sheetName val="P&amp;L1"/>
      <sheetName val="P&amp;L2"/>
      <sheetName val="Balance sheet"/>
      <sheetName val="Synergies"/>
      <sheetName val="Sensitivity"/>
      <sheetName val="Base data"/>
      <sheetName val="Bidder"/>
      <sheetName val="Target1"/>
      <sheetName val="Target2"/>
      <sheetName val="Graphs"/>
      <sheetName val="Notes"/>
      <sheetName val="Macros"/>
      <sheetName val="Protection"/>
      <sheetName val="Index"/>
      <sheetName val="1. Instellingen"/>
      <sheetName val="Assum"/>
      <sheetName val="orçamento"/>
      <sheetName val="Balance_sheet"/>
      <sheetName val="Base_data"/>
      <sheetName val="1__Instellingen"/>
      <sheetName val="Balance_sheet1"/>
      <sheetName val="Base_data1"/>
      <sheetName val="1__Instellingen1"/>
      <sheetName val="P&amp;L consolidated"/>
      <sheetName val="Balance_sheet2"/>
      <sheetName val="Base_data2"/>
      <sheetName val="1__Instellingen2"/>
      <sheetName val="Dados"/>
      <sheetName val="Parameters"/>
      <sheetName val="AbertInvest"/>
      <sheetName val="conssid12-96"/>
      <sheetName val="LD-PS-PMC-RMA"/>
      <sheetName val="Summary_T"/>
      <sheetName val="         Title              "/>
      <sheetName val="fluxo de caixa"/>
      <sheetName val="LISTAGEM"/>
      <sheetName val="anterior"/>
      <sheetName val="BLOCOS ANCORAGEM"/>
      <sheetName val="MAPÃO"/>
      <sheetName val="Plan1"/>
      <sheetName val="Cargo CC Set"/>
      <sheetName val="P&amp;L"/>
    </sheetNames>
    <sheetDataSet>
      <sheetData sheetId="0"/>
      <sheetData sheetId="1" refreshError="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sheetData sheetId="22"/>
      <sheetData sheetId="23"/>
      <sheetData sheetId="24"/>
      <sheetData sheetId="25"/>
      <sheetData sheetId="26"/>
      <sheetData sheetId="27" refreshError="1"/>
      <sheetData sheetId="28"/>
      <sheetData sheetId="29"/>
      <sheetData sheetId="30"/>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Set>
  </externalBook>
</externalLink>
</file>

<file path=xl/externalLinks/externalLink13.xml><?xml version="1.0" encoding="utf-8"?>
<externalLink xmlns="http://schemas.openxmlformats.org/spreadsheetml/2006/main">
  <externalBook xmlns:r="http://schemas.openxmlformats.org/officeDocument/2006/relationships" r:id="rId1">
    <sheetNames>
      <sheetName val="Orcto"/>
      <sheetName val="RealOut03"/>
      <sheetName val="Códigos"/>
      <sheetName val="PMR"/>
      <sheetName val="Custos"/>
      <sheetName val="Desp"/>
      <sheetName val="CAPA"/>
      <sheetName val="QdePess"/>
      <sheetName val="Patrimonial"/>
      <sheetName val="Resultado"/>
      <sheetName val="Receitas"/>
      <sheetName val="OutrasReceitas"/>
      <sheetName val="Obras"/>
      <sheetName val="Eqpto"/>
      <sheetName val="GEPROJ"/>
      <sheetName val="FluxoCaixa"/>
      <sheetName val="GeracaoCaixa"/>
      <sheetName val="Summary"/>
      <sheetName val="anterior"/>
      <sheetName val="orçamento"/>
      <sheetName val="atual"/>
      <sheetName val="DCF Assumptions"/>
      <sheetName val="PV Calcs"/>
      <sheetName val="DCF_Assumptions"/>
      <sheetName val="PV_Calcs"/>
      <sheetName val="DCF_Assumptions1"/>
      <sheetName val="PV_Calcs1"/>
      <sheetName val="DCF_Assumptions2"/>
      <sheetName val="PV_Calcs2"/>
      <sheetName val="forecast"/>
      <sheetName val="Control"/>
      <sheetName val="Control Panel"/>
      <sheetName val="REqpt03"/>
      <sheetName val="AbertInvest"/>
      <sheetName val="Oper"/>
      <sheetName val="Assum"/>
      <sheetName val="Inputs"/>
      <sheetName val="WACC_PCM"/>
      <sheetName val="parameters"/>
      <sheetName val="Controls"/>
      <sheetName val="Base Data"/>
      <sheetName val="BU TV &amp; Ancillary"/>
      <sheetName val="Dados"/>
      <sheetName val="1.P&amp;L"/>
      <sheetName val="Buy Out Overview"/>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 sheetId="24"/>
      <sheetData sheetId="25"/>
      <sheetData sheetId="26"/>
      <sheetData sheetId="27"/>
      <sheetData sheetId="28"/>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14.xml><?xml version="1.0" encoding="utf-8"?>
<externalLink xmlns="http://schemas.openxmlformats.org/spreadsheetml/2006/main">
  <externalBook xmlns:r="http://schemas.openxmlformats.org/officeDocument/2006/relationships" r:id="rId1">
    <sheetNames>
      <sheetName val="InvEng"/>
      <sheetName val="Orcto"/>
      <sheetName val="Atual"/>
      <sheetName val="Dados"/>
      <sheetName val="Oper"/>
      <sheetName val="Plan1"/>
      <sheetName val="REqpt03"/>
      <sheetName val="Cargo CC Set"/>
      <sheetName val="orçamento"/>
      <sheetName val="anterior"/>
      <sheetName val="Controls"/>
      <sheetName val="DCF Assumptions"/>
      <sheetName val="PV Calcs"/>
      <sheetName val="quadro ii "/>
      <sheetName val="Company data"/>
      <sheetName val="Cover"/>
      <sheetName val="Control Panel"/>
      <sheetName val="Imobiliz"/>
      <sheetName val="CAPEX CUSTO"/>
      <sheetName val="O x 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5.xml><?xml version="1.0" encoding="utf-8"?>
<externalLink xmlns="http://schemas.openxmlformats.org/spreadsheetml/2006/main">
  <externalBook xmlns:r="http://schemas.openxmlformats.org/officeDocument/2006/relationships" r:id="rId1">
    <sheetNames>
      <sheetName val="2013"/>
      <sheetName val="Evolução"/>
      <sheetName val="Base_folha"/>
      <sheetName val="Cargo CC Set"/>
      <sheetName val="Atual"/>
      <sheetName val="Orcto"/>
      <sheetName val="Summary"/>
      <sheetName val="Cargo_CC_Set"/>
      <sheetName val="Cargo_CC_Set1"/>
      <sheetName val="Cargo_CC_Set2"/>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sheetData sheetId="9"/>
    </sheetDataSet>
  </externalBook>
</externalLink>
</file>

<file path=xl/externalLinks/externalLink16.xml><?xml version="1.0" encoding="utf-8"?>
<externalLink xmlns="http://schemas.openxmlformats.org/spreadsheetml/2006/main">
  <externalBook xmlns:r="http://schemas.openxmlformats.org/officeDocument/2006/relationships" r:id="rId1">
    <sheetNames>
      <sheetName val="Quadro II "/>
      <sheetName val="Quadro II - Por Obra"/>
      <sheetName val="Quadro_II_"/>
      <sheetName val="Quadro_II_-_Por_Obra"/>
      <sheetName val="Quadro_II_1"/>
      <sheetName val="Quadro_II_-_Por_Obra1"/>
      <sheetName val="Quadro_II_2"/>
      <sheetName val="Quadro_II_-_Por_Obra2"/>
      <sheetName val="Atual"/>
      <sheetName val="Orcto"/>
      <sheetName val="Fator K"/>
      <sheetName val="Anex V Plan. Equipam."/>
      <sheetName val="Anex. I Lim. Sup"/>
      <sheetName val="planilha geral modificada"/>
      <sheetName val="Anex VIII Encargos Soc"/>
    </sheetNames>
    <sheetDataSet>
      <sheetData sheetId="0" refreshError="1"/>
      <sheetData sheetId="1" refreshError="1"/>
      <sheetData sheetId="2"/>
      <sheetData sheetId="3"/>
      <sheetData sheetId="4"/>
      <sheetData sheetId="5"/>
      <sheetData sheetId="6"/>
      <sheetData sheetId="7"/>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7.xml><?xml version="1.0" encoding="utf-8"?>
<externalLink xmlns="http://schemas.openxmlformats.org/spreadsheetml/2006/main">
  <externalBook xmlns:r="http://schemas.openxmlformats.org/officeDocument/2006/relationships" r:id="rId1">
    <sheetNames>
      <sheetName val="Index"/>
      <sheetName val="DCF-AS1"/>
      <sheetName val="DCF-AS2"/>
      <sheetName val="OutputFinan-AS"/>
      <sheetName val="Finan-AS"/>
      <sheetName val="DCF-MC1"/>
      <sheetName val="DCF-MC2"/>
      <sheetName val="OutputFinan-MC"/>
      <sheetName val="Finan-MC"/>
      <sheetName val="Capacidade-AS"/>
      <sheetName val="Capacidade-MC"/>
      <sheetName val="Preços-Margens"/>
      <sheetName val="Premissas"/>
      <sheetName val="Depr"/>
      <sheetName val="Royal"/>
      <sheetName val="Debt-Astra"/>
      <sheetName val="Debt-MC"/>
      <sheetName val="ICMS-Equatorial"/>
      <sheetName val="ICMS-Astra"/>
      <sheetName val="Taxes"/>
      <sheetName val="Holders"/>
      <sheetName val="Summary DCF-AS"/>
      <sheetName val="Summary DCF-MC"/>
      <sheetName val="Rol- Est"/>
      <sheetName val="Charts"/>
      <sheetName val="Prazos e Taxas"/>
      <sheetName val="Financiamento"/>
      <sheetName val="Contábil"/>
      <sheetName val="Sheet2"/>
      <sheetName val="Conv. Debt"/>
      <sheetName val="Preferred"/>
      <sheetName val="Conv. Pref."/>
      <sheetName val="Options"/>
      <sheetName val="Shares Outstanding"/>
      <sheetName val="Firm Value"/>
      <sheetName val="Premium"/>
      <sheetName val="Check"/>
      <sheetName val="Jangada Modelo06181"/>
      <sheetName val="Base_folha"/>
      <sheetName val="anterior"/>
      <sheetName val="forecast"/>
      <sheetName val="orçamento"/>
      <sheetName val="atual"/>
      <sheetName val="Oper"/>
      <sheetName val="Summary_DCF-AS"/>
      <sheetName val="Summary_DCF-MC"/>
      <sheetName val="Rol-_Est"/>
      <sheetName val="Prazos_e_Taxas"/>
      <sheetName val="Conv__Debt"/>
      <sheetName val="Conv__Pref_"/>
      <sheetName val="Shares_Outstanding"/>
      <sheetName val="Firm_Value"/>
      <sheetName val="Jangada_Modelo06181"/>
      <sheetName val="Summary_DCF-AS1"/>
      <sheetName val="Summary_DCF-MC1"/>
      <sheetName val="Rol-_Est1"/>
      <sheetName val="Prazos_e_Taxas1"/>
      <sheetName val="Conv__Debt1"/>
      <sheetName val="Conv__Pref_1"/>
      <sheetName val="Shares_Outstanding1"/>
      <sheetName val="Firm_Value1"/>
      <sheetName val="Jangada_Modelo061811"/>
      <sheetName val="Plan1"/>
      <sheetName val="REqpt03"/>
      <sheetName val="AbertInvest"/>
      <sheetName val="Orcto"/>
      <sheetName val="DADOS"/>
      <sheetName val="Summary_DCF-AS2"/>
      <sheetName val="Summary_DCF-MC2"/>
      <sheetName val="Rol-_Est2"/>
      <sheetName val="Prazos_e_Taxas2"/>
      <sheetName val="Conv__Debt2"/>
      <sheetName val="Conv__Pref_2"/>
      <sheetName val="Shares_Outstanding2"/>
      <sheetName val="Firm_Value2"/>
      <sheetName val="Jangada_Modelo061812"/>
      <sheetName val="Fator K"/>
      <sheetName val="Anex V Plan. Equipam."/>
      <sheetName val="Anex. I Lim. Sup"/>
      <sheetName val="Anex VIII Encargos Soc"/>
      <sheetName val="Plan2"/>
      <sheetName val="Resultado"/>
      <sheetName val="conssid12-96"/>
      <sheetName val="Control Panel"/>
      <sheetName val="Assump. "/>
      <sheetName val="BRADESCO - 2ª"/>
      <sheetName val="BRADESCO - SAMPCO (2)"/>
      <sheetName val="ING US$10MM"/>
      <sheetName val="ITAÚ US$ 23MM"/>
      <sheetName val="ITAÚ"/>
      <sheetName val="OCTAGON"/>
      <sheetName val="RABOBANK US$ 20MM"/>
      <sheetName val="RABOBANK US$ 40MM"/>
      <sheetName val="SAFRA - US$10"/>
      <sheetName val="SAFRA - US$5"/>
      <sheetName val="SAFRA - US$5 (2)"/>
      <sheetName val="BU TV &amp; Ancillary"/>
      <sheetName val="Summary_T"/>
      <sheetName val="Overig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refreshError="1"/>
      <sheetData sheetId="63" refreshError="1"/>
      <sheetData sheetId="64" refreshError="1"/>
      <sheetData sheetId="65" refreshError="1"/>
      <sheetData sheetId="66" refreshError="1"/>
      <sheetData sheetId="67"/>
      <sheetData sheetId="68"/>
      <sheetData sheetId="69"/>
      <sheetData sheetId="70"/>
      <sheetData sheetId="71"/>
      <sheetData sheetId="72"/>
      <sheetData sheetId="73"/>
      <sheetData sheetId="74"/>
      <sheetData sheetId="75"/>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Set>
  </externalBook>
</externalLink>
</file>

<file path=xl/externalLinks/externalLink18.xml><?xml version="1.0" encoding="utf-8"?>
<externalLink xmlns="http://schemas.openxmlformats.org/spreadsheetml/2006/main">
  <externalBook xmlns:r="http://schemas.openxmlformats.org/officeDocument/2006/relationships" r:id="rId1">
    <sheetNames>
      <sheetName val="Plan1"/>
      <sheetName val="Placar"/>
      <sheetName val="Gráficos"/>
      <sheetName val="Agência MENSAL"/>
      <sheetName val="base"/>
      <sheetName val="Premissas"/>
      <sheetName val="anterior"/>
      <sheetName val="orçamento"/>
      <sheetName val="atual"/>
      <sheetName val="Oper"/>
      <sheetName val="Agência_MENSAL"/>
      <sheetName val="Agência_MENSAL1"/>
      <sheetName val="AbertInvest"/>
      <sheetName val="Resultado"/>
      <sheetName val="Agência_MENSAL2"/>
      <sheetName val="1.P&amp;L"/>
      <sheetName val="Buy Out Overview"/>
      <sheetName val="Base_folha"/>
      <sheetName val="Company data"/>
      <sheetName val="Cover"/>
      <sheetName val="Parameters"/>
      <sheetName val="forecast"/>
      <sheetName val="Quadro II "/>
      <sheetName val="Assump. "/>
      <sheetName val="         Title              "/>
      <sheetName val="Sheet2"/>
      <sheetName val="REqpt03"/>
      <sheetName val="Orcto"/>
      <sheetName val="FY02年分产品"/>
      <sheetName val="PRO-08"/>
      <sheetName val="Parâmetros"/>
      <sheetName val="DCCU"/>
      <sheetName val="RE_8"/>
      <sheetName val="Dados"/>
      <sheetName val="P&amp;L consolidated"/>
      <sheetName val="DCF Assumptions"/>
      <sheetName val="PV Calcs"/>
      <sheetName val="P&amp;L"/>
      <sheetName val="FCF"/>
      <sheetName val="Input"/>
      <sheetName val="Imobiliz"/>
    </sheetNames>
    <sheetDataSet>
      <sheetData sheetId="0" refreshError="1"/>
      <sheetData sheetId="1" refreshError="1"/>
      <sheetData sheetId="2" refreshError="1"/>
      <sheetData sheetId="3" refreshError="1"/>
      <sheetData sheetId="4" refreshError="1"/>
      <sheetData sheetId="5" refreshError="1"/>
      <sheetData sheetId="6"/>
      <sheetData sheetId="7"/>
      <sheetData sheetId="8"/>
      <sheetData sheetId="9" refreshError="1"/>
      <sheetData sheetId="10"/>
      <sheetData sheetId="11"/>
      <sheetData sheetId="12" refreshError="1"/>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19.xml><?xml version="1.0" encoding="utf-8"?>
<externalLink xmlns="http://schemas.openxmlformats.org/spreadsheetml/2006/main">
  <externalBook xmlns:r="http://schemas.openxmlformats.org/officeDocument/2006/relationships" r:id="rId1">
    <sheetNames>
      <sheetName val="Title"/>
      <sheetName val="Output"/>
      <sheetName val="Input"/>
      <sheetName val="P&amp;L "/>
      <sheetName val="P&amp;L assumptions"/>
      <sheetName val="BS"/>
      <sheetName val="BSassumptions"/>
      <sheetName val="FCF"/>
      <sheetName val="Title (2)"/>
      <sheetName val="LBO"/>
      <sheetName val="Post1"/>
      <sheetName val="Post2"/>
      <sheetName val="Debt"/>
      <sheetName val="DO NOT PRINT"/>
      <sheetName val="wacc"/>
      <sheetName val="Plan1"/>
      <sheetName val="Index"/>
      <sheetName val="1. Instellingen"/>
      <sheetName val="conssid12-96"/>
      <sheetName val="P&amp;L_"/>
      <sheetName val="P&amp;L_assumptions"/>
      <sheetName val="Title_(2)"/>
      <sheetName val="DO_NOT_PRINT"/>
      <sheetName val="1__Instellingen"/>
      <sheetName val="P&amp;L_1"/>
      <sheetName val="P&amp;L_assumptions1"/>
      <sheetName val="Title_(2)1"/>
      <sheetName val="DO_NOT_PRINT1"/>
      <sheetName val="1__Instellingen1"/>
      <sheetName val="REqpt03"/>
      <sheetName val="Orcto"/>
      <sheetName val="Assump. "/>
      <sheetName val="P&amp;L_2"/>
      <sheetName val="P&amp;L_assumptions2"/>
      <sheetName val="Title_(2)2"/>
      <sheetName val="DO_NOT_PRINT2"/>
      <sheetName val="1__Instellingen2"/>
      <sheetName val="Oper"/>
      <sheetName val="Quadro II "/>
      <sheetName val="Base Data"/>
      <sheetName val="Assum"/>
      <sheetName val="anterior"/>
      <sheetName val="orçamento"/>
      <sheetName val="atual"/>
      <sheetName val="Cargo CC Set"/>
      <sheetName val="Premissas"/>
      <sheetName val="Dados"/>
      <sheetName val="Aterros"/>
      <sheetName val="Cortes"/>
      <sheetName val="Orçamento Real"/>
      <sheetName val="BD"/>
      <sheetName val="SCO_0507"/>
      <sheetName val="EMOP0607"/>
      <sheetName val="fechamento"/>
      <sheetName val="Sheet2"/>
      <sheetName val="planilha geral modificad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sheetData sheetId="21"/>
      <sheetData sheetId="22"/>
      <sheetData sheetId="23"/>
      <sheetData sheetId="24"/>
      <sheetData sheetId="25"/>
      <sheetData sheetId="26"/>
      <sheetData sheetId="27"/>
      <sheetData sheetId="28"/>
      <sheetData sheetId="29" refreshError="1"/>
      <sheetData sheetId="30" refreshError="1"/>
      <sheetData sheetId="31" refreshError="1"/>
      <sheetData sheetId="32"/>
      <sheetData sheetId="33"/>
      <sheetData sheetId="34"/>
      <sheetData sheetId="35"/>
      <sheetData sheetId="36"/>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sheetData sheetId="52"/>
      <sheetData sheetId="53"/>
      <sheetData sheetId="54"/>
      <sheetData sheetId="55" refreshError="1"/>
    </sheetDataSet>
  </externalBook>
</externalLink>
</file>

<file path=xl/externalLinks/externalLink20.xml><?xml version="1.0" encoding="utf-8"?>
<externalLink xmlns="http://schemas.openxmlformats.org/spreadsheetml/2006/main">
  <externalBook xmlns:r="http://schemas.openxmlformats.org/officeDocument/2006/relationships" r:id="rId1">
    <sheetNames>
      <sheetName val="Plan1"/>
      <sheetName val="Plan2"/>
      <sheetName val="Plan3"/>
      <sheetName val="TOTAL GERAL"/>
      <sheetName val="Adelphia FURUKAWA"/>
      <sheetName val="Turn-Key - G.I."/>
      <sheetName val="Turn-Key - S.A."/>
      <sheetName val="QTD_PREÇO UNIT"/>
      <sheetName val="ENT-RES"/>
      <sheetName val="COAXIAL"/>
      <sheetName val="ÓPTICO"/>
      <sheetName val="FERRAGENS"/>
      <sheetName val="SERVIÇOS"/>
      <sheetName val="SERVIÇOS 1%"/>
      <sheetName val="SERVIÇOS 2%"/>
      <sheetName val="SERVIÇOS 3%"/>
      <sheetName val="SERVIÇOS 4%"/>
      <sheetName val="SERVIÇOS 5%"/>
      <sheetName val="150"/>
      <sheetName val="150 2%"/>
      <sheetName val="150 4%"/>
      <sheetName val="150 6%"/>
      <sheetName val="250"/>
      <sheetName val="250 2%"/>
      <sheetName val="250 4%"/>
      <sheetName val="250 6%"/>
      <sheetName val="300"/>
      <sheetName val="300 2%"/>
      <sheetName val="300 4%"/>
      <sheetName val="300 6%"/>
      <sheetName val="350"/>
      <sheetName val="350 2%"/>
      <sheetName val="350 4%"/>
      <sheetName val="350 6%"/>
      <sheetName val="450"/>
      <sheetName val="450 2%"/>
      <sheetName val="450 4%"/>
      <sheetName val="450 6%"/>
      <sheetName val="AS-SERVIÇOS"/>
      <sheetName val="DDG-SERVIÇOS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Set>
  </externalBook>
</externalLink>
</file>

<file path=xl/externalLinks/externalLink21.xml><?xml version="1.0" encoding="utf-8"?>
<externalLink xmlns="http://schemas.openxmlformats.org/spreadsheetml/2006/main">
  <externalBook xmlns:r="http://schemas.openxmlformats.org/officeDocument/2006/relationships" r:id="rId1">
    <sheetNames>
      <sheetName val="FICBIOM"/>
      <sheetName val="FCF"/>
      <sheetName val="Input"/>
      <sheetName val="Estático"/>
      <sheetName val="2013"/>
      <sheetName val="WACC_PCM"/>
      <sheetName val="orçamento"/>
      <sheetName val="CAPEX CUSTO"/>
      <sheetName val="O x R"/>
      <sheetName val="DADOS"/>
      <sheetName val="Plan2"/>
      <sheetName val="Adicional sobre Materiais"/>
      <sheetName val="Controls"/>
      <sheetName val="1. Instellingen"/>
      <sheetName val="Imobiliz"/>
      <sheetName val="Oper"/>
      <sheetName val="FluxoCaixaIndexado"/>
      <sheetName val="VISÃO GERAL"/>
      <sheetName val="eco-fin"/>
      <sheetName val="conssid12-96"/>
      <sheetName val="fluxo de caixa"/>
      <sheetName val="Plan1"/>
      <sheetName val="Ctrl"/>
      <sheetName val="REqpt03"/>
      <sheetName val="Orcto"/>
      <sheetName val="P&amp;L consolidated"/>
      <sheetName val="Base data"/>
      <sheetName val="RealOut02"/>
      <sheetName val="AbertInvest"/>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22.xml><?xml version="1.0" encoding="utf-8"?>
<externalLink xmlns="http://schemas.openxmlformats.org/spreadsheetml/2006/main">
  <externalBook xmlns:r="http://schemas.openxmlformats.org/officeDocument/2006/relationships" r:id="rId1">
    <sheetNames>
      <sheetName val="Resumo"/>
      <sheetName val="Orçamento"/>
      <sheetName val="Planilha1"/>
      <sheetName val="Curva ABC"/>
      <sheetName val="Cronograma"/>
      <sheetName val="BDI"/>
      <sheetName val="Composições"/>
      <sheetName val="Composições Analíticas"/>
      <sheetName val="Cotação"/>
      <sheetName val="Resumo Mat"/>
      <sheetName val="Materiais"/>
      <sheetName val="Curva ABC Mat"/>
      <sheetName val="Cronograma Mat"/>
      <sheetName val="BDI Mat"/>
      <sheetName val="Banco_Servico"/>
      <sheetName val="Banco_Insumo"/>
      <sheetName val="Curva_Servico"/>
      <sheetName val="Curva_Insumo"/>
      <sheetName val="MC-Água"/>
      <sheetName val="MC-Esgoto"/>
      <sheetName val="MC-Drenagem"/>
      <sheetName val="MC-Geral"/>
      <sheetName val="TABELAS NBR"/>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sheetData sheetId="9" refreshError="1"/>
      <sheetData sheetId="10" refreshError="1"/>
      <sheetData sheetId="11" refreshError="1"/>
      <sheetData sheetId="12" refreshError="1"/>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23.xml><?xml version="1.0" encoding="utf-8"?>
<externalLink xmlns="http://schemas.openxmlformats.org/spreadsheetml/2006/main">
  <externalBook xmlns:r="http://schemas.openxmlformats.org/officeDocument/2006/relationships" r:id="rId1">
    <sheetNames>
      <sheetName val="Capa"/>
      <sheetName val="Memorial"/>
      <sheetName val="Anotações"/>
      <sheetName val="Resumo"/>
      <sheetName val="DMT"/>
      <sheetName val="Orçamento"/>
      <sheetName val="Planilha1"/>
      <sheetName val="Curva ABC"/>
      <sheetName val="Cronograma"/>
      <sheetName val="BDI"/>
      <sheetName val="MC-Dem.-Rem."/>
      <sheetName val="Composições"/>
      <sheetName val="MC-Drenagem"/>
      <sheetName val="Cotação"/>
      <sheetName val="MC-Trans.-Agregados"/>
      <sheetName val="MC-Terrap."/>
      <sheetName val="Escoramento de valas"/>
      <sheetName val="MC-Esgoto"/>
      <sheetName val="MC-Dre-PEAD"/>
      <sheetName val="MC-CBUQ"/>
      <sheetName val="MC-PreMoldado"/>
      <sheetName val="MC-Acessibilidade"/>
      <sheetName val="MC-Sinalização"/>
      <sheetName val="TABELA NBR"/>
      <sheetName val="Planilha2"/>
      <sheetName val="Procura_CPU"/>
      <sheetName val="Imagens"/>
      <sheetName val="MC-PVE's"/>
      <sheetName val="Banco_Servico"/>
      <sheetName val="Banco_Insumo"/>
      <sheetName val="Curva_Servico"/>
      <sheetName val="Curva_Insumo"/>
    </sheetNames>
    <sheetDataSet>
      <sheetData sheetId="0" refreshError="1"/>
      <sheetData sheetId="1" refreshError="1"/>
      <sheetData sheetId="2" refreshError="1"/>
      <sheetData sheetId="3" refreshError="1"/>
      <sheetData sheetId="4" refreshError="1"/>
      <sheetData sheetId="5"/>
      <sheetData sheetId="6"/>
      <sheetData sheetId="7"/>
      <sheetData sheetId="8"/>
      <sheetData sheetId="9"/>
      <sheetData sheetId="10"/>
      <sheetData sheetId="11"/>
      <sheetData sheetId="12" refreshError="1"/>
      <sheetData sheetId="13"/>
      <sheetData sheetId="14" refreshError="1"/>
      <sheetData sheetId="15" refreshError="1"/>
      <sheetData sheetId="16"/>
      <sheetData sheetId="17"/>
      <sheetData sheetId="18"/>
      <sheetData sheetId="19" refreshError="1"/>
      <sheetData sheetId="20" refreshError="1"/>
      <sheetData sheetId="21" refreshError="1"/>
      <sheetData sheetId="22"/>
      <sheetData sheetId="23"/>
      <sheetData sheetId="24" refreshError="1"/>
      <sheetData sheetId="25" refreshError="1"/>
      <sheetData sheetId="26"/>
      <sheetData sheetId="27"/>
      <sheetData sheetId="28"/>
      <sheetData sheetId="29"/>
      <sheetData sheetId="30"/>
      <sheetData sheetId="31" refreshError="1"/>
    </sheetDataSet>
  </externalBook>
</externalLink>
</file>

<file path=xl/externalLinks/externalLink24.xml><?xml version="1.0" encoding="utf-8"?>
<externalLink xmlns="http://schemas.openxmlformats.org/spreadsheetml/2006/main">
  <externalBook xmlns:r="http://schemas.openxmlformats.org/officeDocument/2006/relationships" r:id="rId1">
    <sheetNames>
      <sheetName val="Controls"/>
      <sheetName val="Index"/>
      <sheetName val="Buildup"/>
      <sheetName val="Buildup_Print Out"/>
      <sheetName val="Sum US"/>
      <sheetName val="Sum BR"/>
      <sheetName val="LTM"/>
      <sheetName val="Comparação"/>
      <sheetName val="P&amp;L"/>
      <sheetName val="P&amp;L Port"/>
      <sheetName val="BS"/>
      <sheetName val="BS Port"/>
      <sheetName val="CFS"/>
      <sheetName val="CFS Port"/>
      <sheetName val="Debt Build Up"/>
      <sheetName val="Assump"/>
      <sheetName val="Assump _Print Out"/>
      <sheetName val="Amort"/>
      <sheetName val="Depr"/>
      <sheetName val="Debt"/>
      <sheetName val="DCF_5"/>
      <sheetName val="DCF_10"/>
      <sheetName val="DCF10 Port"/>
      <sheetName val="WACC"/>
      <sheetName val="WACC Port"/>
      <sheetName val="Tax"/>
      <sheetName val="__FDSCACHE__"/>
      <sheetName val="Factset"/>
      <sheetName val="Print Controls"/>
      <sheetName val="Conv. Pref."/>
      <sheetName val="Check"/>
      <sheetName val="EVA"/>
      <sheetName val="HighYield"/>
      <sheetName val="LBO"/>
      <sheetName val="Comps"/>
      <sheetName val="Premium"/>
      <sheetName val="Firm Value"/>
      <sheetName val="Shares Outstanding"/>
      <sheetName val="Options"/>
      <sheetName val="Preferred"/>
      <sheetName val="Conv. Debt"/>
      <sheetName val="PrintMacro"/>
      <sheetName val="RBE ACT mi"/>
      <sheetName val="Opções"/>
      <sheetName val="RESUMO BRADESCO"/>
      <sheetName val="Summary"/>
      <sheetName val="Assum"/>
      <sheetName val="Buildup_Print_Out"/>
      <sheetName val="Sum_US"/>
      <sheetName val="Sum_BR"/>
      <sheetName val="P&amp;L_Port"/>
      <sheetName val="BS_Port"/>
      <sheetName val="CFS_Port"/>
      <sheetName val="Debt_Build_Up"/>
      <sheetName val="Assump__Print_Out"/>
      <sheetName val="DCF10_Port"/>
      <sheetName val="WACC_Port"/>
      <sheetName val="Print_Controls"/>
      <sheetName val="Conv__Pref_"/>
      <sheetName val="Firm_Value"/>
      <sheetName val="Shares_Outstanding"/>
      <sheetName val="Conv__Debt"/>
      <sheetName val="RBE_ACT_mi"/>
      <sheetName val="RESUMO_BRADESCO"/>
      <sheetName val="Buildup_Print_Out1"/>
      <sheetName val="Sum_US1"/>
      <sheetName val="Sum_BR1"/>
      <sheetName val="P&amp;L_Port1"/>
      <sheetName val="BS_Port1"/>
      <sheetName val="CFS_Port1"/>
      <sheetName val="Debt_Build_Up1"/>
      <sheetName val="Assump__Print_Out1"/>
      <sheetName val="DCF10_Port1"/>
      <sheetName val="WACC_Port1"/>
      <sheetName val="Print_Controls1"/>
      <sheetName val="Conv__Pref_1"/>
      <sheetName val="Firm_Value1"/>
      <sheetName val="Shares_Outstanding1"/>
      <sheetName val="Conv__Debt1"/>
      <sheetName val="RBE_ACT_mi1"/>
      <sheetName val="RESUMO_BRADESCO1"/>
      <sheetName val="Plan1"/>
      <sheetName val="1.P&amp;L"/>
      <sheetName val="Buy Out Overview"/>
      <sheetName val="Plan2"/>
      <sheetName val="Buildup_Print_Out2"/>
      <sheetName val="Sum_US2"/>
      <sheetName val="Sum_BR2"/>
      <sheetName val="P&amp;L_Port2"/>
      <sheetName val="BS_Port2"/>
      <sheetName val="CFS_Port2"/>
      <sheetName val="Debt_Build_Up2"/>
      <sheetName val="Assump__Print_Out2"/>
      <sheetName val="DCF10_Port2"/>
      <sheetName val="WACC_Port2"/>
      <sheetName val="Print_Controls2"/>
      <sheetName val="Conv__Pref_2"/>
      <sheetName val="Firm_Value2"/>
      <sheetName val="Shares_Outstanding2"/>
      <sheetName val="Conv__Debt2"/>
      <sheetName val="RBE_ACT_mi2"/>
      <sheetName val="RESUMO_BRADESCO2"/>
      <sheetName val="Oper"/>
      <sheetName val="Apoio"/>
      <sheetName val="Empreiteiro"/>
      <sheetName val="RetrieveParameters"/>
      <sheetName val="Names"/>
      <sheetName val="FluxoCaixaIndexado"/>
      <sheetName val="DCF Assumptions"/>
      <sheetName val="PV Calcs"/>
      <sheetName val="1. Instellingen"/>
      <sheetName val="Capa"/>
      <sheetName val="DADOS"/>
      <sheetName val="FICBIOM"/>
      <sheetName val="LD-PS-PMC-RMA"/>
      <sheetName val="Orcto"/>
      <sheetName val="anterior"/>
      <sheetName val="forecast"/>
      <sheetName val="orçamento"/>
      <sheetName val="atual"/>
      <sheetName val="RESUMO_AUT1"/>
      <sheetName val="RESUMO-GERAL-INSUMOS"/>
      <sheetName val="Predio_02_andares"/>
      <sheetName val="SCO0504"/>
      <sheetName val="12.1"/>
      <sheetName val="BRADESCO - 2ª"/>
      <sheetName val="BRADESCO - SAMPCO (2)"/>
      <sheetName val="ING US$10MM"/>
      <sheetName val="ITAÚ US$ 23MM"/>
      <sheetName val="ITAÚ"/>
      <sheetName val="OCTAGON"/>
      <sheetName val="RABOBANK US$ 20MM"/>
      <sheetName val="RABOBANK US$ 40MM"/>
      <sheetName val="SAFRA - US$10"/>
      <sheetName val="SAFRA - US$5"/>
      <sheetName val="SAFRA - US$5 (2)"/>
      <sheetName val="CAPEX CUSTO"/>
      <sheetName val="O x R"/>
      <sheetName val="Resultado"/>
      <sheetName val="medição_ete_sarapuí"/>
      <sheetName val="Cenarios"/>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 sheetId="43" refreshError="1"/>
      <sheetData sheetId="44" refreshError="1"/>
      <sheetData sheetId="45"/>
      <sheetData sheetId="46" refreshError="1"/>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refreshError="1"/>
      <sheetData sheetId="82" refreshError="1"/>
      <sheetData sheetId="83" refreshError="1"/>
      <sheetData sheetId="84" refreshError="1"/>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Set>
  </externalBook>
</externalLink>
</file>

<file path=xl/externalLinks/externalLink25.xml><?xml version="1.0" encoding="utf-8"?>
<externalLink xmlns="http://schemas.openxmlformats.org/spreadsheetml/2006/main">
  <externalBook xmlns:r="http://schemas.openxmlformats.org/officeDocument/2006/relationships" r:id="rId1">
    <sheetNames>
      <sheetName val="Plan1"/>
      <sheetName val="bndes"/>
      <sheetName val="Orcto"/>
      <sheetName val="DCF Assumptions"/>
      <sheetName val="PV Calcs"/>
      <sheetName val="orçamento"/>
      <sheetName val="LD-PS-PMC-RMA"/>
      <sheetName val="FICBIOM"/>
      <sheetName val="Overige"/>
      <sheetName val="Assump. "/>
      <sheetName val="Summary"/>
      <sheetName val="Dados"/>
      <sheetName val="Imobiliz"/>
      <sheetName val="Oper"/>
      <sheetName val="         Title              "/>
      <sheetName val="anterior"/>
      <sheetName val="atual"/>
      <sheetName val="RetrieveParameters"/>
      <sheetName val="Names"/>
      <sheetName val="Controls"/>
      <sheetName val="Constants"/>
      <sheetName val="POP cost"/>
      <sheetName val="Cenarios"/>
      <sheetName val="Control Panel"/>
      <sheetName val="Capa"/>
      <sheetName val="Summary_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26.xml><?xml version="1.0" encoding="utf-8"?>
<externalLink xmlns="http://schemas.openxmlformats.org/spreadsheetml/2006/main">
  <externalBook xmlns:r="http://schemas.openxmlformats.org/officeDocument/2006/relationships" r:id="rId1">
    <sheetNames>
      <sheetName val="MENU"/>
      <sheetName val="DADOS"/>
      <sheetName val="NOVO"/>
      <sheetName val="BDI"/>
      <sheetName val="ORÇAMENTO"/>
      <sheetName val="Planilha3"/>
      <sheetName val="Planilha1"/>
      <sheetName val="Planilha2"/>
      <sheetName val="CÁLCULO"/>
      <sheetName val="EVENTOS"/>
      <sheetName val="CRONO"/>
      <sheetName val="CRONOPLE"/>
      <sheetName val="PLE"/>
      <sheetName val="QCI"/>
      <sheetName val="BM"/>
      <sheetName val="RRE"/>
      <sheetName val="OFÍCI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27.xml><?xml version="1.0" encoding="utf-8"?>
<externalLink xmlns="http://schemas.openxmlformats.org/spreadsheetml/2006/main">
  <externalBook xmlns:r="http://schemas.openxmlformats.org/officeDocument/2006/relationships" r:id="rId1">
    <sheetNames>
      <sheetName val="WV"/>
      <sheetName val="WVCorrecties"/>
      <sheetName val="WVBasis"/>
      <sheetName val="Advertenties"/>
      <sheetName val="AbonnementenLv"/>
      <sheetName val="Distributie opbrengst"/>
      <sheetName val="Overige opbrengsten"/>
      <sheetName val="Grond-en hulpstoffen"/>
      <sheetName val="Uitbesteed werk"/>
      <sheetName val="Distributiekosten"/>
      <sheetName val="externe redactiekosten"/>
      <sheetName val="LonenEnSalarissen"/>
      <sheetName val="Afschrijvingen"/>
      <sheetName val="Verkoopkosten"/>
      <sheetName val="Automatiseringskosten"/>
      <sheetName val="Huisvestingskosten"/>
      <sheetName val="Algemene kosten"/>
      <sheetName val="Resultaat deelnemingen"/>
      <sheetName val="Interest"/>
      <sheetName val="VPB"/>
      <sheetName val="Parameters"/>
      <sheetName val="Plan1"/>
      <sheetName val="Atual"/>
      <sheetName val="Orcto"/>
      <sheetName val="Dados"/>
      <sheetName val="Distributie_opbrengst"/>
      <sheetName val="Overige_opbrengsten"/>
      <sheetName val="Grond-en_hulpstoffen"/>
      <sheetName val="Uitbesteed_werk"/>
      <sheetName val="externe_redactiekosten"/>
      <sheetName val="Algemene_kosten"/>
      <sheetName val="Resultaat_deelnemingen"/>
      <sheetName val="Distributie_opbrengst1"/>
      <sheetName val="Overige_opbrengsten1"/>
      <sheetName val="Grond-en_hulpstoffen1"/>
      <sheetName val="Uitbesteed_werk1"/>
      <sheetName val="externe_redactiekosten1"/>
      <sheetName val="Algemene_kosten1"/>
      <sheetName val="Resultaat_deelnemingen1"/>
      <sheetName val="Oper"/>
      <sheetName val="Overige"/>
      <sheetName val="Distributie_opbrengst2"/>
      <sheetName val="Overige_opbrengsten2"/>
      <sheetName val="Grond-en_hulpstoffen2"/>
      <sheetName val="Uitbesteed_werk2"/>
      <sheetName val="externe_redactiekosten2"/>
      <sheetName val="Algemene_kosten2"/>
      <sheetName val="Resultaat_deelnemingen2"/>
      <sheetName val="Composições"/>
      <sheetName val="eco-fin"/>
      <sheetName val="conssid12-96"/>
      <sheetName val="fluxo de caixa"/>
      <sheetName val="Ctrl"/>
      <sheetName val="Summary_T"/>
      <sheetName val="Index"/>
      <sheetName val="1. Instellingen"/>
      <sheetName val="0 - PUC"/>
      <sheetName val="QUADRA POLIESPORTIVA"/>
      <sheetName val="Salário de Mão de Obra"/>
      <sheetName val="FCAC"/>
      <sheetName val="ENC SOCIAIS"/>
      <sheetName val="FLUXO - EXECUÇÃO PRÓPRIA"/>
      <sheetName val="         Title              "/>
      <sheetName val="Inpu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refreshError="1"/>
      <sheetData sheetId="40" refreshError="1"/>
      <sheetData sheetId="41"/>
      <sheetData sheetId="42"/>
      <sheetData sheetId="43"/>
      <sheetData sheetId="44"/>
      <sheetData sheetId="45"/>
      <sheetData sheetId="46"/>
      <sheetData sheetId="47"/>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Set>
  </externalBook>
</externalLink>
</file>

<file path=xl/externalLinks/externalLink28.xml><?xml version="1.0" encoding="utf-8"?>
<externalLink xmlns="http://schemas.openxmlformats.org/spreadsheetml/2006/main">
  <externalBook xmlns:r="http://schemas.openxmlformats.org/officeDocument/2006/relationships" r:id="rId1">
    <sheetNames>
      <sheetName val="Title"/>
      <sheetName val="Summary"/>
      <sheetName val="Stats"/>
      <sheetName val="Uplift"/>
      <sheetName val="P&amp;L1"/>
      <sheetName val="P&amp;L2"/>
      <sheetName val="Balance sheet"/>
      <sheetName val="Synergies"/>
      <sheetName val="Sensitivity"/>
      <sheetName val="Base data"/>
      <sheetName val="Bidder"/>
      <sheetName val="Target1"/>
      <sheetName val="Target2"/>
      <sheetName val="Graphs"/>
      <sheetName val="Notes"/>
      <sheetName val="Macros"/>
      <sheetName val="Protection"/>
      <sheetName val="Parameters"/>
      <sheetName val="Data"/>
      <sheetName val="Tabelas"/>
      <sheetName val="Eqy Fin"/>
      <sheetName val="base_folha"/>
      <sheetName val="Balance_sheet"/>
      <sheetName val="Base_data"/>
      <sheetName val="Eqy_Fin"/>
      <sheetName val="Balance_sheet1"/>
      <sheetName val="Base_data1"/>
      <sheetName val="Eqy_Fin1"/>
      <sheetName val="anterior"/>
      <sheetName val="forecast"/>
      <sheetName val="orçamento"/>
      <sheetName val="atual"/>
      <sheetName val="Oper"/>
      <sheetName val="Inputs"/>
      <sheetName val="Balance_sheet2"/>
      <sheetName val="Base_data2"/>
      <sheetName val="Eqy_Fin2"/>
      <sheetName val="BDI Com"/>
      <sheetName val="C_268-038"/>
      <sheetName val="C_268-039"/>
      <sheetName val="C_268-041"/>
      <sheetName val="C_268-042"/>
      <sheetName val="C_268-043"/>
      <sheetName val="C_268-044"/>
      <sheetName val="C_268-045"/>
      <sheetName val="C_268-046"/>
      <sheetName val="C_268-047"/>
      <sheetName val="C_268-048"/>
      <sheetName val="C_268-049"/>
      <sheetName val="C_268-060"/>
      <sheetName val="C_268-061"/>
      <sheetName val="E-001"/>
      <sheetName val="E-002"/>
      <sheetName val="E-004"/>
      <sheetName val="E-005"/>
      <sheetName val="E-006"/>
      <sheetName val="E-007"/>
      <sheetName val="E-008"/>
      <sheetName val="E-009"/>
      <sheetName val="E-010"/>
      <sheetName val="E-011"/>
      <sheetName val="E-012"/>
      <sheetName val="E-013"/>
      <sheetName val="E-014"/>
      <sheetName val="E-015"/>
      <sheetName val="E-017"/>
      <sheetName val="E-018"/>
      <sheetName val="E-019"/>
      <sheetName val="E-020"/>
      <sheetName val="E-021"/>
      <sheetName val="E-022"/>
      <sheetName val="E-023"/>
      <sheetName val="E-024"/>
      <sheetName val="E-025"/>
      <sheetName val="E-026"/>
      <sheetName val="E-027"/>
      <sheetName val="E-028"/>
      <sheetName val="E-029"/>
      <sheetName val="E-030"/>
      <sheetName val="E-031"/>
      <sheetName val="E-032"/>
      <sheetName val="E-033"/>
      <sheetName val="E-034"/>
      <sheetName val="E-035"/>
      <sheetName val="E-036"/>
      <sheetName val="E-037"/>
      <sheetName val="E-038"/>
      <sheetName val="E-039"/>
      <sheetName val="E-040"/>
      <sheetName val="Orcto"/>
      <sheetName val="Dados"/>
      <sheetName val="Plan1"/>
      <sheetName val="FluxoCaixaIndexado"/>
      <sheetName val="MED_SET"/>
      <sheetName val="Comp BDI"/>
      <sheetName val="Tabela"/>
      <sheetName val="DCF Assumptions"/>
      <sheetName val="PV Calcs"/>
      <sheetName val="base"/>
      <sheetName val="Base Gráfico"/>
      <sheetName val="Acquisition Model Feb 2006"/>
      <sheetName val="RealOut02"/>
      <sheetName val="B-Pav"/>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sheetData sheetId="24"/>
      <sheetData sheetId="25"/>
      <sheetData sheetId="26"/>
      <sheetData sheetId="27"/>
      <sheetData sheetId="28" refreshError="1"/>
      <sheetData sheetId="29" refreshError="1"/>
      <sheetData sheetId="30" refreshError="1"/>
      <sheetData sheetId="31" refreshError="1"/>
      <sheetData sheetId="32" refreshError="1"/>
      <sheetData sheetId="33" refreshError="1"/>
      <sheetData sheetId="34"/>
      <sheetData sheetId="35"/>
      <sheetData sheetId="36"/>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sheetData sheetId="97"/>
      <sheetData sheetId="98"/>
      <sheetData sheetId="99"/>
      <sheetData sheetId="100" refreshError="1"/>
      <sheetData sheetId="101" refreshError="1"/>
      <sheetData sheetId="102" refreshError="1"/>
    </sheetDataSet>
  </externalBook>
</externalLink>
</file>

<file path=xl/externalLinks/externalLink29.xml><?xml version="1.0" encoding="utf-8"?>
<externalLink xmlns="http://schemas.openxmlformats.org/spreadsheetml/2006/main">
  <externalBook xmlns:r="http://schemas.openxmlformats.org/officeDocument/2006/relationships" r:id="rId1">
    <sheetNames>
      <sheetName val="Stamgegevens"/>
      <sheetName val="BU TV &amp; Ancillary"/>
      <sheetName val="TV per titel"/>
      <sheetName val="Airline"/>
      <sheetName val="VOD"/>
      <sheetName val="PPV"/>
      <sheetName val="Overige"/>
      <sheetName val="Koersverschil"/>
      <sheetName val="BU Rental"/>
      <sheetName val="RENTAL"/>
      <sheetName val="TV &amp; Ancillary"/>
      <sheetName val="OVERIG"/>
      <sheetName val="Order Rental"/>
      <sheetName val="OrderStat Rental"/>
      <sheetName val="Kostprijs_TV"/>
      <sheetName val="Blad1"/>
      <sheetName val="TV"/>
      <sheetName val="2004 LE0"/>
      <sheetName val="Base data"/>
      <sheetName val="quadro ii "/>
      <sheetName val="BU_TV_&amp;_Ancillary"/>
      <sheetName val="TV_per_titel"/>
      <sheetName val="BU_Rental"/>
      <sheetName val="TV_&amp;_Ancillary"/>
      <sheetName val="Order_Rental"/>
      <sheetName val="OrderStat_Rental"/>
      <sheetName val="2004_LE0"/>
      <sheetName val="Base_data"/>
      <sheetName val="quadro_ii_"/>
      <sheetName val="BU_TV_&amp;_Ancillary1"/>
      <sheetName val="TV_per_titel1"/>
      <sheetName val="BU_Rental1"/>
      <sheetName val="TV_&amp;_Ancillary1"/>
      <sheetName val="Order_Rental1"/>
      <sheetName val="OrderStat_Rental1"/>
      <sheetName val="2004_LE01"/>
      <sheetName val="Base_data1"/>
      <sheetName val="quadro_ii_1"/>
      <sheetName val="anterior"/>
      <sheetName val="orçamento"/>
      <sheetName val="atual"/>
      <sheetName val="Oper"/>
      <sheetName val="Capa"/>
      <sheetName val="BU_TV_&amp;_Ancillary2"/>
      <sheetName val="TV_per_titel2"/>
      <sheetName val="BU_Rental2"/>
      <sheetName val="TV_&amp;_Ancillary2"/>
      <sheetName val="Order_Rental2"/>
      <sheetName val="OrderStat_Rental2"/>
      <sheetName val="2004_LE02"/>
      <sheetName val="Base_data2"/>
      <sheetName val="quadro_ii_2"/>
      <sheetName val="Dados"/>
      <sheetName val="BDI Com"/>
      <sheetName val="C_268-038"/>
      <sheetName val="C_268-039"/>
      <sheetName val="C_268-041"/>
      <sheetName val="C_268-042"/>
      <sheetName val="C_268-043"/>
      <sheetName val="C_268-044"/>
      <sheetName val="C_268-045"/>
      <sheetName val="C_268-046"/>
      <sheetName val="C_268-047"/>
      <sheetName val="C_268-048"/>
      <sheetName val="C_268-049"/>
      <sheetName val="C_268-060"/>
      <sheetName val="C_268-061"/>
      <sheetName val="E-001"/>
      <sheetName val="E-002"/>
      <sheetName val="E-004"/>
      <sheetName val="E-005"/>
      <sheetName val="E-006"/>
      <sheetName val="E-007"/>
      <sheetName val="E-008"/>
      <sheetName val="E-009"/>
      <sheetName val="E-010"/>
      <sheetName val="E-011"/>
      <sheetName val="E-012"/>
      <sheetName val="E-013"/>
      <sheetName val="E-014"/>
      <sheetName val="E-015"/>
      <sheetName val="E-017"/>
      <sheetName val="E-018"/>
      <sheetName val="E-019"/>
      <sheetName val="E-020"/>
      <sheetName val="E-021"/>
      <sheetName val="E-022"/>
      <sheetName val="E-023"/>
      <sheetName val="E-024"/>
      <sheetName val="E-025"/>
      <sheetName val="E-026"/>
      <sheetName val="E-027"/>
      <sheetName val="E-028"/>
      <sheetName val="E-029"/>
      <sheetName val="E-030"/>
      <sheetName val="E-031"/>
      <sheetName val="E-032"/>
      <sheetName val="E-033"/>
      <sheetName val="E-034"/>
      <sheetName val="E-035"/>
      <sheetName val="E-036"/>
      <sheetName val="E-037"/>
      <sheetName val="E-038"/>
      <sheetName val="E-039"/>
      <sheetName val="E-040"/>
      <sheetName val="Summary_T"/>
      <sheetName val="forecast"/>
      <sheetName val="base_folha"/>
      <sheetName val="Opções"/>
      <sheetName val="P&amp;L"/>
      <sheetName val="Cenarios"/>
      <sheetName val="Orcto"/>
      <sheetName val="Plan1"/>
      <sheetName val="Comp BDI"/>
      <sheetName val="PLANILHA (2)"/>
      <sheetName val="cargaPRU"/>
      <sheetName val="Composiçõ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 sheetId="39" refreshError="1"/>
      <sheetData sheetId="40" refreshError="1"/>
      <sheetData sheetId="41" refreshError="1"/>
      <sheetData sheetId="42" refreshError="1"/>
      <sheetData sheetId="43"/>
      <sheetData sheetId="44"/>
      <sheetData sheetId="45"/>
      <sheetData sheetId="46"/>
      <sheetData sheetId="47"/>
      <sheetData sheetId="48"/>
      <sheetData sheetId="49"/>
      <sheetData sheetId="50"/>
      <sheetData sheetId="5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Set>
  </externalBook>
</externalLink>
</file>

<file path=xl/externalLinks/externalLink30.xml><?xml version="1.0" encoding="utf-8"?>
<externalLink xmlns="http://schemas.openxmlformats.org/spreadsheetml/2006/main">
  <externalBook xmlns:r="http://schemas.openxmlformats.org/officeDocument/2006/relationships" r:id="rId1">
    <sheetNames>
      <sheetName val="BASE MODEL V1"/>
      <sheetName val="POP cost"/>
      <sheetName val="Constants"/>
      <sheetName val="BU TV &amp; Ancillary"/>
      <sheetName val="Premissas"/>
      <sheetName val="anterior"/>
      <sheetName val="forecast"/>
      <sheetName val="orçamento"/>
      <sheetName val="atual"/>
      <sheetName val="BASE_MODEL_V1"/>
      <sheetName val="POP_cost"/>
      <sheetName val="BU_TV_&amp;_Ancillary"/>
      <sheetName val="BASE_MODEL_V11"/>
      <sheetName val="POP_cost1"/>
      <sheetName val="BU_TV_&amp;_Ancillary1"/>
      <sheetName val="Index"/>
      <sheetName val="1. Instellingen"/>
      <sheetName val="conssid12-96"/>
      <sheetName val="BASE_MODEL_V12"/>
      <sheetName val="POP_cost2"/>
      <sheetName val="BU_TV_&amp;_Ancillary2"/>
      <sheetName val="Comp BDI"/>
      <sheetName val="RealOut02"/>
      <sheetName val="Oper"/>
      <sheetName val="FICBIOM"/>
      <sheetName val="quadro ii "/>
      <sheetName val="PLANILHA (2)"/>
      <sheetName val="Orcto"/>
      <sheetName val="Base data"/>
      <sheetName val="MED_SET"/>
      <sheetName val="Parameters"/>
      <sheetName val="MCBR"/>
      <sheetName val="12-2007 - BACAXA"/>
      <sheetName val="BDG"/>
      <sheetName val="ConsRot"/>
      <sheetName val="Orc"/>
      <sheetName val="Dados"/>
      <sheetName val="Cargo CC Set"/>
      <sheetName val="Contro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sheetData sheetId="11"/>
      <sheetData sheetId="12"/>
      <sheetData sheetId="13"/>
      <sheetData sheetId="14"/>
      <sheetData sheetId="15" refreshError="1"/>
      <sheetData sheetId="16" refreshError="1"/>
      <sheetData sheetId="17" refreshError="1"/>
      <sheetData sheetId="18"/>
      <sheetData sheetId="19"/>
      <sheetData sheetId="20"/>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Set>
  </externalBook>
</externalLink>
</file>

<file path=xl/externalLinks/externalLink31.xml><?xml version="1.0" encoding="utf-8"?>
<externalLink xmlns="http://schemas.openxmlformats.org/spreadsheetml/2006/main">
  <externalBook xmlns:r="http://schemas.openxmlformats.org/officeDocument/2006/relationships" r:id="rId1">
    <sheetNames>
      <sheetName val="RABO. US$12,5 MM - 1ª"/>
      <sheetName val="RABO. US$12,5 MM - 1ª-cor."/>
      <sheetName val="RABO. US$12,5 MM - 2ª"/>
      <sheetName val="BRADESCO - SAMPCO"/>
      <sheetName val="BRADESCO - 2ª"/>
      <sheetName val="RABOBANK US$ 20MM"/>
      <sheetName val="OCTAGON"/>
      <sheetName val="ITAÚ"/>
      <sheetName val="Plan1"/>
      <sheetName val="SAFRA - US$10"/>
      <sheetName val="SAFRA - US$5"/>
      <sheetName val="SAFRA - US$5 (2)"/>
      <sheetName val="RABOBANK US$ 40MM"/>
      <sheetName val="BRADESCO - SAMPCO (2)"/>
      <sheetName val="ITAÚ US$ 23MM"/>
      <sheetName val="APROPRIAÇÃO-MAI5 (2)"/>
      <sheetName val="Curto-Longo PzMAI5 (2)"/>
      <sheetName val="APROPRIAÇÃO-JUL5"/>
      <sheetName val="Curto-Longo PzJUL05"/>
      <sheetName val="APROPRIAÇÃO-AGO05"/>
      <sheetName val="Curto-Longo PzAGO05"/>
      <sheetName val="ING US$10MM"/>
      <sheetName val="APROPRIAÇÃO-OUT05"/>
      <sheetName val="Curto-Longo PzOUT05"/>
      <sheetName val="APROPRIAÇÃO-SET05"/>
      <sheetName val="Curto-Longo PzSET05"/>
      <sheetName val="APROPRIAÇÃO-ABR05"/>
      <sheetName val="APROPRIAÇÃO-MAR05"/>
      <sheetName val="APROPRIAÇÃO-FEV05"/>
      <sheetName val="APROPRIAÇÃO-JAN05"/>
      <sheetName val="APROPRIAÇÃO-DEZ04"/>
      <sheetName val="APROPRIAÇÃO-NOV04"/>
      <sheetName val="APROPRIAÇÃO-PRE"/>
      <sheetName val="APROPRIAÇÃO AGO04"/>
      <sheetName val="APROPRIAÇÃO JUL04"/>
      <sheetName val="Curto-Longo Pz SET-04"/>
      <sheetName val="Curto-Longo Pz OUT-04"/>
      <sheetName val="Curto-Longo Pz DEZ04"/>
      <sheetName val="Curto-Longo Pz MAR05"/>
      <sheetName val="Curto-Longo PzABR05"/>
      <sheetName val="Curto-Longo Pz JAN05"/>
      <sheetName val="Curto-Longo Pz NOV04"/>
      <sheetName val="Curto-Longo Pz AGO-04"/>
      <sheetName val="Curto-Longo Pz Jul-04"/>
      <sheetName val="Curto-Longo Pz Jun-04"/>
      <sheetName val="BRADESCO _ 2ª"/>
      <sheetName val="RABOBANK US_ 20MM"/>
      <sheetName val="SAFRA _ US_10"/>
      <sheetName val="SAFRA _ US_5"/>
      <sheetName val="SAFRA _ US_5 _2_"/>
      <sheetName val="RABOBANK US_ 40MM"/>
      <sheetName val="BRADESCO _ SAMPCO _2_"/>
      <sheetName val="ITAÚ US_ 23MM"/>
      <sheetName val="ING US_10MM"/>
      <sheetName val="Constants"/>
      <sheetName val="POP cost"/>
      <sheetName val="market"/>
      <sheetName val="BASE DE DADOS"/>
      <sheetName val="quadro ii "/>
      <sheetName val="Aplicação HTB"/>
      <sheetName val="Conta Cliente"/>
      <sheetName val="Acompanhamento de RCC"/>
      <sheetName val="anterior"/>
      <sheetName val="orçamento"/>
      <sheetName val="atual"/>
      <sheetName val="Performance"/>
      <sheetName val="Summary"/>
      <sheetName val="Assum"/>
      <sheetName val="Plan2"/>
      <sheetName val="RABO__US$12,5_MM_-_1ª"/>
      <sheetName val="RABO__US$12,5_MM_-_1ª-cor_"/>
      <sheetName val="RABO__US$12,5_MM_-_2ª"/>
      <sheetName val="BRADESCO_-_SAMPCO"/>
      <sheetName val="BRADESCO_-_2ª"/>
      <sheetName val="RABOBANK_US$_20MM"/>
      <sheetName val="SAFRA_-_US$10"/>
      <sheetName val="SAFRA_-_US$5"/>
      <sheetName val="SAFRA_-_US$5_(2)"/>
      <sheetName val="RABOBANK_US$_40MM"/>
      <sheetName val="BRADESCO_-_SAMPCO_(2)"/>
      <sheetName val="ITAÚ_US$_23MM"/>
      <sheetName val="APROPRIAÇÃO-MAI5_(2)"/>
      <sheetName val="Curto-Longo_PzMAI5_(2)"/>
      <sheetName val="Curto-Longo_PzJUL05"/>
      <sheetName val="Curto-Longo_PzAGO05"/>
      <sheetName val="ING_US$10MM"/>
      <sheetName val="Curto-Longo_PzOUT05"/>
      <sheetName val="Curto-Longo_PzSET05"/>
      <sheetName val="APROPRIAÇÃO_AGO04"/>
      <sheetName val="APROPRIAÇÃO_JUL04"/>
      <sheetName val="Curto-Longo_Pz_SET-04"/>
      <sheetName val="Curto-Longo_Pz_OUT-04"/>
      <sheetName val="Curto-Longo_Pz_DEZ04"/>
      <sheetName val="Curto-Longo_Pz_MAR05"/>
      <sheetName val="Curto-Longo_PzABR05"/>
      <sheetName val="Curto-Longo_Pz_JAN05"/>
      <sheetName val="Curto-Longo_Pz_NOV04"/>
      <sheetName val="Curto-Longo_Pz_AGO-04"/>
      <sheetName val="Curto-Longo_Pz_Jul-04"/>
      <sheetName val="Curto-Longo_Pz_Jun-04"/>
      <sheetName val="BRADESCO___2ª"/>
      <sheetName val="RABOBANK_US__20MM"/>
      <sheetName val="SAFRA___US_10"/>
      <sheetName val="SAFRA___US_5"/>
      <sheetName val="SAFRA___US_5__2_"/>
      <sheetName val="RABOBANK_US__40MM"/>
      <sheetName val="BRADESCO___SAMPCO__2_"/>
      <sheetName val="ITAÚ_US__23MM"/>
      <sheetName val="ING_US_10MM"/>
      <sheetName val="POP_cost"/>
      <sheetName val="BASE_DE_DADOS"/>
      <sheetName val="quadro_ii_"/>
      <sheetName val="Aplicação_HTB"/>
      <sheetName val="Conta_Cliente"/>
      <sheetName val="Acompanhamento_de_RCC"/>
      <sheetName val="Oper"/>
      <sheetName val="         Title              "/>
      <sheetName val="Premissas"/>
      <sheetName val="RABO__US$12,5_MM_-_1ª1"/>
      <sheetName val="RABO__US$12,5_MM_-_1ª-cor_1"/>
      <sheetName val="RABO__US$12,5_MM_-_2ª1"/>
      <sheetName val="BRADESCO_-_SAMPCO1"/>
      <sheetName val="BRADESCO_-_2ª1"/>
      <sheetName val="RABOBANK_US$_20MM1"/>
      <sheetName val="SAFRA_-_US$101"/>
      <sheetName val="SAFRA_-_US$51"/>
      <sheetName val="SAFRA_-_US$5_(2)1"/>
      <sheetName val="RABOBANK_US$_40MM1"/>
      <sheetName val="BRADESCO_-_SAMPCO_(2)1"/>
      <sheetName val="ITAÚ_US$_23MM1"/>
      <sheetName val="APROPRIAÇÃO-MAI5_(2)1"/>
      <sheetName val="Curto-Longo_PzMAI5_(2)1"/>
      <sheetName val="Curto-Longo_PzJUL051"/>
      <sheetName val="Curto-Longo_PzAGO051"/>
      <sheetName val="ING_US$10MM1"/>
      <sheetName val="Curto-Longo_PzOUT051"/>
      <sheetName val="Curto-Longo_PzSET051"/>
      <sheetName val="APROPRIAÇÃO_AGO041"/>
      <sheetName val="APROPRIAÇÃO_JUL041"/>
      <sheetName val="Curto-Longo_Pz_SET-041"/>
      <sheetName val="Curto-Longo_Pz_OUT-041"/>
      <sheetName val="Curto-Longo_Pz_DEZ041"/>
      <sheetName val="Curto-Longo_Pz_MAR051"/>
      <sheetName val="Curto-Longo_PzABR051"/>
      <sheetName val="Curto-Longo_Pz_JAN051"/>
      <sheetName val="Curto-Longo_Pz_NOV041"/>
      <sheetName val="Curto-Longo_Pz_AGO-041"/>
      <sheetName val="Curto-Longo_Pz_Jul-041"/>
      <sheetName val="Curto-Longo_Pz_Jun-041"/>
      <sheetName val="BRADESCO___2ª1"/>
      <sheetName val="RABOBANK_US__20MM1"/>
      <sheetName val="SAFRA___US_101"/>
      <sheetName val="SAFRA___US_51"/>
      <sheetName val="SAFRA___US_5__2_1"/>
      <sheetName val="RABOBANK_US__40MM1"/>
      <sheetName val="BRADESCO___SAMPCO__2_1"/>
      <sheetName val="ITAÚ_US__23MM1"/>
      <sheetName val="ING_US_10MM1"/>
      <sheetName val="POP_cost1"/>
      <sheetName val="BASE_DE_DADOS1"/>
      <sheetName val="quadro_ii_1"/>
      <sheetName val="Aplicação_HTB1"/>
      <sheetName val="Conta_Cliente1"/>
      <sheetName val="Acompanhamento_de_RCC1"/>
      <sheetName val="_________Title______________"/>
      <sheetName val="1. Instellingen"/>
      <sheetName val="Planilha1"/>
      <sheetName val="base_folha"/>
      <sheetName val="RetrieveParameters"/>
      <sheetName val="Names"/>
      <sheetName val="Resultado"/>
      <sheetName val="conssid12-96"/>
      <sheetName val="conc 20"/>
      <sheetName val="PESOS PARA CRONOGRAMA"/>
      <sheetName val="Dados"/>
      <sheetName val="Imobiliz"/>
      <sheetName val="Orct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refreshError="1"/>
      <sheetData sheetId="116" refreshError="1"/>
      <sheetData sheetId="117" refreshError="1"/>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refreshError="1"/>
      <sheetData sheetId="166"/>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Set>
  </externalBook>
</externalLink>
</file>

<file path=xl/externalLinks/externalLink32.xml><?xml version="1.0" encoding="utf-8"?>
<externalLink xmlns="http://schemas.openxmlformats.org/spreadsheetml/2006/main">
  <externalBook xmlns:r="http://schemas.openxmlformats.org/officeDocument/2006/relationships" r:id="rId1">
    <sheetNames>
      <sheetName val="Controls"/>
      <sheetName val="TS"/>
      <sheetName val="Covenants"/>
      <sheetName val="P&amp;L"/>
      <sheetName val="BS"/>
      <sheetName val="CF"/>
      <sheetName val="Debt"/>
      <sheetName val="Tax"/>
      <sheetName val="Accell"/>
      <sheetName val="Div2"/>
      <sheetName val="Div3"/>
      <sheetName val="Div4"/>
      <sheetName val="Eliminations"/>
      <sheetName val="Minority"/>
      <sheetName val="Group"/>
      <sheetName val="Exit"/>
      <sheetName val="Fees"/>
      <sheetName val="S&amp;U"/>
      <sheetName val="Financials"/>
      <sheetName val="Credit pack"/>
      <sheetName val="Div5"/>
      <sheetName val="Div6"/>
      <sheetName val="Div7"/>
      <sheetName val="Div8"/>
      <sheetName val="Div9"/>
      <sheetName val="Div10"/>
      <sheetName val="zle003t"/>
      <sheetName val="J_1BNFDOC"/>
      <sheetName val="Constants"/>
      <sheetName val="POP cost"/>
      <sheetName val="FCF"/>
      <sheetName val="Input"/>
      <sheetName val="Index"/>
      <sheetName val="1. Instellingen"/>
      <sheetName val="Credit_pack"/>
      <sheetName val="POP_cost"/>
      <sheetName val="Credit_pack1"/>
      <sheetName val="POP_cost1"/>
      <sheetName val="Orcto"/>
      <sheetName val="capa"/>
      <sheetName val="Credit_pack2"/>
      <sheetName val="POP_cost2"/>
      <sheetName val="anterior"/>
      <sheetName val="orçamento"/>
      <sheetName val="Atual"/>
      <sheetName val="bol. acum."/>
      <sheetName val="conssid12-96"/>
      <sheetName val="Cenarios"/>
      <sheetName val="Plan1"/>
      <sheetName val="Oper"/>
      <sheetName val="B-Pav"/>
      <sheetName val="quadro ii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sheetData sheetId="35"/>
      <sheetData sheetId="36"/>
      <sheetData sheetId="37"/>
      <sheetData sheetId="38" refreshError="1"/>
      <sheetData sheetId="39" refreshError="1"/>
      <sheetData sheetId="40"/>
      <sheetData sheetId="4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Set>
  </externalBook>
</externalLink>
</file>

<file path=xl/externalLinks/externalLink33.xml><?xml version="1.0" encoding="utf-8"?>
<externalLink xmlns="http://schemas.openxmlformats.org/spreadsheetml/2006/main">
  <externalBook xmlns:r="http://schemas.openxmlformats.org/officeDocument/2006/relationships" r:id="rId1">
    <sheetNames>
      <sheetName val="__FDSCACHE__"/>
      <sheetName val="Control Panel"/>
      <sheetName val="Assumptions"/>
      <sheetName val="Model"/>
      <sheetName val="WACC"/>
      <sheetName val="DCF Matrix"/>
      <sheetName val="Footbal Field"/>
      <sheetName val="Summary"/>
      <sheetName val="Accounting_Reconc."/>
      <sheetName val="Purchase Accounting Adj"/>
      <sheetName val="SE Business Plan"/>
      <sheetName val="Pro Forma Consolidated"/>
      <sheetName val="Reconciliation Output"/>
      <sheetName val="Credit Output"/>
      <sheetName val="Acc_Dil Reconciliation"/>
      <sheetName val="Acc_Dil"/>
      <sheetName val="Sensitivity"/>
      <sheetName val="IRR"/>
      <sheetName val="Payback"/>
      <sheetName val="ROIC"/>
      <sheetName val="ROE"/>
      <sheetName val="ROCE"/>
      <sheetName val="Dividend"/>
      <sheetName val="Output EMG"/>
      <sheetName val="Key Figures"/>
      <sheetName val="Impairment Test per Unit"/>
      <sheetName val="Impairment Test"/>
      <sheetName val="Write-Off Goodwill"/>
      <sheetName val="Premium Calculation New"/>
      <sheetName val="Input Football Field"/>
      <sheetName val="Options Comps"/>
      <sheetName val="Inputs"/>
      <sheetName val="Output Comps"/>
      <sheetName val="Input P-Paids"/>
      <sheetName val="Output P-Paids"/>
      <sheetName val="Stora Figures"/>
      <sheetName val="Controls"/>
      <sheetName val="BASE DE DADOS"/>
      <sheetName val="FICBIOM"/>
      <sheetName val="WACC_PCM"/>
      <sheetName val="Control_Panel"/>
      <sheetName val="DCF_Matrix"/>
      <sheetName val="Footbal_Field"/>
      <sheetName val="Accounting_Reconc_"/>
      <sheetName val="Purchase_Accounting_Adj"/>
      <sheetName val="SE_Business_Plan"/>
      <sheetName val="Pro_Forma_Consolidated"/>
      <sheetName val="Reconciliation_Output"/>
      <sheetName val="Credit_Output"/>
      <sheetName val="Acc_Dil_Reconciliation"/>
      <sheetName val="Output_EMG"/>
      <sheetName val="Key_Figures"/>
      <sheetName val="Impairment_Test_per_Unit"/>
      <sheetName val="Impairment_Test"/>
      <sheetName val="Write-Off_Goodwill"/>
      <sheetName val="Premium_Calculation_New"/>
      <sheetName val="Input_Football_Field"/>
      <sheetName val="Options_Comps"/>
      <sheetName val="Output_Comps"/>
      <sheetName val="Input_P-Paids"/>
      <sheetName val="Output_P-Paids"/>
      <sheetName val="Stora_Figures"/>
      <sheetName val="BASE_DE_DADOS"/>
      <sheetName val="Control_Panel1"/>
      <sheetName val="DCF_Matrix1"/>
      <sheetName val="Footbal_Field1"/>
      <sheetName val="Accounting_Reconc_1"/>
      <sheetName val="Purchase_Accounting_Adj1"/>
      <sheetName val="SE_Business_Plan1"/>
      <sheetName val="Pro_Forma_Consolidated1"/>
      <sheetName val="Reconciliation_Output1"/>
      <sheetName val="Credit_Output1"/>
      <sheetName val="Acc_Dil_Reconciliation1"/>
      <sheetName val="Output_EMG1"/>
      <sheetName val="Key_Figures1"/>
      <sheetName val="Impairment_Test_per_Unit1"/>
      <sheetName val="Impairment_Test1"/>
      <sheetName val="Write-Off_Goodwill1"/>
      <sheetName val="Premium_Calculation_New1"/>
      <sheetName val="Input_Football_Field1"/>
      <sheetName val="Options_Comps1"/>
      <sheetName val="Output_Comps1"/>
      <sheetName val="Input_P-Paids1"/>
      <sheetName val="Output_P-Paids1"/>
      <sheetName val="Stora_Figures1"/>
      <sheetName val="BASE_DE_DADOS1"/>
      <sheetName val="Atual"/>
      <sheetName val="Orcto"/>
      <sheetName val="Plan1"/>
      <sheetName val="REqpt03"/>
      <sheetName val="Control_Panel2"/>
      <sheetName val="DCF_Matrix2"/>
      <sheetName val="Footbal_Field2"/>
      <sheetName val="Accounting_Reconc_2"/>
      <sheetName val="Purchase_Accounting_Adj2"/>
      <sheetName val="SE_Business_Plan2"/>
      <sheetName val="Pro_Forma_Consolidated2"/>
      <sheetName val="Reconciliation_Output2"/>
      <sheetName val="Credit_Output2"/>
      <sheetName val="Acc_Dil_Reconciliation2"/>
      <sheetName val="Output_EMG2"/>
      <sheetName val="Key_Figures2"/>
      <sheetName val="Impairment_Test_per_Unit2"/>
      <sheetName val="Impairment_Test2"/>
      <sheetName val="Write-Off_Goodwill2"/>
      <sheetName val="Premium_Calculation_New2"/>
      <sheetName val="Input_Football_Field2"/>
      <sheetName val="Options_Comps2"/>
      <sheetName val="Output_Comps2"/>
      <sheetName val="Input_P-Paids2"/>
      <sheetName val="Output_P-Paids2"/>
      <sheetName val="Stora_Figures2"/>
      <sheetName val="BASE_DE_DADOS2"/>
      <sheetName val="12-2007 - BACAXA"/>
      <sheetName val="Dados"/>
      <sheetName val="Oper"/>
      <sheetName val="Index"/>
      <sheetName val="1. Instellingen"/>
      <sheetName val="FCF"/>
      <sheetName val="Input"/>
      <sheetName val="conssid12-96"/>
      <sheetName val="eco-fin"/>
      <sheetName val="fluxo de caixa"/>
      <sheetName val="Cargo CC Set"/>
      <sheetName val="Composições Analíticas"/>
      <sheetName val="Cotacoes"/>
      <sheetName val="Fornecedores"/>
      <sheetName val="Premissas"/>
      <sheetName val="B-Pav"/>
      <sheetName val="Padrões HH&amp;Desp"/>
      <sheetName val="Descrição"/>
      <sheetName val="Resultado"/>
      <sheetName val="Constants"/>
      <sheetName val="POP cost"/>
      <sheetName val="Assum"/>
      <sheetName val="Base data"/>
      <sheetName val="anterior"/>
      <sheetName val="forecast"/>
      <sheetName val="orçamento"/>
      <sheetName val="Plan2"/>
      <sheetName val="Sheet2"/>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refreshError="1"/>
      <sheetData sheetId="87" refreshError="1"/>
      <sheetData sheetId="88" refreshError="1"/>
      <sheetData sheetId="89" refreshError="1"/>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Set>
  </externalBook>
</externalLink>
</file>

<file path=xl/externalLinks/externalLink34.xml><?xml version="1.0" encoding="utf-8"?>
<externalLink xmlns="http://schemas.openxmlformats.org/spreadsheetml/2006/main">
  <externalBook xmlns:r="http://schemas.openxmlformats.org/officeDocument/2006/relationships" r:id="rId1">
    <sheetNames>
      <sheetName val="parameters"/>
      <sheetName val="v&amp;w (nieuw format)"/>
      <sheetName val="brugstaat_EBIT"/>
      <sheetName val="brugstaat kosten"/>
      <sheetName val="net result per per"/>
      <sheetName val="ebit result per per"/>
      <sheetName val="omzet"/>
      <sheetName val="overige opbr."/>
      <sheetName val="cum oplage tel"/>
      <sheetName val="ontwikkeling oplage tel"/>
      <sheetName val="EBIT_BU"/>
      <sheetName val="fin b&amp;l"/>
      <sheetName val="SBS"/>
      <sheetName val="balans "/>
      <sheetName val="fte"/>
      <sheetName val="ftebt"/>
      <sheetName val="extpers"/>
      <sheetName val="Estv&amp;w"/>
      <sheetName val="EstEbita"/>
      <sheetName val="EstFin b&amp;l"/>
      <sheetName val="Control Panel"/>
      <sheetName val="Tarifas"/>
      <sheetName val="Resumo Por Ação 2016"/>
      <sheetName val="Controls"/>
      <sheetName val="Summary"/>
      <sheetName val="v&amp;w_(nieuw_format)"/>
      <sheetName val="brugstaat_kosten"/>
      <sheetName val="net_result_per_per"/>
      <sheetName val="ebit_result_per_per"/>
      <sheetName val="overige_opbr_"/>
      <sheetName val="cum_oplage_tel"/>
      <sheetName val="ontwikkeling_oplage_tel"/>
      <sheetName val="fin_b&amp;l"/>
      <sheetName val="balans_"/>
      <sheetName val="EstFin_b&amp;l"/>
      <sheetName val="Control_Panel"/>
      <sheetName val="Resumo_Por_Ação_2016"/>
      <sheetName val="v&amp;w_(nieuw_format)1"/>
      <sheetName val="brugstaat_kosten1"/>
      <sheetName val="net_result_per_per1"/>
      <sheetName val="ebit_result_per_per1"/>
      <sheetName val="overige_opbr_1"/>
      <sheetName val="cum_oplage_tel1"/>
      <sheetName val="ontwikkeling_oplage_tel1"/>
      <sheetName val="fin_b&amp;l1"/>
      <sheetName val="balans_1"/>
      <sheetName val="EstFin_b&amp;l1"/>
      <sheetName val="Control_Panel1"/>
      <sheetName val="Resumo_Por_Ação_20161"/>
      <sheetName val="base_folha"/>
      <sheetName val="v&amp;w_(nieuw_format)2"/>
      <sheetName val="brugstaat_kosten2"/>
      <sheetName val="net_result_per_per2"/>
      <sheetName val="ebit_result_per_per2"/>
      <sheetName val="overige_opbr_2"/>
      <sheetName val="cum_oplage_tel2"/>
      <sheetName val="ontwikkeling_oplage_tel2"/>
      <sheetName val="fin_b&amp;l2"/>
      <sheetName val="balans_2"/>
      <sheetName val="EstFin_b&amp;l2"/>
      <sheetName val="Control_Panel2"/>
      <sheetName val="Resumo_Por_Ação_20162"/>
      <sheetName val="Assump. "/>
      <sheetName val="Assum"/>
      <sheetName val="FICBIOM"/>
      <sheetName val="Orcto"/>
      <sheetName val="Assumptions"/>
      <sheetName val="Plan1"/>
      <sheetName val="Estimate"/>
      <sheetName val="UTR 2"/>
      <sheetName val="eco-fin"/>
      <sheetName val="conssid12-96"/>
      <sheetName val="fluxo de caixa"/>
      <sheetName val="Resultado"/>
      <sheetName val="Inputs"/>
      <sheetName val="P&amp;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refreshError="1"/>
      <sheetData sheetId="50"/>
      <sheetData sheetId="51"/>
      <sheetData sheetId="52"/>
      <sheetData sheetId="53"/>
      <sheetData sheetId="54"/>
      <sheetData sheetId="55"/>
      <sheetData sheetId="56"/>
      <sheetData sheetId="57"/>
      <sheetData sheetId="58"/>
      <sheetData sheetId="59"/>
      <sheetData sheetId="60"/>
      <sheetData sheetId="6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35.xml><?xml version="1.0" encoding="utf-8"?>
<externalLink xmlns="http://schemas.openxmlformats.org/spreadsheetml/2006/main">
  <externalBook xmlns:r="http://schemas.openxmlformats.org/officeDocument/2006/relationships" r:id="rId1">
    <sheetNames>
      <sheetName val="2013 BASE"/>
      <sheetName val="RESUMO"/>
      <sheetName val="ADM"/>
      <sheetName val="COMERCIAL"/>
      <sheetName val="DIR EXEC"/>
      <sheetName val="ENG"/>
      <sheetName val="OPERAÇÃO"/>
      <sheetName val="PRES"/>
      <sheetName val="2013 BASE (9)"/>
      <sheetName val="2013"/>
      <sheetName val="Cargo CC Set"/>
      <sheetName val="BASE SET"/>
      <sheetName val="Uniformes"/>
      <sheetName val="FERIAS"/>
      <sheetName val="Plan3"/>
      <sheetName val="parameters"/>
      <sheetName val="Plan1"/>
      <sheetName val="Orcto"/>
      <sheetName val="2013_BASE"/>
      <sheetName val="DIR_EXEC"/>
      <sheetName val="2013_BASE_(9)"/>
      <sheetName val="Cargo_CC_Set"/>
      <sheetName val="BASE_SET"/>
      <sheetName val="2013_BASE1"/>
      <sheetName val="DIR_EXEC1"/>
      <sheetName val="2013_BASE_(9)1"/>
      <sheetName val="Cargo_CC_Set1"/>
      <sheetName val="BASE_SET1"/>
      <sheetName val="quadro ii "/>
      <sheetName val="2013_BASE2"/>
      <sheetName val="DIR_EXEC2"/>
      <sheetName val="2013_BASE_(9)2"/>
      <sheetName val="Cargo_CC_Set2"/>
      <sheetName val="BASE_SET2"/>
      <sheetName val="Index"/>
      <sheetName val="1. Instellingen"/>
      <sheetName val="Control Panel"/>
      <sheetName val="Summary"/>
      <sheetName val="Controls"/>
      <sheetName val="DCF Assumptions"/>
      <sheetName val="PV Calcs"/>
      <sheetName val="Oper"/>
      <sheetName val="BDG"/>
      <sheetName val="ConsRot"/>
      <sheetName val="Orc"/>
      <sheetName val="Plan2"/>
      <sheetName val="Cover"/>
      <sheetName val="FCF"/>
      <sheetName val="Input"/>
      <sheetName val="Assump. "/>
      <sheetName val="Dados"/>
      <sheetName val="P&amp;L"/>
      <sheetName val="Assum"/>
      <sheetName val="conssid12-96"/>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sheetData sheetId="20"/>
      <sheetData sheetId="21"/>
      <sheetData sheetId="22"/>
      <sheetData sheetId="23"/>
      <sheetData sheetId="24"/>
      <sheetData sheetId="25"/>
      <sheetData sheetId="26"/>
      <sheetData sheetId="27"/>
      <sheetData sheetId="28" refreshError="1"/>
      <sheetData sheetId="29"/>
      <sheetData sheetId="30"/>
      <sheetData sheetId="31"/>
      <sheetData sheetId="32"/>
      <sheetData sheetId="33"/>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36.xml><?xml version="1.0" encoding="utf-8"?>
<externalLink xmlns="http://schemas.openxmlformats.org/spreadsheetml/2006/main">
  <externalBook xmlns:r="http://schemas.openxmlformats.org/officeDocument/2006/relationships" r:id="rId1">
    <sheetNames>
      <sheetName val="DADOS"/>
      <sheetName val="Swap"/>
      <sheetName val="Rev. Swap"/>
      <sheetName val="Aber - Bertin"/>
      <sheetName val="Liquid. NDF"/>
      <sheetName val="Liquid Opções"/>
      <sheetName val="OPCOES (2)"/>
      <sheetName val="Liquidado"/>
      <sheetName val="BOI"/>
      <sheetName val="BOI LIQ."/>
      <sheetName val="parameters"/>
      <sheetName val="Cargo CC Set"/>
      <sheetName val="Controls"/>
      <sheetName val="Atual"/>
      <sheetName val="Orcto"/>
      <sheetName val="Rev__Swap"/>
      <sheetName val="Aber_-_Bertin"/>
      <sheetName val="Liquid__NDF"/>
      <sheetName val="Liquid_Opções"/>
      <sheetName val="OPCOES_(2)"/>
      <sheetName val="BOI_LIQ_"/>
      <sheetName val="Cargo_CC_Set"/>
      <sheetName val="Rev__Swap1"/>
      <sheetName val="Aber_-_Bertin1"/>
      <sheetName val="Liquid__NDF1"/>
      <sheetName val="Liquid_Opções1"/>
      <sheetName val="OPCOES_(2)1"/>
      <sheetName val="BOI_LIQ_1"/>
      <sheetName val="Cargo_CC_Set1"/>
      <sheetName val="Premissas"/>
      <sheetName val="Plan1"/>
      <sheetName val="REqpt03"/>
      <sheetName val="AbertInvest"/>
      <sheetName val="Rev__Swap2"/>
      <sheetName val="Aber_-_Bertin2"/>
      <sheetName val="Liquid__NDF2"/>
      <sheetName val="Liquid_Opções2"/>
      <sheetName val="OPCOES_(2)2"/>
      <sheetName val="BOI_LIQ_2"/>
      <sheetName val="Cargo_CC_Set2"/>
      <sheetName val="Rev__Swap3"/>
      <sheetName val="Aber_-_Bertin3"/>
      <sheetName val="Liquid__NDF3"/>
      <sheetName val="Liquid_Opções3"/>
      <sheetName val="OPCOES_(2)3"/>
      <sheetName val="BOI_LIQ_3"/>
      <sheetName val="Cargo_CC_Set3"/>
      <sheetName val="Rev__Swap4"/>
      <sheetName val="Aber_-_Bertin4"/>
      <sheetName val="Liquid__NDF4"/>
      <sheetName val="Liquid_Opções4"/>
      <sheetName val="OPCOES_(2)4"/>
      <sheetName val="BOI_LIQ_4"/>
      <sheetName val="Cargo_CC_Set4"/>
      <sheetName val="Rev__Swap5"/>
      <sheetName val="Aber_-_Bertin5"/>
      <sheetName val="Liquid__NDF5"/>
      <sheetName val="Liquid_Opções5"/>
      <sheetName val="OPCOES_(2)5"/>
      <sheetName val="BOI_LIQ_5"/>
      <sheetName val="Cargo_CC_Set5"/>
      <sheetName val="Rev__Swap6"/>
      <sheetName val="Aber_-_Bertin6"/>
      <sheetName val="Liquid__NDF6"/>
      <sheetName val="Liquid_Opções6"/>
      <sheetName val="OPCOES_(2)6"/>
      <sheetName val="BOI_LIQ_6"/>
      <sheetName val="Cargo_CC_Set6"/>
      <sheetName val="conssid12-96"/>
      <sheetName val="Index"/>
      <sheetName val="1. Instellingen"/>
      <sheetName val="PESOS PARA CRONOGRAMA"/>
      <sheetName val="Rev__Swap7"/>
      <sheetName val="Aber_-_Bertin7"/>
      <sheetName val="Liquid__NDF7"/>
      <sheetName val="Liquid_Opções7"/>
      <sheetName val="OPCOES_(2)7"/>
      <sheetName val="BOI_LIQ_7"/>
      <sheetName val="Cargo_CC_Set7"/>
      <sheetName val="1__Instellingen"/>
      <sheetName val="PESOS_PARA_CRONOGRAMA"/>
      <sheetName val="base_folha"/>
      <sheetName val="Planilha1"/>
      <sheetName val="Opções"/>
      <sheetName val="Assump. "/>
      <sheetName val="Overige"/>
      <sheetName val="quadro ii "/>
      <sheetName val="FICBIOM"/>
      <sheetName val="Oper"/>
      <sheetName val="BDG"/>
      <sheetName val="ConsRot"/>
      <sheetName val="Orc"/>
      <sheetName val="FORWARD"/>
      <sheetName val="Summary"/>
      <sheetName val="Constants"/>
      <sheetName val="POP cost"/>
      <sheetName val="anterior"/>
      <sheetName val="orçamento"/>
      <sheetName val="Plan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refreshError="1"/>
      <sheetData sheetId="30" refreshError="1"/>
      <sheetData sheetId="31" refreshError="1"/>
      <sheetData sheetId="32" refreshError="1"/>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refreshError="1"/>
      <sheetData sheetId="69" refreshError="1"/>
      <sheetData sheetId="70" refreshError="1"/>
      <sheetData sheetId="71" refreshError="1"/>
      <sheetData sheetId="72"/>
      <sheetData sheetId="73"/>
      <sheetData sheetId="74"/>
      <sheetData sheetId="75"/>
      <sheetData sheetId="76"/>
      <sheetData sheetId="77"/>
      <sheetData sheetId="78"/>
      <sheetData sheetId="79"/>
      <sheetData sheetId="80"/>
      <sheetData sheetId="81" refreshError="1"/>
      <sheetData sheetId="82"/>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Set>
  </externalBook>
</externalLink>
</file>

<file path=xl/externalLinks/externalLink37.xml><?xml version="1.0" encoding="utf-8"?>
<externalLink xmlns="http://schemas.openxmlformats.org/spreadsheetml/2006/main">
  <externalBook xmlns:r="http://schemas.openxmlformats.org/officeDocument/2006/relationships" r:id="rId1">
    <sheetNames>
      <sheetName val="Entrada"/>
      <sheetName val="Tela_Principal"/>
      <sheetName val="Ativo - Fip"/>
      <sheetName val="Passivo - Fip"/>
      <sheetName val="Crítica"/>
      <sheetName val="Resultado"/>
      <sheetName val="Programa"/>
      <sheetName val="Financiamento"/>
      <sheetName val="Cargo CC Set"/>
      <sheetName val="Base data"/>
      <sheetName val="Plan1"/>
      <sheetName val="base_folha"/>
      <sheetName val="Ativo_-_Fip"/>
      <sheetName val="Passivo_-_Fip"/>
      <sheetName val="Cargo_CC_Set"/>
      <sheetName val="Base_data"/>
      <sheetName val="Ativo_-_Fip1"/>
      <sheetName val="Passivo_-_Fip1"/>
      <sheetName val="Cargo_CC_Set1"/>
      <sheetName val="Base_data1"/>
      <sheetName val="AbertInvest"/>
      <sheetName val="Ativo_-_Fip2"/>
      <sheetName val="Passivo_-_Fip2"/>
      <sheetName val="Cargo_CC_Set2"/>
      <sheetName val="Base_data2"/>
      <sheetName val="Orcto"/>
      <sheetName val="CAT EMOP"/>
      <sheetName val="EMOP_201209_ser"/>
      <sheetName val="Dados"/>
      <sheetName val="Imobiliz"/>
      <sheetName val="Parameters"/>
      <sheetName val="Cover"/>
      <sheetName val="Assum"/>
      <sheetName val="         Title              "/>
      <sheetName val="FCF"/>
      <sheetName val="Input"/>
      <sheetName val="Summary"/>
      <sheetName val="Controls"/>
      <sheetName val="Control Panel"/>
      <sheetName val="eco-fin"/>
      <sheetName val="conssid12-96"/>
      <sheetName val="fluxo de caix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refreshError="1"/>
      <sheetData sheetId="11" refreshError="1"/>
      <sheetData sheetId="12"/>
      <sheetData sheetId="13"/>
      <sheetData sheetId="14"/>
      <sheetData sheetId="15"/>
      <sheetData sheetId="16"/>
      <sheetData sheetId="17"/>
      <sheetData sheetId="18"/>
      <sheetData sheetId="19"/>
      <sheetData sheetId="20" refreshError="1"/>
      <sheetData sheetId="21"/>
      <sheetData sheetId="22"/>
      <sheetData sheetId="23"/>
      <sheetData sheetId="24"/>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38.xml><?xml version="1.0" encoding="utf-8"?>
<externalLink xmlns="http://schemas.openxmlformats.org/spreadsheetml/2006/main">
  <externalBook xmlns:r="http://schemas.openxmlformats.org/officeDocument/2006/relationships" r:id="rId1">
    <sheetNames>
      <sheetName val="Assump. "/>
      <sheetName val="Resultado"/>
      <sheetName val="BDG"/>
      <sheetName val="ConsRot"/>
      <sheetName val="Orc"/>
      <sheetName val="centro_conv"/>
      <sheetName val="ed_escrit"/>
      <sheetName val="estac"/>
      <sheetName val="hospital"/>
      <sheetName val="hotel"/>
      <sheetName val="ser_ger"/>
      <sheetName val="urban"/>
      <sheetName val="BU TV &amp; Ancillary"/>
      <sheetName val="quadro ii "/>
      <sheetName val="Assump__"/>
      <sheetName val="BU_TV_&amp;_Ancillary"/>
      <sheetName val="Assump__1"/>
      <sheetName val="BU_TV_&amp;_Ancillary1"/>
      <sheetName val="FCF"/>
      <sheetName val="Input"/>
      <sheetName val="Plan1"/>
      <sheetName val="REqpt03"/>
      <sheetName val="Orcto"/>
      <sheetName val="Assump__2"/>
      <sheetName val="BU_TV_&amp;_Ancillary2"/>
      <sheetName val="orçamento"/>
      <sheetName val="parameters"/>
      <sheetName val="1.P&amp;L"/>
      <sheetName val="Buy Out Overview"/>
      <sheetName val="Base data"/>
      <sheetName val="Assum"/>
      <sheetName val="Summary"/>
      <sheetName val="         Title              "/>
      <sheetName val="Control Panel"/>
      <sheetName val="RESUMO_AUT1"/>
      <sheetName val="CAT EMOP"/>
      <sheetName val="Cat Elem +Reut"/>
      <sheetName val="Composição"/>
      <sheetName val="ELEM0910"/>
      <sheetName val="Elementar"/>
      <sheetName val="EMOP201202"/>
      <sheetName val="Espelho"/>
      <sheetName val="Planilh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sheetData sheetId="16"/>
      <sheetData sheetId="17"/>
      <sheetData sheetId="18" refreshError="1"/>
      <sheetData sheetId="19" refreshError="1"/>
      <sheetData sheetId="20" refreshError="1"/>
      <sheetData sheetId="21" refreshError="1"/>
      <sheetData sheetId="22" refreshError="1"/>
      <sheetData sheetId="23"/>
      <sheetData sheetId="24"/>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39.xml><?xml version="1.0" encoding="utf-8"?>
<externalLink xmlns="http://schemas.openxmlformats.org/spreadsheetml/2006/main">
  <externalBook xmlns:r="http://schemas.openxmlformats.org/officeDocument/2006/relationships" r:id="rId1">
    <sheetNames>
      <sheetName val="Index"/>
      <sheetName val="1.1 - cash Flow statements"/>
      <sheetName val="1.2 - Cash Information"/>
      <sheetName val="2.4 - Fees PwC"/>
      <sheetName val="3.1 Deferred"/>
      <sheetName val="3.2 Current"/>
      <sheetName val="3.3 NOL's"/>
      <sheetName val="4.1 - other receivables"/>
      <sheetName val="4.2 Investments"/>
      <sheetName val="4.3 Acquisition fees"/>
      <sheetName val="4.5 - Loans Rec"/>
      <sheetName val="4.6 - LT Debt"/>
      <sheetName val="4.8 - Provisions"/>
      <sheetName val="5.1 - Restructuring"/>
      <sheetName val="5.2 - other charges"/>
      <sheetName val="5.3 - other and Non recurring"/>
      <sheetName val="5.4 Foreign Exchange"/>
      <sheetName val="5.5 - Extraordinary items"/>
      <sheetName val="Exchange rates"/>
      <sheetName val="RetrieveParameters"/>
      <sheetName val="Names"/>
      <sheetName val="Assump. "/>
      <sheetName val="Group List"/>
      <sheetName val="Constants"/>
      <sheetName val="POP cost"/>
      <sheetName val="Premissas"/>
      <sheetName val="1_1_-_cash_Flow_statements"/>
      <sheetName val="1_2_-_Cash_Information"/>
      <sheetName val="2_4_-_Fees_PwC"/>
      <sheetName val="3_1_Deferred"/>
      <sheetName val="3_2_Current"/>
      <sheetName val="3_3_NOL's"/>
      <sheetName val="4_1_-_other_receivables"/>
      <sheetName val="4_2_Investments"/>
      <sheetName val="4_3_Acquisition_fees"/>
      <sheetName val="4_5_-_Loans_Rec"/>
      <sheetName val="4_6_-_LT_Debt"/>
      <sheetName val="4_8_-_Provisions"/>
      <sheetName val="5_1_-_Restructuring"/>
      <sheetName val="5_2_-_other_charges"/>
      <sheetName val="5_3_-_other_and_Non_recurring"/>
      <sheetName val="5_4_Foreign_Exchange"/>
      <sheetName val="5_5_-_Extraordinary_items"/>
      <sheetName val="Exchange_rates"/>
      <sheetName val="Assump__"/>
      <sheetName val="Group_List"/>
      <sheetName val="POP_cost"/>
      <sheetName val="1_1_-_cash_Flow_statements1"/>
      <sheetName val="1_2_-_Cash_Information1"/>
      <sheetName val="2_4_-_Fees_PwC1"/>
      <sheetName val="3_1_Deferred1"/>
      <sheetName val="3_2_Current1"/>
      <sheetName val="3_3_NOL's1"/>
      <sheetName val="4_1_-_other_receivables1"/>
      <sheetName val="4_2_Investments1"/>
      <sheetName val="4_3_Acquisition_fees1"/>
      <sheetName val="4_5_-_Loans_Rec1"/>
      <sheetName val="4_6_-_LT_Debt1"/>
      <sheetName val="4_8_-_Provisions1"/>
      <sheetName val="5_1_-_Restructuring1"/>
      <sheetName val="5_2_-_other_charges1"/>
      <sheetName val="5_3_-_other_and_Non_recurring1"/>
      <sheetName val="5_4_Foreign_Exchange1"/>
      <sheetName val="5_5_-_Extraordinary_items1"/>
      <sheetName val="Exchange_rates1"/>
      <sheetName val="Assump__1"/>
      <sheetName val="Group_List1"/>
      <sheetName val="POP_cost1"/>
      <sheetName val="Controls"/>
      <sheetName val="Plan1"/>
      <sheetName val="1.P&amp;L"/>
      <sheetName val="Buy Out Overview"/>
      <sheetName val="1_1_-_cash_Flow_statements2"/>
      <sheetName val="1_2_-_Cash_Information2"/>
      <sheetName val="2_4_-_Fees_PwC2"/>
      <sheetName val="3_1_Deferred2"/>
      <sheetName val="3_2_Current2"/>
      <sheetName val="3_3_NOL's2"/>
      <sheetName val="4_1_-_other_receivables2"/>
      <sheetName val="4_2_Investments2"/>
      <sheetName val="4_3_Acquisition_fees2"/>
      <sheetName val="4_5_-_Loans_Rec2"/>
      <sheetName val="4_6_-_LT_Debt2"/>
      <sheetName val="4_8_-_Provisions2"/>
      <sheetName val="5_1_-_Restructuring2"/>
      <sheetName val="5_2_-_other_charges2"/>
      <sheetName val="5_3_-_other_and_Non_recurring2"/>
      <sheetName val="5_4_Foreign_Exchange2"/>
      <sheetName val="5_5_-_Extraordinary_items2"/>
      <sheetName val="Exchange_rates2"/>
      <sheetName val="Assump__2"/>
      <sheetName val="Group_List2"/>
      <sheetName val="POP_cost2"/>
      <sheetName val="Atual"/>
      <sheetName val="Orcto"/>
      <sheetName val="DADOS"/>
      <sheetName val="FCF"/>
      <sheetName val="Inputs"/>
      <sheetName val="P&amp;L"/>
      <sheetName val="BS"/>
      <sheetName val="Control"/>
      <sheetName val="BU TV &amp; Ancillary"/>
      <sheetName val="anterior"/>
      <sheetName val="forecast"/>
      <sheetName val="orçamento"/>
      <sheetName val="capa"/>
      <sheetName val="Plan2"/>
      <sheetName val="Resultado"/>
      <sheetName val="Parameters"/>
      <sheetName val="Cargo CC Set"/>
      <sheetName val="QUADRA POLIESPORTIVA"/>
      <sheetName val="Oper"/>
      <sheetName val="REqpt03"/>
      <sheetName val="FICBI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efreshError="1"/>
      <sheetData sheetId="22" refreshError="1"/>
      <sheetData sheetId="23" refreshError="1"/>
      <sheetData sheetId="24" refreshError="1"/>
      <sheetData sheetId="25" refreshError="1"/>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refreshError="1"/>
      <sheetData sheetId="69" refreshError="1"/>
      <sheetData sheetId="70" refreshError="1"/>
      <sheetData sheetId="71" refreshError="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Set>
  </externalBook>
</externalLink>
</file>

<file path=xl/externalLinks/externalLink40.xml><?xml version="1.0" encoding="utf-8"?>
<externalLink xmlns="http://schemas.openxmlformats.org/spreadsheetml/2006/main">
  <externalBook xmlns:r="http://schemas.openxmlformats.org/officeDocument/2006/relationships" r:id="rId1">
    <sheetNames>
      <sheetName val="assemblies A _ E"/>
      <sheetName val="assemblies A - E"/>
      <sheetName val="DADOS"/>
      <sheetName val="BDI"/>
      <sheetName val="MENU"/>
    </sheetNames>
    <sheetDataSet>
      <sheetData sheetId="0"/>
      <sheetData sheetId="1"/>
      <sheetData sheetId="2" refreshError="1"/>
      <sheetData sheetId="3" refreshError="1"/>
      <sheetData sheetId="4" refreshError="1"/>
    </sheetDataSet>
  </externalBook>
</externalLink>
</file>

<file path=xl/externalLinks/externalLink41.xml><?xml version="1.0" encoding="utf-8"?>
<externalLink xmlns="http://schemas.openxmlformats.org/spreadsheetml/2006/main">
  <externalBook xmlns:r="http://schemas.openxmlformats.org/officeDocument/2006/relationships" r:id="rId1">
    <sheetNames>
      <sheetName val="assemblies L _ Q"/>
      <sheetName val="assemblies L - Q"/>
      <sheetName val="assemblies A _ E"/>
    </sheetNames>
    <sheetDataSet>
      <sheetData sheetId="0"/>
      <sheetData sheetId="1"/>
      <sheetData sheetId="2" refreshError="1"/>
    </sheetDataSet>
  </externalBook>
</externalLink>
</file>

<file path=xl/externalLinks/externalLink42.xml><?xml version="1.0" encoding="utf-8"?>
<externalLink xmlns="http://schemas.openxmlformats.org/spreadsheetml/2006/main">
  <externalBook xmlns:r="http://schemas.openxmlformats.org/officeDocument/2006/relationships" r:id="rId1">
    <sheetNames>
      <sheetName val="assemblies R _ Z"/>
      <sheetName val="assemblies R - Z"/>
      <sheetName val="assemblies L _ Q"/>
    </sheetNames>
    <sheetDataSet>
      <sheetData sheetId="0"/>
      <sheetData sheetId="1"/>
      <sheetData sheetId="2" refreshError="1"/>
    </sheetDataSet>
  </externalBook>
</externalLink>
</file>

<file path=xl/externalLinks/externalLink43.xml><?xml version="1.0" encoding="utf-8"?>
<externalLink xmlns="http://schemas.openxmlformats.org/spreadsheetml/2006/main">
  <externalBook xmlns:r="http://schemas.openxmlformats.org/officeDocument/2006/relationships" r:id="rId1">
    <sheetNames>
      <sheetName val="assemblies F _ K"/>
      <sheetName val="assemblies F - K"/>
      <sheetName val="assemblies R _ Z"/>
    </sheetNames>
    <sheetDataSet>
      <sheetData sheetId="0"/>
      <sheetData sheetId="1"/>
      <sheetData sheetId="2" refreshError="1"/>
    </sheetDataSet>
  </externalBook>
</externalLink>
</file>

<file path=xl/externalLinks/externalLink44.xml><?xml version="1.0" encoding="utf-8"?>
<externalLink xmlns="http://schemas.openxmlformats.org/spreadsheetml/2006/main">
  <externalBook xmlns:r="http://schemas.openxmlformats.org/officeDocument/2006/relationships" r:id="rId1">
    <sheetNames>
      <sheetName val="Controls"/>
      <sheetName val="Index"/>
      <sheetName val="Sum"/>
      <sheetName val="LTM"/>
      <sheetName val="P&amp;L"/>
      <sheetName val="BS"/>
      <sheetName val="CFS"/>
      <sheetName val="Assump"/>
      <sheetName val="Depr"/>
      <sheetName val="Amort"/>
      <sheetName val="Debt"/>
      <sheetName val="Conv. Debt"/>
      <sheetName val="Preferred"/>
      <sheetName val="Conv. Pref."/>
      <sheetName val="Tax"/>
      <sheetName val="Options"/>
      <sheetName val="Shares Outstanding"/>
      <sheetName val="Firm Value"/>
      <sheetName val="Premium"/>
      <sheetName val="DCF_10"/>
      <sheetName val="DCF_5"/>
      <sheetName val="Comps"/>
      <sheetName val="LBO"/>
      <sheetName val="HighYield"/>
      <sheetName val="EVA"/>
      <sheetName val="Check"/>
      <sheetName val="Print Controls"/>
      <sheetName val="PrintMacro"/>
      <sheetName val="RetrieveParameters"/>
      <sheetName val="Names"/>
      <sheetName val="Orçamento 2012"/>
      <sheetName val="BRADESCO - 2ª"/>
      <sheetName val="BRADESCO - SAMPCO (2)"/>
      <sheetName val="ING US$10MM"/>
      <sheetName val="ITAÚ US$ 23MM"/>
      <sheetName val="ITAÚ"/>
      <sheetName val="OCTAGON"/>
      <sheetName val="RABOBANK US$ 20MM"/>
      <sheetName val="RABOBANK US$ 40MM"/>
      <sheetName val="SAFRA - US$10"/>
      <sheetName val="SAFRA - US$5"/>
      <sheetName val="SAFRA - US$5 (2)"/>
      <sheetName val="BU TV &amp; Ancillary"/>
      <sheetName val="Plan1"/>
      <sheetName val="Conv__Debt"/>
      <sheetName val="Conv__Pref_"/>
      <sheetName val="Shares_Outstanding"/>
      <sheetName val="Firm_Value"/>
      <sheetName val="Print_Controls"/>
      <sheetName val="Orçamento_2012"/>
      <sheetName val="BRADESCO_-_2ª"/>
      <sheetName val="BRADESCO_-_SAMPCO_(2)"/>
      <sheetName val="ING_US$10MM"/>
      <sheetName val="ITAÚ_US$_23MM"/>
      <sheetName val="RABOBANK_US$_20MM"/>
      <sheetName val="RABOBANK_US$_40MM"/>
      <sheetName val="SAFRA_-_US$10"/>
      <sheetName val="SAFRA_-_US$5"/>
      <sheetName val="SAFRA_-_US$5_(2)"/>
      <sheetName val="BU_TV_&amp;_Ancillary"/>
      <sheetName val="Conv__Debt1"/>
      <sheetName val="Conv__Pref_1"/>
      <sheetName val="Shares_Outstanding1"/>
      <sheetName val="Firm_Value1"/>
      <sheetName val="Print_Controls1"/>
      <sheetName val="Orçamento_20121"/>
      <sheetName val="BRADESCO_-_2ª1"/>
      <sheetName val="BRADESCO_-_SAMPCO_(2)1"/>
      <sheetName val="ING_US$10MM1"/>
      <sheetName val="ITAÚ_US$_23MM1"/>
      <sheetName val="RABOBANK_US$_20MM1"/>
      <sheetName val="RABOBANK_US$_40MM1"/>
      <sheetName val="SAFRA_-_US$101"/>
      <sheetName val="SAFRA_-_US$51"/>
      <sheetName val="SAFRA_-_US$5_(2)1"/>
      <sheetName val="BU_TV_&amp;_Ancillary1"/>
      <sheetName val="DCF Assumptions"/>
      <sheetName val="PV Calcs"/>
      <sheetName val="Orcto"/>
      <sheetName val="Conv__Debt2"/>
      <sheetName val="Conv__Pref_2"/>
      <sheetName val="Shares_Outstanding2"/>
      <sheetName val="Firm_Value2"/>
      <sheetName val="Print_Controls2"/>
      <sheetName val="Orçamento_20122"/>
      <sheetName val="BRADESCO_-_2ª2"/>
      <sheetName val="BRADESCO_-_SAMPCO_(2)2"/>
      <sheetName val="ING_US$10MM2"/>
      <sheetName val="ITAÚ_US$_23MM2"/>
      <sheetName val="RABOBANK_US$_20MM2"/>
      <sheetName val="RABOBANK_US$_40MM2"/>
      <sheetName val="SAFRA_-_US$102"/>
      <sheetName val="SAFRA_-_US$52"/>
      <sheetName val="SAFRA_-_US$5_(2)2"/>
      <sheetName val="BU_TV_&amp;_Ancillary2"/>
      <sheetName val="CAPEX CUSTO"/>
      <sheetName val="O x R"/>
      <sheetName val="Assump. "/>
      <sheetName val="REqpt03"/>
      <sheetName val="Constants"/>
      <sheetName val="POP cost"/>
      <sheetName val="anterior"/>
      <sheetName val="orçamento"/>
      <sheetName val="atual"/>
      <sheetName val="capa"/>
      <sheetName val="Sheet2"/>
      <sheetName val="PLANILHA (2)"/>
      <sheetName val="Dados"/>
      <sheetName val="Base data"/>
      <sheetName val="RESUMO"/>
      <sheetName val="Diversos-Caixa"/>
      <sheetName val="Equipamentos"/>
      <sheetName val="Materiais"/>
      <sheetName val="Subempreiteiros"/>
      <sheetName val="MED_SET"/>
      <sheetName val="QUADRA POLIESPORTIVA"/>
      <sheetName val="FCF"/>
      <sheetName val="Input"/>
      <sheetName val="composições"/>
      <sheetName val="ENCARGOS SOCIAIS"/>
      <sheetName val="Inputs"/>
      <sheetName val="1.P&amp;L"/>
      <sheetName val="Buy Out Overview"/>
      <sheetName val="1. Instellingen"/>
      <sheetName val="RealOut02"/>
      <sheetName val="Oper"/>
      <sheetName val="conssid12-96"/>
      <sheetName val="Summary_T"/>
      <sheetName val="Overige"/>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efreshError="1"/>
      <sheetData sheetId="28" refreshError="1"/>
      <sheetData sheetId="29" refreshError="1"/>
      <sheetData sheetId="30" refreshError="1"/>
      <sheetData sheetId="31"/>
      <sheetData sheetId="32"/>
      <sheetData sheetId="33"/>
      <sheetData sheetId="34"/>
      <sheetData sheetId="35"/>
      <sheetData sheetId="36"/>
      <sheetData sheetId="37"/>
      <sheetData sheetId="38"/>
      <sheetData sheetId="39"/>
      <sheetData sheetId="40"/>
      <sheetData sheetId="41"/>
      <sheetData sheetId="42" refreshError="1"/>
      <sheetData sheetId="43" refreshError="1"/>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refreshError="1"/>
      <sheetData sheetId="77" refreshError="1"/>
      <sheetData sheetId="78" refreshError="1"/>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sheetData sheetId="117"/>
      <sheetData sheetId="118"/>
      <sheetData sheetId="119"/>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Set>
  </externalBook>
</externalLink>
</file>

<file path=xl/externalLinks/externalLink45.xml><?xml version="1.0" encoding="utf-8"?>
<externalLink xmlns="http://schemas.openxmlformats.org/spreadsheetml/2006/main">
  <externalBook xmlns:r="http://schemas.openxmlformats.org/officeDocument/2006/relationships" r:id="rId1">
    <sheetNames>
      <sheetName val="Company data"/>
      <sheetName val="Cover"/>
      <sheetName val="P&amp;L"/>
      <sheetName val="Margin Analysis"/>
      <sheetName val="Personnel"/>
      <sheetName val="Personnel ratios"/>
      <sheetName val="Fixed Costs"/>
      <sheetName val="BS"/>
      <sheetName val="Cash Flow"/>
      <sheetName val="Working Capital"/>
      <sheetName val="Ageing"/>
      <sheetName val="Production Volumes"/>
      <sheetName val="Production report FG"/>
      <sheetName val="Production report S.F.G."/>
      <sheetName val="Customer satisfaction report"/>
      <sheetName val="Capex report"/>
      <sheetName val="Controls"/>
      <sheetName val="FCF"/>
      <sheetName val="Input"/>
      <sheetName val="Company_data"/>
      <sheetName val="Margin_Analysis"/>
      <sheetName val="Personnel_ratios"/>
      <sheetName val="Fixed_Costs"/>
      <sheetName val="Cash_Flow"/>
      <sheetName val="Working_Capital"/>
      <sheetName val="Production_Volumes"/>
      <sheetName val="Production_report_FG"/>
      <sheetName val="Production_report_S_F_G_"/>
      <sheetName val="Customer_satisfaction_report"/>
      <sheetName val="Capex_report"/>
      <sheetName val="Company_data1"/>
      <sheetName val="Margin_Analysis1"/>
      <sheetName val="Personnel_ratios1"/>
      <sheetName val="Fixed_Costs1"/>
      <sheetName val="Cash_Flow1"/>
      <sheetName val="Working_Capital1"/>
      <sheetName val="Production_Volumes1"/>
      <sheetName val="Production_report_FG1"/>
      <sheetName val="Production_report_S_F_G_1"/>
      <sheetName val="Customer_satisfaction_report1"/>
      <sheetName val="Capex_report1"/>
      <sheetName val="Parameters"/>
      <sheetName val="Dados"/>
      <sheetName val="Oper"/>
      <sheetName val="Company_data2"/>
      <sheetName val="Margin_Analysis2"/>
      <sheetName val="Personnel_ratios2"/>
      <sheetName val="Fixed_Costs2"/>
      <sheetName val="Cash_Flow2"/>
      <sheetName val="Working_Capital2"/>
      <sheetName val="Production_Volumes2"/>
      <sheetName val="Production_report_FG2"/>
      <sheetName val="Production_report_S_F_G_2"/>
      <sheetName val="Customer_satisfaction_report2"/>
      <sheetName val="Capex_report2"/>
      <sheetName val="PLANILHA (2)"/>
      <sheetName val="Index"/>
      <sheetName val="1. Instellingen"/>
      <sheetName val="base_folha"/>
      <sheetName val="BRADESCO - 2ª"/>
      <sheetName val="BRADESCO - SAMPCO (2)"/>
      <sheetName val="ING US$10MM"/>
      <sheetName val="ITAÚ US$ 23MM"/>
      <sheetName val="ITAÚ"/>
      <sheetName val="OCTAGON"/>
      <sheetName val="RABOBANK US$ 20MM"/>
      <sheetName val="RABOBANK US$ 40MM"/>
      <sheetName val="SAFRA - US$10"/>
      <sheetName val="SAFRA - US$5"/>
      <sheetName val="SAFRA - US$5 (2)"/>
      <sheetName val="REqpt03"/>
      <sheetName val="Orcto"/>
      <sheetName val="Plan1"/>
      <sheetName val="Capa"/>
      <sheetName val="Control"/>
      <sheetName val="MED_SET"/>
      <sheetName val="QUADRA POLIESPORTIVA"/>
      <sheetName val="BU TV &amp; Ancillary"/>
      <sheetName val="conssid12-96"/>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efreshError="1"/>
      <sheetData sheetId="42" refreshError="1"/>
      <sheetData sheetId="43" refreshError="1"/>
      <sheetData sheetId="44"/>
      <sheetData sheetId="45"/>
      <sheetData sheetId="46"/>
      <sheetData sheetId="47"/>
      <sheetData sheetId="48"/>
      <sheetData sheetId="49"/>
      <sheetData sheetId="50"/>
      <sheetData sheetId="51"/>
      <sheetData sheetId="52"/>
      <sheetData sheetId="53"/>
      <sheetData sheetId="54"/>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Set>
  </externalBook>
</externalLink>
</file>

<file path=xl/externalLinks/externalLink46.xml><?xml version="1.0" encoding="utf-8"?>
<externalLink xmlns="http://schemas.openxmlformats.org/spreadsheetml/2006/main">
  <externalBook xmlns:r="http://schemas.openxmlformats.org/officeDocument/2006/relationships" r:id="rId1">
    <sheetNames>
      <sheetName val="12.1"/>
      <sheetName val="Resumo"/>
      <sheetName val="1.1"/>
      <sheetName val="2.1"/>
      <sheetName val="2.2"/>
      <sheetName val="2.3"/>
      <sheetName val="2.4"/>
      <sheetName val="2.5"/>
      <sheetName val="3.1"/>
      <sheetName val="3.2"/>
      <sheetName val="4.1"/>
      <sheetName val="4.2"/>
      <sheetName val="4.3"/>
      <sheetName val="4.4"/>
      <sheetName val="4.5"/>
      <sheetName val="4.6"/>
      <sheetName val="4.7"/>
      <sheetName val="4.8"/>
      <sheetName val="4.9"/>
      <sheetName val="4.10"/>
      <sheetName val="5.1"/>
      <sheetName val="5.2"/>
      <sheetName val="5.3"/>
      <sheetName val="6.1"/>
      <sheetName val="6.2"/>
      <sheetName val="7.1"/>
      <sheetName val="7.2"/>
      <sheetName val="8.1"/>
      <sheetName val="8.2"/>
      <sheetName val="8.3"/>
      <sheetName val="8.4"/>
      <sheetName val="8.5"/>
      <sheetName val="8.6"/>
      <sheetName val="8.7"/>
      <sheetName val="8.8"/>
      <sheetName val="8.9"/>
      <sheetName val="8.10"/>
      <sheetName val="8.11"/>
      <sheetName val="8.12"/>
      <sheetName val="8.13"/>
      <sheetName val="8.14"/>
      <sheetName val="8.15"/>
      <sheetName val="8.16"/>
      <sheetName val="8.17"/>
      <sheetName val="8.18"/>
      <sheetName val="8.19"/>
      <sheetName val="8.20"/>
      <sheetName val="8.21"/>
      <sheetName val="8.22"/>
      <sheetName val="8.23"/>
      <sheetName val="8.24"/>
      <sheetName val="8.25"/>
      <sheetName val="8.26"/>
      <sheetName val="9.1"/>
      <sheetName val="9.2"/>
      <sheetName val="9.3"/>
      <sheetName val="9.4"/>
      <sheetName val="9.5"/>
      <sheetName val="9.6"/>
      <sheetName val="10.1"/>
      <sheetName val="10.2"/>
      <sheetName val="10.3"/>
      <sheetName val="10.4"/>
      <sheetName val="10.5"/>
      <sheetName val="10.6"/>
      <sheetName val="10.7"/>
      <sheetName val="10.8"/>
      <sheetName val="10.9"/>
      <sheetName val="10.10"/>
      <sheetName val="10.11"/>
      <sheetName val="10.12"/>
      <sheetName val="10.13"/>
      <sheetName val="10.14"/>
      <sheetName val="10.15"/>
      <sheetName val="10.16"/>
      <sheetName val="10.17"/>
      <sheetName val="10.18"/>
      <sheetName val="10.19"/>
      <sheetName val="10.20"/>
      <sheetName val="10.21"/>
      <sheetName val="10.22"/>
      <sheetName val="10.23"/>
      <sheetName val="10.24"/>
      <sheetName val="10.25"/>
      <sheetName val="10.26"/>
      <sheetName val="10.27"/>
      <sheetName val="10.28"/>
      <sheetName val="10.29"/>
      <sheetName val="10.30"/>
      <sheetName val="11.1"/>
      <sheetName val="12.2"/>
      <sheetName val="12.3"/>
      <sheetName val="12.4"/>
      <sheetName val="12.5"/>
      <sheetName val="12.6"/>
      <sheetName val="12.7"/>
      <sheetName val="12.8"/>
      <sheetName val="12.9"/>
      <sheetName val="12.10"/>
      <sheetName val="12.11"/>
      <sheetName val="12.12"/>
      <sheetName val="12.13"/>
      <sheetName val="Cronograma"/>
      <sheetName val="12_1"/>
      <sheetName val="MSProject"/>
      <sheetName val="Capa"/>
      <sheetName val="PLANILHA (2)"/>
      <sheetName val="PLANILHA BCK UP"/>
      <sheetName val="PLANILHA"/>
      <sheetName val="Cronograma Geral"/>
      <sheetName val="Cronog Lote III"/>
      <sheetName val="Cronog Lote II"/>
      <sheetName val="Cronog Lote I"/>
      <sheetName val="Res. Geral Lotes I, II e III"/>
      <sheetName val="Resumo Lote I"/>
      <sheetName val="Resumo Lote II"/>
      <sheetName val="Resumo Lote III"/>
      <sheetName val="TRECHOS"/>
      <sheetName val="TRECHOS (2)"/>
      <sheetName val="observações"/>
      <sheetName val="TRECHOS (3)"/>
      <sheetName val="TRECHOS (4)"/>
      <sheetName val="Células Soma"/>
      <sheetName val="plan. alvenaria"/>
      <sheetName val="planilha_3 linha "/>
      <sheetName val="Serviços EMOP"/>
      <sheetName val="planilha_ipiiba"/>
      <sheetName val="Itaúna"/>
      <sheetName val="DADOS COLETATO"/>
      <sheetName val="Dados"/>
      <sheetName val="QUADRA POLIESPORTIVA"/>
      <sheetName val="ResumoDeCusto"/>
      <sheetName val="Custo e Venda"/>
      <sheetName val="Salmod"/>
      <sheetName val="MAR01"/>
      <sheetName val="1_1"/>
      <sheetName val="2_1"/>
      <sheetName val="2_2"/>
      <sheetName val="2_3"/>
      <sheetName val="2_4"/>
      <sheetName val="2_5"/>
      <sheetName val="3_1"/>
      <sheetName val="3_2"/>
      <sheetName val="4_1"/>
      <sheetName val="4_2"/>
      <sheetName val="4_3"/>
      <sheetName val="4_4"/>
      <sheetName val="4_5"/>
      <sheetName val="4_6"/>
      <sheetName val="4_7"/>
      <sheetName val="4_8"/>
      <sheetName val="4_9"/>
      <sheetName val="4_10"/>
      <sheetName val="5_1"/>
      <sheetName val="5_2"/>
      <sheetName val="5_3"/>
      <sheetName val="6_1"/>
      <sheetName val="6_2"/>
      <sheetName val="7_1"/>
      <sheetName val="7_2"/>
      <sheetName val="8_1"/>
      <sheetName val="8_2"/>
      <sheetName val="8_3"/>
      <sheetName val="8_4"/>
      <sheetName val="8_5"/>
      <sheetName val="8_6"/>
      <sheetName val="8_7"/>
      <sheetName val="8_8"/>
      <sheetName val="8_9"/>
      <sheetName val="8_10"/>
      <sheetName val="8_11"/>
      <sheetName val="8_12"/>
      <sheetName val="8_13"/>
      <sheetName val="8_14"/>
      <sheetName val="8_15"/>
      <sheetName val="8_16"/>
      <sheetName val="8_17"/>
      <sheetName val="8_18"/>
      <sheetName val="8_19"/>
      <sheetName val="8_20"/>
      <sheetName val="8_21"/>
      <sheetName val="8_22"/>
      <sheetName val="8_23"/>
      <sheetName val="8_24"/>
      <sheetName val="8_25"/>
      <sheetName val="8_26"/>
      <sheetName val="9_1"/>
      <sheetName val="9_2"/>
      <sheetName val="9_3"/>
      <sheetName val="9_4"/>
      <sheetName val="9_5"/>
      <sheetName val="9_6"/>
      <sheetName val="10_1"/>
      <sheetName val="10_2"/>
      <sheetName val="10_3"/>
      <sheetName val="10_4"/>
      <sheetName val="10_5"/>
      <sheetName val="10_6"/>
      <sheetName val="10_7"/>
      <sheetName val="10_8"/>
      <sheetName val="10_9"/>
      <sheetName val="10_10"/>
      <sheetName val="10_11"/>
      <sheetName val="10_12"/>
      <sheetName val="10_13"/>
      <sheetName val="10_14"/>
      <sheetName val="10_15"/>
      <sheetName val="10_16"/>
      <sheetName val="10_17"/>
      <sheetName val="10_18"/>
      <sheetName val="10_19"/>
      <sheetName val="10_20"/>
      <sheetName val="10_21"/>
      <sheetName val="10_22"/>
      <sheetName val="10_23"/>
      <sheetName val="10_24"/>
      <sheetName val="10_25"/>
      <sheetName val="10_26"/>
      <sheetName val="10_27"/>
      <sheetName val="10_28"/>
      <sheetName val="10_29"/>
      <sheetName val="10_30"/>
      <sheetName val="11_1"/>
      <sheetName val="12_11"/>
      <sheetName val="12_2"/>
      <sheetName val="12_3"/>
      <sheetName val="12_4"/>
      <sheetName val="12_5"/>
      <sheetName val="12_6"/>
      <sheetName val="12_7"/>
      <sheetName val="12_8"/>
      <sheetName val="12_9"/>
      <sheetName val="12_10"/>
      <sheetName val="12_111"/>
      <sheetName val="12_12"/>
      <sheetName val="12_13"/>
      <sheetName val="PLANILHA_(2)"/>
      <sheetName val="PLANILHA_BCK_UP"/>
      <sheetName val="Cronograma_Geral"/>
      <sheetName val="Cronog_Lote_III"/>
      <sheetName val="Cronog_Lote_II"/>
      <sheetName val="Cronog_Lote_I"/>
      <sheetName val="Res__Geral_Lotes_I,_II_e_III"/>
      <sheetName val="Resumo_Lote_I"/>
      <sheetName val="Resumo_Lote_II"/>
      <sheetName val="Resumo_Lote_III"/>
      <sheetName val="TRECHOS_(2)"/>
      <sheetName val="TRECHOS_(3)"/>
      <sheetName val="TRECHOS_(4)"/>
      <sheetName val="Células_Soma"/>
      <sheetName val="assemblies F _ K"/>
      <sheetName val="estrutura"/>
      <sheetName val="1_11"/>
      <sheetName val="2_11"/>
      <sheetName val="2_21"/>
      <sheetName val="2_31"/>
      <sheetName val="2_41"/>
      <sheetName val="2_51"/>
      <sheetName val="3_11"/>
      <sheetName val="3_21"/>
      <sheetName val="4_11"/>
      <sheetName val="4_21"/>
      <sheetName val="4_31"/>
      <sheetName val="4_41"/>
      <sheetName val="4_51"/>
      <sheetName val="4_61"/>
      <sheetName val="4_71"/>
      <sheetName val="4_81"/>
      <sheetName val="4_91"/>
      <sheetName val="4_101"/>
      <sheetName val="5_11"/>
      <sheetName val="5_21"/>
      <sheetName val="5_31"/>
      <sheetName val="6_11"/>
      <sheetName val="6_21"/>
      <sheetName val="7_11"/>
      <sheetName val="7_21"/>
      <sheetName val="8_110"/>
      <sheetName val="8_27"/>
      <sheetName val="8_31"/>
      <sheetName val="8_41"/>
      <sheetName val="8_51"/>
      <sheetName val="8_61"/>
      <sheetName val="8_71"/>
      <sheetName val="8_81"/>
      <sheetName val="8_91"/>
      <sheetName val="8_101"/>
      <sheetName val="8_111"/>
      <sheetName val="8_121"/>
      <sheetName val="8_131"/>
      <sheetName val="8_141"/>
      <sheetName val="8_151"/>
      <sheetName val="8_161"/>
      <sheetName val="8_171"/>
      <sheetName val="8_181"/>
      <sheetName val="8_191"/>
      <sheetName val="8_201"/>
      <sheetName val="8_211"/>
      <sheetName val="8_221"/>
      <sheetName val="8_231"/>
      <sheetName val="8_241"/>
      <sheetName val="8_251"/>
      <sheetName val="8_261"/>
      <sheetName val="9_11"/>
      <sheetName val="9_21"/>
      <sheetName val="9_31"/>
      <sheetName val="9_41"/>
      <sheetName val="9_51"/>
      <sheetName val="9_61"/>
      <sheetName val="10_110"/>
      <sheetName val="10_210"/>
      <sheetName val="10_31"/>
      <sheetName val="10_41"/>
      <sheetName val="10_51"/>
      <sheetName val="10_61"/>
      <sheetName val="10_71"/>
      <sheetName val="10_81"/>
      <sheetName val="10_91"/>
      <sheetName val="10_101"/>
      <sheetName val="10_111"/>
      <sheetName val="10_121"/>
      <sheetName val="10_131"/>
      <sheetName val="10_141"/>
      <sheetName val="10_151"/>
      <sheetName val="10_161"/>
      <sheetName val="10_171"/>
      <sheetName val="10_181"/>
      <sheetName val="10_191"/>
      <sheetName val="10_201"/>
      <sheetName val="10_211"/>
      <sheetName val="10_221"/>
      <sheetName val="10_231"/>
      <sheetName val="10_241"/>
      <sheetName val="10_251"/>
      <sheetName val="10_261"/>
      <sheetName val="10_271"/>
      <sheetName val="10_281"/>
      <sheetName val="10_291"/>
      <sheetName val="10_301"/>
      <sheetName val="11_11"/>
      <sheetName val="12_14"/>
      <sheetName val="12_21"/>
      <sheetName val="12_31"/>
      <sheetName val="12_41"/>
      <sheetName val="12_51"/>
      <sheetName val="12_61"/>
      <sheetName val="12_71"/>
      <sheetName val="12_81"/>
      <sheetName val="12_91"/>
      <sheetName val="12_101"/>
      <sheetName val="12_112"/>
      <sheetName val="12_121"/>
      <sheetName val="12_131"/>
      <sheetName val="PLANILHA_(2)1"/>
      <sheetName val="PLANILHA_BCK_UP1"/>
      <sheetName val="Cronograma_Geral1"/>
      <sheetName val="Cronog_Lote_III1"/>
      <sheetName val="Cronog_Lote_II1"/>
      <sheetName val="Cronog_Lote_I1"/>
      <sheetName val="Res__Geral_Lotes_I,_II_e_III1"/>
      <sheetName val="Resumo_Lote_I1"/>
      <sheetName val="Resumo_Lote_II1"/>
      <sheetName val="Resumo_Lote_III1"/>
      <sheetName val="TRECHOS_(2)1"/>
      <sheetName val="TRECHOS_(3)1"/>
      <sheetName val="TRECHOS_(4)1"/>
      <sheetName val="Células_Soma1"/>
      <sheetName val="1_12"/>
      <sheetName val="2_12"/>
      <sheetName val="2_22"/>
      <sheetName val="2_32"/>
      <sheetName val="2_42"/>
      <sheetName val="2_52"/>
      <sheetName val="3_12"/>
      <sheetName val="3_22"/>
      <sheetName val="4_12"/>
      <sheetName val="4_22"/>
      <sheetName val="4_32"/>
      <sheetName val="4_42"/>
      <sheetName val="4_52"/>
      <sheetName val="4_62"/>
      <sheetName val="4_72"/>
      <sheetName val="4_82"/>
      <sheetName val="4_92"/>
      <sheetName val="4_102"/>
      <sheetName val="5_12"/>
      <sheetName val="5_22"/>
      <sheetName val="5_32"/>
      <sheetName val="6_12"/>
      <sheetName val="6_22"/>
      <sheetName val="7_12"/>
      <sheetName val="7_22"/>
      <sheetName val="8_112"/>
      <sheetName val="8_28"/>
      <sheetName val="8_32"/>
      <sheetName val="8_42"/>
      <sheetName val="8_52"/>
      <sheetName val="8_62"/>
      <sheetName val="8_72"/>
      <sheetName val="8_82"/>
      <sheetName val="8_92"/>
      <sheetName val="8_102"/>
      <sheetName val="8_113"/>
      <sheetName val="8_122"/>
      <sheetName val="8_132"/>
      <sheetName val="8_142"/>
      <sheetName val="8_152"/>
      <sheetName val="8_162"/>
      <sheetName val="8_172"/>
      <sheetName val="8_182"/>
      <sheetName val="8_192"/>
      <sheetName val="8_202"/>
      <sheetName val="8_212"/>
      <sheetName val="8_222"/>
      <sheetName val="8_232"/>
      <sheetName val="8_242"/>
      <sheetName val="8_252"/>
      <sheetName val="8_262"/>
      <sheetName val="9_12"/>
      <sheetName val="9_22"/>
      <sheetName val="9_32"/>
      <sheetName val="9_42"/>
      <sheetName val="9_52"/>
      <sheetName val="9_62"/>
      <sheetName val="10_112"/>
      <sheetName val="10_212"/>
      <sheetName val="10_32"/>
      <sheetName val="10_42"/>
      <sheetName val="10_52"/>
      <sheetName val="10_62"/>
      <sheetName val="10_72"/>
      <sheetName val="10_82"/>
      <sheetName val="10_92"/>
      <sheetName val="10_102"/>
      <sheetName val="10_113"/>
      <sheetName val="10_122"/>
      <sheetName val="10_132"/>
      <sheetName val="10_142"/>
      <sheetName val="10_152"/>
      <sheetName val="10_162"/>
      <sheetName val="10_172"/>
      <sheetName val="10_182"/>
      <sheetName val="10_192"/>
      <sheetName val="10_202"/>
      <sheetName val="10_213"/>
      <sheetName val="10_222"/>
      <sheetName val="10_232"/>
      <sheetName val="10_242"/>
      <sheetName val="10_252"/>
      <sheetName val="10_262"/>
      <sheetName val="10_272"/>
      <sheetName val="10_282"/>
      <sheetName val="10_292"/>
      <sheetName val="10_302"/>
      <sheetName val="11_12"/>
      <sheetName val="12_15"/>
      <sheetName val="12_22"/>
      <sheetName val="12_32"/>
      <sheetName val="12_42"/>
      <sheetName val="12_52"/>
      <sheetName val="12_62"/>
      <sheetName val="12_72"/>
      <sheetName val="12_82"/>
      <sheetName val="12_92"/>
      <sheetName val="12_102"/>
      <sheetName val="12_113"/>
      <sheetName val="12_122"/>
      <sheetName val="12_132"/>
      <sheetName val="PLANILHA_(2)2"/>
      <sheetName val="PLANILHA_BCK_UP2"/>
      <sheetName val="Cronograma_Geral2"/>
      <sheetName val="Cronog_Lote_III2"/>
      <sheetName val="Cronog_Lote_II2"/>
      <sheetName val="Cronog_Lote_I2"/>
      <sheetName val="Res__Geral_Lotes_I,_II_e_III2"/>
      <sheetName val="Resumo_Lote_I2"/>
      <sheetName val="Resumo_Lote_II2"/>
      <sheetName val="Resumo_Lote_III2"/>
      <sheetName val="TRECHOS_(2)2"/>
      <sheetName val="TRECHOS_(3)2"/>
      <sheetName val="TRECHOS_(4)2"/>
      <sheetName val="Células_Soma2"/>
      <sheetName val="1_13"/>
      <sheetName val="2_13"/>
      <sheetName val="2_23"/>
      <sheetName val="2_33"/>
      <sheetName val="2_43"/>
      <sheetName val="2_53"/>
      <sheetName val="3_13"/>
      <sheetName val="3_23"/>
      <sheetName val="4_13"/>
      <sheetName val="4_23"/>
      <sheetName val="4_33"/>
      <sheetName val="4_43"/>
      <sheetName val="4_53"/>
      <sheetName val="4_63"/>
      <sheetName val="4_73"/>
      <sheetName val="4_83"/>
      <sheetName val="4_93"/>
      <sheetName val="4_103"/>
      <sheetName val="5_13"/>
      <sheetName val="5_23"/>
      <sheetName val="5_33"/>
      <sheetName val="6_13"/>
      <sheetName val="6_23"/>
      <sheetName val="7_13"/>
      <sheetName val="7_23"/>
      <sheetName val="8_114"/>
      <sheetName val="8_29"/>
      <sheetName val="8_33"/>
      <sheetName val="8_43"/>
      <sheetName val="8_53"/>
      <sheetName val="8_63"/>
      <sheetName val="8_73"/>
      <sheetName val="8_83"/>
      <sheetName val="8_93"/>
      <sheetName val="8_103"/>
      <sheetName val="8_115"/>
      <sheetName val="8_123"/>
      <sheetName val="8_133"/>
      <sheetName val="8_143"/>
      <sheetName val="8_153"/>
      <sheetName val="8_163"/>
      <sheetName val="8_173"/>
      <sheetName val="8_183"/>
      <sheetName val="8_193"/>
      <sheetName val="8_203"/>
      <sheetName val="8_213"/>
      <sheetName val="8_223"/>
      <sheetName val="8_233"/>
      <sheetName val="8_243"/>
      <sheetName val="8_253"/>
      <sheetName val="8_263"/>
      <sheetName val="9_13"/>
      <sheetName val="9_23"/>
      <sheetName val="9_33"/>
      <sheetName val="9_43"/>
      <sheetName val="9_53"/>
      <sheetName val="9_63"/>
      <sheetName val="10_114"/>
      <sheetName val="10_214"/>
      <sheetName val="10_33"/>
      <sheetName val="10_43"/>
      <sheetName val="10_53"/>
      <sheetName val="10_63"/>
      <sheetName val="10_73"/>
      <sheetName val="10_83"/>
      <sheetName val="10_93"/>
      <sheetName val="10_103"/>
      <sheetName val="10_115"/>
      <sheetName val="10_123"/>
      <sheetName val="10_133"/>
      <sheetName val="10_143"/>
      <sheetName val="10_153"/>
      <sheetName val="10_163"/>
      <sheetName val="10_173"/>
      <sheetName val="10_183"/>
      <sheetName val="10_193"/>
      <sheetName val="10_203"/>
      <sheetName val="10_215"/>
      <sheetName val="10_223"/>
      <sheetName val="10_233"/>
      <sheetName val="10_243"/>
      <sheetName val="10_253"/>
      <sheetName val="10_263"/>
      <sheetName val="10_273"/>
      <sheetName val="10_283"/>
      <sheetName val="10_293"/>
      <sheetName val="10_303"/>
      <sheetName val="11_13"/>
      <sheetName val="12_16"/>
      <sheetName val="12_23"/>
      <sheetName val="12_33"/>
      <sheetName val="12_43"/>
      <sheetName val="12_53"/>
      <sheetName val="12_63"/>
      <sheetName val="12_73"/>
      <sheetName val="12_83"/>
      <sheetName val="12_93"/>
      <sheetName val="12_103"/>
      <sheetName val="12_114"/>
      <sheetName val="12_123"/>
      <sheetName val="12_133"/>
      <sheetName val="PLANILHA_(2)3"/>
      <sheetName val="PLANILHA_BCK_UP3"/>
      <sheetName val="Cronograma_Geral3"/>
      <sheetName val="Cronog_Lote_III3"/>
      <sheetName val="Cronog_Lote_II3"/>
      <sheetName val="Cronog_Lote_I3"/>
      <sheetName val="Res__Geral_Lotes_I,_II_e_III3"/>
      <sheetName val="Resumo_Lote_I3"/>
      <sheetName val="Resumo_Lote_II3"/>
      <sheetName val="Resumo_Lote_III3"/>
      <sheetName val="TRECHOS_(2)3"/>
      <sheetName val="TRECHOS_(3)3"/>
      <sheetName val="TRECHOS_(4)3"/>
      <sheetName val="Células_Soma3"/>
      <sheetName val="1_15"/>
      <sheetName val="2_15"/>
      <sheetName val="2_25"/>
      <sheetName val="2_35"/>
      <sheetName val="2_45"/>
      <sheetName val="2_55"/>
      <sheetName val="3_15"/>
      <sheetName val="3_25"/>
      <sheetName val="4_15"/>
      <sheetName val="4_25"/>
      <sheetName val="4_35"/>
      <sheetName val="4_45"/>
      <sheetName val="4_55"/>
      <sheetName val="4_65"/>
      <sheetName val="4_75"/>
      <sheetName val="4_85"/>
      <sheetName val="4_95"/>
      <sheetName val="4_105"/>
      <sheetName val="5_15"/>
      <sheetName val="5_25"/>
      <sheetName val="5_35"/>
      <sheetName val="6_15"/>
      <sheetName val="6_25"/>
      <sheetName val="7_15"/>
      <sheetName val="7_25"/>
      <sheetName val="8_118"/>
      <sheetName val="8_215"/>
      <sheetName val="8_35"/>
      <sheetName val="8_45"/>
      <sheetName val="8_55"/>
      <sheetName val="8_65"/>
      <sheetName val="8_75"/>
      <sheetName val="8_85"/>
      <sheetName val="8_95"/>
      <sheetName val="8_105"/>
      <sheetName val="8_119"/>
      <sheetName val="8_125"/>
      <sheetName val="8_135"/>
      <sheetName val="8_145"/>
      <sheetName val="8_155"/>
      <sheetName val="8_165"/>
      <sheetName val="8_175"/>
      <sheetName val="8_185"/>
      <sheetName val="8_195"/>
      <sheetName val="8_205"/>
      <sheetName val="8_216"/>
      <sheetName val="8_225"/>
      <sheetName val="8_235"/>
      <sheetName val="8_245"/>
      <sheetName val="8_255"/>
      <sheetName val="8_265"/>
      <sheetName val="9_15"/>
      <sheetName val="9_25"/>
      <sheetName val="9_35"/>
      <sheetName val="9_45"/>
      <sheetName val="9_55"/>
      <sheetName val="9_65"/>
      <sheetName val="10_118"/>
      <sheetName val="10_218"/>
      <sheetName val="10_35"/>
      <sheetName val="10_45"/>
      <sheetName val="10_55"/>
      <sheetName val="10_65"/>
      <sheetName val="10_75"/>
      <sheetName val="10_85"/>
      <sheetName val="10_95"/>
      <sheetName val="10_105"/>
      <sheetName val="10_119"/>
      <sheetName val="10_125"/>
      <sheetName val="10_135"/>
      <sheetName val="10_145"/>
      <sheetName val="10_155"/>
      <sheetName val="10_165"/>
      <sheetName val="10_175"/>
      <sheetName val="10_185"/>
      <sheetName val="10_195"/>
      <sheetName val="10_205"/>
      <sheetName val="10_219"/>
      <sheetName val="10_225"/>
      <sheetName val="10_235"/>
      <sheetName val="10_245"/>
      <sheetName val="10_255"/>
      <sheetName val="10_265"/>
      <sheetName val="10_275"/>
      <sheetName val="10_285"/>
      <sheetName val="10_295"/>
      <sheetName val="10_305"/>
      <sheetName val="11_15"/>
      <sheetName val="12_18"/>
      <sheetName val="12_25"/>
      <sheetName val="12_35"/>
      <sheetName val="12_45"/>
      <sheetName val="12_55"/>
      <sheetName val="12_65"/>
      <sheetName val="12_75"/>
      <sheetName val="12_85"/>
      <sheetName val="12_95"/>
      <sheetName val="12_105"/>
      <sheetName val="12_116"/>
      <sheetName val="12_125"/>
      <sheetName val="12_135"/>
      <sheetName val="PLANILHA_(2)5"/>
      <sheetName val="PLANILHA_BCK_UP5"/>
      <sheetName val="Cronograma_Geral5"/>
      <sheetName val="Cronog_Lote_III5"/>
      <sheetName val="Cronog_Lote_II5"/>
      <sheetName val="Cronog_Lote_I5"/>
      <sheetName val="Res__Geral_Lotes_I,_II_e_III5"/>
      <sheetName val="Resumo_Lote_I5"/>
      <sheetName val="Resumo_Lote_II5"/>
      <sheetName val="Resumo_Lote_III5"/>
      <sheetName val="TRECHOS_(2)5"/>
      <sheetName val="TRECHOS_(3)5"/>
      <sheetName val="TRECHOS_(4)5"/>
      <sheetName val="Células_Soma5"/>
      <sheetName val="1_14"/>
      <sheetName val="2_14"/>
      <sheetName val="2_24"/>
      <sheetName val="2_34"/>
      <sheetName val="2_44"/>
      <sheetName val="2_54"/>
      <sheetName val="3_14"/>
      <sheetName val="3_24"/>
      <sheetName val="4_14"/>
      <sheetName val="4_24"/>
      <sheetName val="4_34"/>
      <sheetName val="4_44"/>
      <sheetName val="4_54"/>
      <sheetName val="4_64"/>
      <sheetName val="4_74"/>
      <sheetName val="4_84"/>
      <sheetName val="4_94"/>
      <sheetName val="4_104"/>
      <sheetName val="5_14"/>
      <sheetName val="5_24"/>
      <sheetName val="5_34"/>
      <sheetName val="6_14"/>
      <sheetName val="6_24"/>
      <sheetName val="7_14"/>
      <sheetName val="7_24"/>
      <sheetName val="8_116"/>
      <sheetName val="8_210"/>
      <sheetName val="8_34"/>
      <sheetName val="8_44"/>
      <sheetName val="8_54"/>
      <sheetName val="8_64"/>
      <sheetName val="8_74"/>
      <sheetName val="8_84"/>
      <sheetName val="8_94"/>
      <sheetName val="8_104"/>
      <sheetName val="8_117"/>
      <sheetName val="8_124"/>
      <sheetName val="8_134"/>
      <sheetName val="8_144"/>
      <sheetName val="8_154"/>
      <sheetName val="8_164"/>
      <sheetName val="8_174"/>
      <sheetName val="8_184"/>
      <sheetName val="8_194"/>
      <sheetName val="8_204"/>
      <sheetName val="8_214"/>
      <sheetName val="8_224"/>
      <sheetName val="8_234"/>
      <sheetName val="8_244"/>
      <sheetName val="8_254"/>
      <sheetName val="8_264"/>
      <sheetName val="9_14"/>
      <sheetName val="9_24"/>
      <sheetName val="9_34"/>
      <sheetName val="9_44"/>
      <sheetName val="9_54"/>
      <sheetName val="9_64"/>
      <sheetName val="10_116"/>
      <sheetName val="10_216"/>
      <sheetName val="10_34"/>
      <sheetName val="10_44"/>
      <sheetName val="10_54"/>
      <sheetName val="10_64"/>
      <sheetName val="10_74"/>
      <sheetName val="10_84"/>
      <sheetName val="10_94"/>
      <sheetName val="10_104"/>
      <sheetName val="10_117"/>
      <sheetName val="10_124"/>
      <sheetName val="10_134"/>
      <sheetName val="10_144"/>
      <sheetName val="10_154"/>
      <sheetName val="10_164"/>
      <sheetName val="10_174"/>
      <sheetName val="10_184"/>
      <sheetName val="10_194"/>
      <sheetName val="10_204"/>
      <sheetName val="10_217"/>
      <sheetName val="10_224"/>
      <sheetName val="10_234"/>
      <sheetName val="10_244"/>
      <sheetName val="10_254"/>
      <sheetName val="10_264"/>
      <sheetName val="10_274"/>
      <sheetName val="10_284"/>
      <sheetName val="10_294"/>
      <sheetName val="10_304"/>
      <sheetName val="11_14"/>
      <sheetName val="12_17"/>
      <sheetName val="12_24"/>
      <sheetName val="12_34"/>
      <sheetName val="12_44"/>
      <sheetName val="12_54"/>
      <sheetName val="12_64"/>
      <sheetName val="12_74"/>
      <sheetName val="12_84"/>
      <sheetName val="12_94"/>
      <sheetName val="12_104"/>
      <sheetName val="12_115"/>
      <sheetName val="12_124"/>
      <sheetName val="12_134"/>
      <sheetName val="PLANILHA_(2)4"/>
      <sheetName val="PLANILHA_BCK_UP4"/>
      <sheetName val="Cronograma_Geral4"/>
      <sheetName val="Cronog_Lote_III4"/>
      <sheetName val="Cronog_Lote_II4"/>
      <sheetName val="Cronog_Lote_I4"/>
      <sheetName val="Res__Geral_Lotes_I,_II_e_III4"/>
      <sheetName val="Resumo_Lote_I4"/>
      <sheetName val="Resumo_Lote_II4"/>
      <sheetName val="Resumo_Lote_III4"/>
      <sheetName val="TRECHOS_(2)4"/>
      <sheetName val="TRECHOS_(3)4"/>
      <sheetName val="TRECHOS_(4)4"/>
      <sheetName val="Células_Soma4"/>
      <sheetName val="1_16"/>
      <sheetName val="2_16"/>
      <sheetName val="2_26"/>
      <sheetName val="2_36"/>
      <sheetName val="2_46"/>
      <sheetName val="2_56"/>
      <sheetName val="3_16"/>
      <sheetName val="3_26"/>
      <sheetName val="4_16"/>
      <sheetName val="4_26"/>
      <sheetName val="4_36"/>
      <sheetName val="4_46"/>
      <sheetName val="4_56"/>
      <sheetName val="4_66"/>
      <sheetName val="4_76"/>
      <sheetName val="4_86"/>
      <sheetName val="4_96"/>
      <sheetName val="4_106"/>
      <sheetName val="5_16"/>
      <sheetName val="5_26"/>
      <sheetName val="5_36"/>
      <sheetName val="6_16"/>
      <sheetName val="6_26"/>
      <sheetName val="7_16"/>
      <sheetName val="7_26"/>
      <sheetName val="8_120"/>
      <sheetName val="8_217"/>
      <sheetName val="8_36"/>
      <sheetName val="8_46"/>
      <sheetName val="8_56"/>
      <sheetName val="8_66"/>
      <sheetName val="8_76"/>
      <sheetName val="8_86"/>
      <sheetName val="8_96"/>
      <sheetName val="8_106"/>
      <sheetName val="8_1110"/>
      <sheetName val="8_126"/>
      <sheetName val="8_136"/>
      <sheetName val="8_146"/>
      <sheetName val="8_156"/>
      <sheetName val="8_166"/>
      <sheetName val="8_176"/>
      <sheetName val="8_186"/>
      <sheetName val="8_196"/>
      <sheetName val="8_206"/>
      <sheetName val="8_218"/>
      <sheetName val="8_226"/>
      <sheetName val="8_236"/>
      <sheetName val="8_246"/>
      <sheetName val="8_256"/>
      <sheetName val="8_266"/>
      <sheetName val="9_16"/>
      <sheetName val="9_26"/>
      <sheetName val="9_36"/>
      <sheetName val="9_46"/>
      <sheetName val="9_56"/>
      <sheetName val="9_66"/>
      <sheetName val="10_120"/>
      <sheetName val="10_220"/>
      <sheetName val="10_36"/>
      <sheetName val="10_46"/>
      <sheetName val="10_56"/>
      <sheetName val="10_66"/>
      <sheetName val="10_76"/>
      <sheetName val="10_86"/>
      <sheetName val="10_96"/>
      <sheetName val="10_106"/>
      <sheetName val="10_1110"/>
      <sheetName val="10_126"/>
      <sheetName val="10_136"/>
      <sheetName val="10_146"/>
      <sheetName val="10_156"/>
      <sheetName val="10_166"/>
      <sheetName val="10_176"/>
      <sheetName val="10_186"/>
      <sheetName val="10_196"/>
      <sheetName val="10_206"/>
      <sheetName val="10_2110"/>
      <sheetName val="10_226"/>
      <sheetName val="10_236"/>
      <sheetName val="10_246"/>
      <sheetName val="10_256"/>
      <sheetName val="10_266"/>
      <sheetName val="10_276"/>
      <sheetName val="10_286"/>
      <sheetName val="10_296"/>
      <sheetName val="10_306"/>
      <sheetName val="11_16"/>
      <sheetName val="12_19"/>
      <sheetName val="12_26"/>
      <sheetName val="12_36"/>
      <sheetName val="12_46"/>
      <sheetName val="12_56"/>
      <sheetName val="12_66"/>
      <sheetName val="12_76"/>
      <sheetName val="12_86"/>
      <sheetName val="12_96"/>
      <sheetName val="12_106"/>
      <sheetName val="12_117"/>
      <sheetName val="12_126"/>
      <sheetName val="12_136"/>
      <sheetName val="PLANILHA_(2)6"/>
      <sheetName val="PLANILHA_BCK_UP6"/>
      <sheetName val="Cronograma_Geral6"/>
      <sheetName val="Cronog_Lote_III6"/>
      <sheetName val="Cronog_Lote_II6"/>
      <sheetName val="Cronog_Lote_I6"/>
      <sheetName val="Res__Geral_Lotes_I,_II_e_III6"/>
      <sheetName val="Resumo_Lote_I6"/>
      <sheetName val="Resumo_Lote_II6"/>
      <sheetName val="Resumo_Lote_III6"/>
      <sheetName val="TRECHOS_(2)6"/>
      <sheetName val="TRECHOS_(3)6"/>
      <sheetName val="TRECHOS_(4)6"/>
      <sheetName val="Células_Soma6"/>
      <sheetName val="1_17"/>
      <sheetName val="2_17"/>
      <sheetName val="2_27"/>
      <sheetName val="2_37"/>
      <sheetName val="2_47"/>
      <sheetName val="2_57"/>
      <sheetName val="3_17"/>
      <sheetName val="3_27"/>
      <sheetName val="4_17"/>
      <sheetName val="4_27"/>
      <sheetName val="4_37"/>
      <sheetName val="4_47"/>
      <sheetName val="4_57"/>
      <sheetName val="4_67"/>
      <sheetName val="4_77"/>
      <sheetName val="4_87"/>
      <sheetName val="4_97"/>
      <sheetName val="4_107"/>
      <sheetName val="5_17"/>
      <sheetName val="5_27"/>
      <sheetName val="5_37"/>
      <sheetName val="6_17"/>
      <sheetName val="6_27"/>
      <sheetName val="7_17"/>
      <sheetName val="7_27"/>
      <sheetName val="8_127"/>
      <sheetName val="8_219"/>
      <sheetName val="8_37"/>
      <sheetName val="8_47"/>
      <sheetName val="8_57"/>
      <sheetName val="8_67"/>
      <sheetName val="8_77"/>
      <sheetName val="8_87"/>
      <sheetName val="8_97"/>
      <sheetName val="8_107"/>
      <sheetName val="8_1111"/>
      <sheetName val="8_128"/>
      <sheetName val="8_137"/>
      <sheetName val="8_147"/>
      <sheetName val="8_157"/>
      <sheetName val="8_167"/>
      <sheetName val="8_177"/>
      <sheetName val="8_187"/>
      <sheetName val="8_197"/>
      <sheetName val="8_207"/>
      <sheetName val="8_2110"/>
      <sheetName val="8_227"/>
      <sheetName val="8_237"/>
      <sheetName val="8_247"/>
      <sheetName val="8_257"/>
      <sheetName val="8_267"/>
      <sheetName val="9_17"/>
      <sheetName val="9_27"/>
      <sheetName val="9_37"/>
      <sheetName val="9_47"/>
      <sheetName val="9_57"/>
      <sheetName val="9_67"/>
      <sheetName val="10_127"/>
      <sheetName val="10_227"/>
      <sheetName val="10_37"/>
      <sheetName val="10_47"/>
      <sheetName val="10_57"/>
      <sheetName val="10_67"/>
      <sheetName val="10_77"/>
      <sheetName val="10_87"/>
      <sheetName val="10_97"/>
      <sheetName val="10_107"/>
      <sheetName val="10_1111"/>
      <sheetName val="10_128"/>
      <sheetName val="10_137"/>
      <sheetName val="10_147"/>
      <sheetName val="10_157"/>
      <sheetName val="10_167"/>
      <sheetName val="10_177"/>
      <sheetName val="10_187"/>
      <sheetName val="10_197"/>
      <sheetName val="10_207"/>
      <sheetName val="10_2111"/>
      <sheetName val="10_228"/>
      <sheetName val="10_237"/>
      <sheetName val="10_247"/>
      <sheetName val="10_257"/>
      <sheetName val="10_267"/>
      <sheetName val="10_277"/>
      <sheetName val="10_287"/>
      <sheetName val="10_297"/>
      <sheetName val="10_307"/>
      <sheetName val="11_17"/>
      <sheetName val="12_110"/>
      <sheetName val="12_27"/>
      <sheetName val="12_37"/>
      <sheetName val="12_47"/>
      <sheetName val="12_57"/>
      <sheetName val="12_67"/>
      <sheetName val="12_77"/>
      <sheetName val="12_87"/>
      <sheetName val="12_97"/>
      <sheetName val="12_107"/>
      <sheetName val="12_118"/>
      <sheetName val="12_127"/>
      <sheetName val="12_137"/>
      <sheetName val="PLANILHA_(2)7"/>
      <sheetName val="PLANILHA_BCK_UP7"/>
      <sheetName val="Cronograma_Geral7"/>
      <sheetName val="Cronog_Lote_III7"/>
      <sheetName val="Cronog_Lote_II7"/>
      <sheetName val="Cronog_Lote_I7"/>
      <sheetName val="Res__Geral_Lotes_I,_II_e_III7"/>
      <sheetName val="Resumo_Lote_I7"/>
      <sheetName val="Resumo_Lote_II7"/>
      <sheetName val="Resumo_Lote_III7"/>
      <sheetName val="TRECHOS_(2)7"/>
      <sheetName val="TRECHOS_(3)7"/>
      <sheetName val="TRECHOS_(4)7"/>
      <sheetName val="Células_Soma7"/>
      <sheetName val="1_18"/>
      <sheetName val="2_18"/>
      <sheetName val="2_28"/>
      <sheetName val="2_38"/>
      <sheetName val="2_48"/>
      <sheetName val="2_58"/>
      <sheetName val="3_18"/>
      <sheetName val="3_28"/>
      <sheetName val="4_18"/>
      <sheetName val="4_28"/>
      <sheetName val="4_38"/>
      <sheetName val="4_48"/>
      <sheetName val="4_58"/>
      <sheetName val="4_68"/>
      <sheetName val="4_78"/>
      <sheetName val="4_88"/>
      <sheetName val="4_98"/>
      <sheetName val="4_108"/>
      <sheetName val="5_18"/>
      <sheetName val="5_28"/>
      <sheetName val="5_38"/>
      <sheetName val="6_18"/>
      <sheetName val="6_28"/>
      <sheetName val="7_18"/>
      <sheetName val="7_28"/>
      <sheetName val="8_129"/>
      <sheetName val="8_220"/>
      <sheetName val="8_38"/>
      <sheetName val="8_48"/>
      <sheetName val="8_58"/>
      <sheetName val="8_68"/>
      <sheetName val="8_78"/>
      <sheetName val="8_88"/>
      <sheetName val="8_98"/>
      <sheetName val="8_108"/>
      <sheetName val="8_1112"/>
      <sheetName val="8_1210"/>
      <sheetName val="8_138"/>
      <sheetName val="8_148"/>
      <sheetName val="8_158"/>
      <sheetName val="8_168"/>
      <sheetName val="8_178"/>
      <sheetName val="8_188"/>
      <sheetName val="8_198"/>
      <sheetName val="8_208"/>
      <sheetName val="8_2111"/>
      <sheetName val="8_228"/>
      <sheetName val="8_238"/>
      <sheetName val="8_248"/>
      <sheetName val="8_258"/>
      <sheetName val="8_268"/>
      <sheetName val="9_18"/>
      <sheetName val="9_28"/>
      <sheetName val="9_38"/>
      <sheetName val="9_48"/>
      <sheetName val="9_58"/>
      <sheetName val="9_68"/>
      <sheetName val="10_129"/>
      <sheetName val="10_229"/>
      <sheetName val="10_38"/>
      <sheetName val="10_48"/>
      <sheetName val="10_58"/>
      <sheetName val="10_68"/>
      <sheetName val="10_78"/>
      <sheetName val="10_88"/>
      <sheetName val="10_98"/>
      <sheetName val="10_108"/>
      <sheetName val="10_1112"/>
      <sheetName val="10_1210"/>
      <sheetName val="10_138"/>
      <sheetName val="10_148"/>
      <sheetName val="10_158"/>
      <sheetName val="10_168"/>
      <sheetName val="10_178"/>
      <sheetName val="10_188"/>
      <sheetName val="10_198"/>
      <sheetName val="10_208"/>
      <sheetName val="10_2112"/>
      <sheetName val="10_2210"/>
      <sheetName val="10_238"/>
      <sheetName val="10_248"/>
      <sheetName val="10_258"/>
      <sheetName val="10_268"/>
      <sheetName val="10_278"/>
      <sheetName val="10_288"/>
      <sheetName val="10_298"/>
      <sheetName val="10_308"/>
      <sheetName val="11_18"/>
      <sheetName val="12_119"/>
      <sheetName val="12_28"/>
      <sheetName val="12_38"/>
      <sheetName val="12_48"/>
      <sheetName val="12_58"/>
      <sheetName val="12_68"/>
      <sheetName val="12_78"/>
      <sheetName val="12_88"/>
      <sheetName val="12_98"/>
      <sheetName val="12_108"/>
      <sheetName val="12_1110"/>
      <sheetName val="12_128"/>
      <sheetName val="12_138"/>
      <sheetName val="PLANILHA_(2)8"/>
      <sheetName val="PLANILHA_BCK_UP8"/>
      <sheetName val="Cronograma_Geral8"/>
      <sheetName val="Cronog_Lote_III8"/>
      <sheetName val="Cronog_Lote_II8"/>
      <sheetName val="Cronog_Lote_I8"/>
      <sheetName val="Res__Geral_Lotes_I,_II_e_III8"/>
      <sheetName val="Resumo_Lote_I8"/>
      <sheetName val="Resumo_Lote_II8"/>
      <sheetName val="Resumo_Lote_III8"/>
      <sheetName val="TRECHOS_(2)8"/>
      <sheetName val="TRECHOS_(3)8"/>
      <sheetName val="TRECHOS_(4)8"/>
      <sheetName val="Células_Soma8"/>
      <sheetName val="1_19"/>
      <sheetName val="2_19"/>
      <sheetName val="2_29"/>
      <sheetName val="2_39"/>
      <sheetName val="2_49"/>
      <sheetName val="2_59"/>
      <sheetName val="3_19"/>
      <sheetName val="3_29"/>
      <sheetName val="4_19"/>
      <sheetName val="4_29"/>
      <sheetName val="4_39"/>
      <sheetName val="4_49"/>
      <sheetName val="4_59"/>
      <sheetName val="4_69"/>
      <sheetName val="4_79"/>
      <sheetName val="4_89"/>
      <sheetName val="4_99"/>
      <sheetName val="4_109"/>
      <sheetName val="5_19"/>
      <sheetName val="5_29"/>
      <sheetName val="5_39"/>
      <sheetName val="6_19"/>
      <sheetName val="6_29"/>
      <sheetName val="7_19"/>
      <sheetName val="7_29"/>
      <sheetName val="8_130"/>
      <sheetName val="8_229"/>
      <sheetName val="8_39"/>
      <sheetName val="8_49"/>
      <sheetName val="8_59"/>
      <sheetName val="8_69"/>
      <sheetName val="8_79"/>
      <sheetName val="8_89"/>
      <sheetName val="8_99"/>
      <sheetName val="8_109"/>
      <sheetName val="8_1113"/>
      <sheetName val="8_1211"/>
      <sheetName val="8_139"/>
      <sheetName val="8_149"/>
      <sheetName val="8_159"/>
      <sheetName val="8_169"/>
      <sheetName val="8_179"/>
      <sheetName val="8_189"/>
      <sheetName val="8_199"/>
      <sheetName val="8_209"/>
      <sheetName val="8_2112"/>
      <sheetName val="8_2210"/>
      <sheetName val="8_239"/>
      <sheetName val="8_249"/>
      <sheetName val="8_259"/>
      <sheetName val="8_269"/>
      <sheetName val="9_19"/>
      <sheetName val="9_29"/>
      <sheetName val="9_39"/>
      <sheetName val="9_49"/>
      <sheetName val="9_59"/>
      <sheetName val="9_69"/>
      <sheetName val="10_130"/>
      <sheetName val="10_230"/>
      <sheetName val="10_39"/>
      <sheetName val="10_49"/>
      <sheetName val="10_59"/>
      <sheetName val="10_69"/>
      <sheetName val="10_79"/>
      <sheetName val="10_89"/>
      <sheetName val="10_99"/>
      <sheetName val="10_109"/>
      <sheetName val="10_1113"/>
      <sheetName val="10_1211"/>
      <sheetName val="10_139"/>
      <sheetName val="10_149"/>
      <sheetName val="10_159"/>
      <sheetName val="10_169"/>
      <sheetName val="10_179"/>
      <sheetName val="10_189"/>
      <sheetName val="10_199"/>
      <sheetName val="10_209"/>
      <sheetName val="10_2113"/>
      <sheetName val="10_2211"/>
      <sheetName val="10_239"/>
      <sheetName val="10_249"/>
      <sheetName val="10_259"/>
      <sheetName val="10_269"/>
      <sheetName val="10_279"/>
      <sheetName val="10_289"/>
      <sheetName val="10_299"/>
      <sheetName val="10_309"/>
      <sheetName val="11_19"/>
      <sheetName val="12_120"/>
      <sheetName val="12_29"/>
      <sheetName val="12_39"/>
      <sheetName val="12_49"/>
      <sheetName val="12_59"/>
      <sheetName val="12_69"/>
      <sheetName val="12_79"/>
      <sheetName val="12_89"/>
      <sheetName val="12_99"/>
      <sheetName val="12_109"/>
      <sheetName val="12_1111"/>
      <sheetName val="12_129"/>
      <sheetName val="12_139"/>
      <sheetName val="PLANILHA_(2)9"/>
      <sheetName val="PLANILHA_BCK_UP9"/>
      <sheetName val="Cronograma_Geral9"/>
      <sheetName val="Cronog_Lote_III9"/>
      <sheetName val="Cronog_Lote_II9"/>
      <sheetName val="Cronog_Lote_I9"/>
      <sheetName val="Res__Geral_Lotes_I,_II_e_III9"/>
      <sheetName val="Resumo_Lote_I9"/>
      <sheetName val="Resumo_Lote_II9"/>
      <sheetName val="Resumo_Lote_III9"/>
      <sheetName val="TRECHOS_(2)9"/>
      <sheetName val="TRECHOS_(3)9"/>
      <sheetName val="TRECHOS_(4)9"/>
      <sheetName val="Células_Soma9"/>
      <sheetName val="1_110"/>
      <sheetName val="2_110"/>
      <sheetName val="2_210"/>
      <sheetName val="2_310"/>
      <sheetName val="2_410"/>
      <sheetName val="2_510"/>
      <sheetName val="3_110"/>
      <sheetName val="3_210"/>
      <sheetName val="4_110"/>
      <sheetName val="4_210"/>
      <sheetName val="4_310"/>
      <sheetName val="4_410"/>
      <sheetName val="4_510"/>
      <sheetName val="4_610"/>
      <sheetName val="4_710"/>
      <sheetName val="4_810"/>
      <sheetName val="4_910"/>
      <sheetName val="4_1010"/>
      <sheetName val="5_110"/>
      <sheetName val="5_210"/>
      <sheetName val="5_310"/>
      <sheetName val="6_110"/>
      <sheetName val="6_210"/>
      <sheetName val="7_110"/>
      <sheetName val="7_210"/>
      <sheetName val="8_140"/>
      <sheetName val="8_230"/>
      <sheetName val="8_310"/>
      <sheetName val="8_410"/>
      <sheetName val="8_510"/>
      <sheetName val="8_610"/>
      <sheetName val="8_710"/>
      <sheetName val="8_810"/>
      <sheetName val="8_910"/>
      <sheetName val="8_1010"/>
      <sheetName val="8_1114"/>
      <sheetName val="8_1212"/>
      <sheetName val="8_1310"/>
      <sheetName val="8_1410"/>
      <sheetName val="8_1510"/>
      <sheetName val="8_1610"/>
      <sheetName val="8_1710"/>
      <sheetName val="8_1810"/>
      <sheetName val="8_1910"/>
      <sheetName val="8_2010"/>
      <sheetName val="8_2113"/>
      <sheetName val="8_2211"/>
      <sheetName val="8_2310"/>
      <sheetName val="8_2410"/>
      <sheetName val="8_2510"/>
      <sheetName val="8_2610"/>
      <sheetName val="9_110"/>
      <sheetName val="9_210"/>
      <sheetName val="9_310"/>
      <sheetName val="9_410"/>
      <sheetName val="9_510"/>
      <sheetName val="9_610"/>
      <sheetName val="10_140"/>
      <sheetName val="10_240"/>
      <sheetName val="10_310"/>
      <sheetName val="10_410"/>
      <sheetName val="10_510"/>
      <sheetName val="10_610"/>
      <sheetName val="10_710"/>
      <sheetName val="10_810"/>
      <sheetName val="10_910"/>
      <sheetName val="10_1010"/>
      <sheetName val="10_1114"/>
      <sheetName val="10_1212"/>
      <sheetName val="10_1310"/>
      <sheetName val="10_1410"/>
      <sheetName val="10_1510"/>
      <sheetName val="10_1610"/>
      <sheetName val="10_1710"/>
      <sheetName val="10_1810"/>
      <sheetName val="10_1910"/>
      <sheetName val="10_2010"/>
      <sheetName val="10_2114"/>
      <sheetName val="10_2212"/>
      <sheetName val="10_2310"/>
      <sheetName val="10_2410"/>
      <sheetName val="10_2510"/>
      <sheetName val="10_2610"/>
      <sheetName val="10_2710"/>
      <sheetName val="10_2810"/>
      <sheetName val="10_2910"/>
      <sheetName val="10_3010"/>
      <sheetName val="11_110"/>
      <sheetName val="12_130"/>
      <sheetName val="12_210"/>
      <sheetName val="12_310"/>
      <sheetName val="12_410"/>
      <sheetName val="12_510"/>
      <sheetName val="12_610"/>
      <sheetName val="12_710"/>
      <sheetName val="12_810"/>
      <sheetName val="12_910"/>
      <sheetName val="12_1010"/>
      <sheetName val="12_1112"/>
      <sheetName val="12_1210"/>
      <sheetName val="12_1310"/>
      <sheetName val="PLANILHA_(2)10"/>
      <sheetName val="PLANILHA_BCK_UP10"/>
      <sheetName val="Cronograma_Geral10"/>
      <sheetName val="Cronog_Lote_III10"/>
      <sheetName val="Cronog_Lote_II10"/>
      <sheetName val="Cronog_Lote_I10"/>
      <sheetName val="Res__Geral_Lotes_I,_II_e_III10"/>
      <sheetName val="Resumo_Lote_I10"/>
      <sheetName val="Resumo_Lote_II10"/>
      <sheetName val="Resumo_Lote_III10"/>
      <sheetName val="TRECHOS_(2)10"/>
      <sheetName val="TRECHOS_(3)10"/>
      <sheetName val="TRECHOS_(4)10"/>
      <sheetName val="Células_Soma10"/>
      <sheetName val="1_111"/>
      <sheetName val="2_111"/>
      <sheetName val="2_211"/>
      <sheetName val="2_311"/>
      <sheetName val="2_411"/>
      <sheetName val="2_511"/>
      <sheetName val="3_111"/>
      <sheetName val="3_211"/>
      <sheetName val="4_111"/>
      <sheetName val="4_211"/>
      <sheetName val="4_311"/>
      <sheetName val="4_411"/>
      <sheetName val="4_511"/>
      <sheetName val="4_611"/>
      <sheetName val="4_711"/>
      <sheetName val="4_811"/>
      <sheetName val="4_911"/>
      <sheetName val="4_1011"/>
      <sheetName val="5_111"/>
      <sheetName val="5_211"/>
      <sheetName val="5_311"/>
      <sheetName val="6_111"/>
      <sheetName val="6_211"/>
      <sheetName val="7_111"/>
      <sheetName val="7_211"/>
      <sheetName val="8_150"/>
      <sheetName val="8_240"/>
      <sheetName val="8_311"/>
      <sheetName val="8_411"/>
      <sheetName val="8_511"/>
      <sheetName val="8_611"/>
      <sheetName val="8_711"/>
      <sheetName val="8_811"/>
      <sheetName val="8_911"/>
      <sheetName val="8_1011"/>
      <sheetName val="8_1115"/>
      <sheetName val="8_1213"/>
      <sheetName val="8_1311"/>
      <sheetName val="8_1411"/>
      <sheetName val="8_1511"/>
      <sheetName val="8_1611"/>
      <sheetName val="8_1711"/>
      <sheetName val="8_1811"/>
      <sheetName val="8_1911"/>
      <sheetName val="8_2011"/>
      <sheetName val="8_2114"/>
      <sheetName val="8_2212"/>
      <sheetName val="8_2311"/>
      <sheetName val="8_2411"/>
      <sheetName val="8_2511"/>
      <sheetName val="8_2611"/>
      <sheetName val="9_111"/>
      <sheetName val="9_211"/>
      <sheetName val="9_311"/>
      <sheetName val="9_411"/>
      <sheetName val="9_511"/>
      <sheetName val="9_611"/>
      <sheetName val="10_150"/>
      <sheetName val="10_250"/>
      <sheetName val="10_311"/>
      <sheetName val="10_411"/>
      <sheetName val="10_511"/>
      <sheetName val="10_611"/>
      <sheetName val="10_711"/>
      <sheetName val="10_811"/>
      <sheetName val="10_911"/>
      <sheetName val="10_1011"/>
      <sheetName val="10_1115"/>
      <sheetName val="10_1213"/>
      <sheetName val="10_1311"/>
      <sheetName val="10_1411"/>
      <sheetName val="10_1511"/>
      <sheetName val="10_1611"/>
      <sheetName val="10_1711"/>
      <sheetName val="10_1811"/>
      <sheetName val="10_1911"/>
      <sheetName val="10_2011"/>
      <sheetName val="10_2115"/>
      <sheetName val="10_2213"/>
      <sheetName val="10_2311"/>
      <sheetName val="10_2411"/>
      <sheetName val="10_2511"/>
      <sheetName val="10_2611"/>
      <sheetName val="10_2711"/>
      <sheetName val="10_2811"/>
      <sheetName val="10_2911"/>
      <sheetName val="10_3011"/>
      <sheetName val="11_111"/>
      <sheetName val="12_140"/>
      <sheetName val="12_211"/>
      <sheetName val="12_311"/>
      <sheetName val="12_411"/>
      <sheetName val="12_511"/>
      <sheetName val="12_611"/>
      <sheetName val="12_711"/>
      <sheetName val="12_811"/>
      <sheetName val="12_911"/>
      <sheetName val="12_1011"/>
      <sheetName val="12_1113"/>
      <sheetName val="12_1211"/>
      <sheetName val="12_1311"/>
      <sheetName val="PLANILHA_(2)11"/>
      <sheetName val="PLANILHA_BCK_UP11"/>
      <sheetName val="Cronograma_Geral11"/>
      <sheetName val="Cronog_Lote_III11"/>
      <sheetName val="Cronog_Lote_II11"/>
      <sheetName val="Cronog_Lote_I11"/>
      <sheetName val="Res__Geral_Lotes_I,_II_e_III11"/>
      <sheetName val="Resumo_Lote_I11"/>
      <sheetName val="Resumo_Lote_II11"/>
      <sheetName val="Resumo_Lote_III11"/>
      <sheetName val="TRECHOS_(2)11"/>
      <sheetName val="TRECHOS_(3)11"/>
      <sheetName val="TRECHOS_(4)11"/>
      <sheetName val="Células_Soma11"/>
      <sheetName val="CONTROLE"/>
      <sheetName val="IDENTIFICACAO"/>
      <sheetName val="plmuseu"/>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refreshError="1"/>
      <sheetData sheetId="251" refreshError="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 sheetId="855"/>
      <sheetData sheetId="856"/>
      <sheetData sheetId="857"/>
      <sheetData sheetId="858"/>
      <sheetData sheetId="859"/>
      <sheetData sheetId="860"/>
      <sheetData sheetId="861"/>
      <sheetData sheetId="862"/>
      <sheetData sheetId="863"/>
      <sheetData sheetId="864"/>
      <sheetData sheetId="865"/>
      <sheetData sheetId="866"/>
      <sheetData sheetId="867"/>
      <sheetData sheetId="868"/>
      <sheetData sheetId="869"/>
      <sheetData sheetId="870"/>
      <sheetData sheetId="871"/>
      <sheetData sheetId="872"/>
      <sheetData sheetId="873"/>
      <sheetData sheetId="874"/>
      <sheetData sheetId="875"/>
      <sheetData sheetId="876"/>
      <sheetData sheetId="877"/>
      <sheetData sheetId="878"/>
      <sheetData sheetId="879"/>
      <sheetData sheetId="880"/>
      <sheetData sheetId="881"/>
      <sheetData sheetId="882"/>
      <sheetData sheetId="883"/>
      <sheetData sheetId="884"/>
      <sheetData sheetId="885"/>
      <sheetData sheetId="886"/>
      <sheetData sheetId="887"/>
      <sheetData sheetId="888"/>
      <sheetData sheetId="889"/>
      <sheetData sheetId="890"/>
      <sheetData sheetId="891"/>
      <sheetData sheetId="892"/>
      <sheetData sheetId="893"/>
      <sheetData sheetId="894"/>
      <sheetData sheetId="895"/>
      <sheetData sheetId="896"/>
      <sheetData sheetId="897"/>
      <sheetData sheetId="898"/>
      <sheetData sheetId="899"/>
      <sheetData sheetId="900"/>
      <sheetData sheetId="901"/>
      <sheetData sheetId="902"/>
      <sheetData sheetId="903"/>
      <sheetData sheetId="904"/>
      <sheetData sheetId="905"/>
      <sheetData sheetId="906"/>
      <sheetData sheetId="907"/>
      <sheetData sheetId="908"/>
      <sheetData sheetId="909"/>
      <sheetData sheetId="910"/>
      <sheetData sheetId="911"/>
      <sheetData sheetId="912"/>
      <sheetData sheetId="913"/>
      <sheetData sheetId="914"/>
      <sheetData sheetId="915"/>
      <sheetData sheetId="916"/>
      <sheetData sheetId="917"/>
      <sheetData sheetId="918"/>
      <sheetData sheetId="919"/>
      <sheetData sheetId="920"/>
      <sheetData sheetId="921"/>
      <sheetData sheetId="922"/>
      <sheetData sheetId="923"/>
      <sheetData sheetId="924"/>
      <sheetData sheetId="925"/>
      <sheetData sheetId="926"/>
      <sheetData sheetId="927"/>
      <sheetData sheetId="928"/>
      <sheetData sheetId="929"/>
      <sheetData sheetId="930"/>
      <sheetData sheetId="931"/>
      <sheetData sheetId="932"/>
      <sheetData sheetId="933"/>
      <sheetData sheetId="934"/>
      <sheetData sheetId="935"/>
      <sheetData sheetId="936"/>
      <sheetData sheetId="937"/>
      <sheetData sheetId="938"/>
      <sheetData sheetId="939"/>
      <sheetData sheetId="940"/>
      <sheetData sheetId="941"/>
      <sheetData sheetId="942"/>
      <sheetData sheetId="943"/>
      <sheetData sheetId="944"/>
      <sheetData sheetId="945"/>
      <sheetData sheetId="946"/>
      <sheetData sheetId="947"/>
      <sheetData sheetId="948"/>
      <sheetData sheetId="949"/>
      <sheetData sheetId="950"/>
      <sheetData sheetId="951"/>
      <sheetData sheetId="952"/>
      <sheetData sheetId="953"/>
      <sheetData sheetId="954"/>
      <sheetData sheetId="955"/>
      <sheetData sheetId="956"/>
      <sheetData sheetId="957"/>
      <sheetData sheetId="958"/>
      <sheetData sheetId="959"/>
      <sheetData sheetId="960"/>
      <sheetData sheetId="961"/>
      <sheetData sheetId="962"/>
      <sheetData sheetId="963"/>
      <sheetData sheetId="964"/>
      <sheetData sheetId="965"/>
      <sheetData sheetId="966"/>
      <sheetData sheetId="967"/>
      <sheetData sheetId="968"/>
      <sheetData sheetId="969"/>
      <sheetData sheetId="970"/>
      <sheetData sheetId="971"/>
      <sheetData sheetId="972"/>
      <sheetData sheetId="973"/>
      <sheetData sheetId="974"/>
      <sheetData sheetId="975"/>
      <sheetData sheetId="976"/>
      <sheetData sheetId="977"/>
      <sheetData sheetId="978"/>
      <sheetData sheetId="979"/>
      <sheetData sheetId="980"/>
      <sheetData sheetId="981"/>
      <sheetData sheetId="982"/>
      <sheetData sheetId="983"/>
      <sheetData sheetId="984"/>
      <sheetData sheetId="985"/>
      <sheetData sheetId="986"/>
      <sheetData sheetId="987"/>
      <sheetData sheetId="988"/>
      <sheetData sheetId="989"/>
      <sheetData sheetId="990"/>
      <sheetData sheetId="991"/>
      <sheetData sheetId="992"/>
      <sheetData sheetId="993"/>
      <sheetData sheetId="994"/>
      <sheetData sheetId="995"/>
      <sheetData sheetId="996"/>
      <sheetData sheetId="997"/>
      <sheetData sheetId="998"/>
      <sheetData sheetId="999"/>
      <sheetData sheetId="1000"/>
      <sheetData sheetId="1001"/>
      <sheetData sheetId="1002"/>
      <sheetData sheetId="1003"/>
      <sheetData sheetId="1004"/>
      <sheetData sheetId="1005"/>
      <sheetData sheetId="1006"/>
      <sheetData sheetId="1007"/>
      <sheetData sheetId="1008"/>
      <sheetData sheetId="1009"/>
      <sheetData sheetId="1010"/>
      <sheetData sheetId="1011"/>
      <sheetData sheetId="1012"/>
      <sheetData sheetId="1013"/>
      <sheetData sheetId="1014"/>
      <sheetData sheetId="1015"/>
      <sheetData sheetId="1016"/>
      <sheetData sheetId="1017"/>
      <sheetData sheetId="1018"/>
      <sheetData sheetId="1019"/>
      <sheetData sheetId="1020"/>
      <sheetData sheetId="1021"/>
      <sheetData sheetId="1022"/>
      <sheetData sheetId="1023"/>
      <sheetData sheetId="1024"/>
      <sheetData sheetId="1025"/>
      <sheetData sheetId="1026"/>
      <sheetData sheetId="1027"/>
      <sheetData sheetId="1028"/>
      <sheetData sheetId="1029"/>
      <sheetData sheetId="1030"/>
      <sheetData sheetId="1031"/>
      <sheetData sheetId="1032"/>
      <sheetData sheetId="1033"/>
      <sheetData sheetId="1034"/>
      <sheetData sheetId="1035"/>
      <sheetData sheetId="1036"/>
      <sheetData sheetId="1037"/>
      <sheetData sheetId="1038"/>
      <sheetData sheetId="1039"/>
      <sheetData sheetId="1040"/>
      <sheetData sheetId="1041"/>
      <sheetData sheetId="1042"/>
      <sheetData sheetId="1043"/>
      <sheetData sheetId="1044"/>
      <sheetData sheetId="1045"/>
      <sheetData sheetId="1046"/>
      <sheetData sheetId="1047"/>
      <sheetData sheetId="1048"/>
      <sheetData sheetId="1049"/>
      <sheetData sheetId="1050"/>
      <sheetData sheetId="1051"/>
      <sheetData sheetId="1052"/>
      <sheetData sheetId="1053"/>
      <sheetData sheetId="1054"/>
      <sheetData sheetId="1055"/>
      <sheetData sheetId="1056"/>
      <sheetData sheetId="1057"/>
      <sheetData sheetId="1058"/>
      <sheetData sheetId="1059"/>
      <sheetData sheetId="1060"/>
      <sheetData sheetId="1061"/>
      <sheetData sheetId="1062"/>
      <sheetData sheetId="1063"/>
      <sheetData sheetId="1064"/>
      <sheetData sheetId="1065"/>
      <sheetData sheetId="1066"/>
      <sheetData sheetId="1067"/>
      <sheetData sheetId="1068"/>
      <sheetData sheetId="1069"/>
      <sheetData sheetId="1070"/>
      <sheetData sheetId="1071"/>
      <sheetData sheetId="1072"/>
      <sheetData sheetId="1073"/>
      <sheetData sheetId="1074"/>
      <sheetData sheetId="1075"/>
      <sheetData sheetId="1076"/>
      <sheetData sheetId="1077"/>
      <sheetData sheetId="1078"/>
      <sheetData sheetId="1079"/>
      <sheetData sheetId="1080"/>
      <sheetData sheetId="1081"/>
      <sheetData sheetId="1082"/>
      <sheetData sheetId="1083"/>
      <sheetData sheetId="1084"/>
      <sheetData sheetId="1085"/>
      <sheetData sheetId="1086"/>
      <sheetData sheetId="1087"/>
      <sheetData sheetId="1088"/>
      <sheetData sheetId="1089"/>
      <sheetData sheetId="1090"/>
      <sheetData sheetId="1091"/>
      <sheetData sheetId="1092"/>
      <sheetData sheetId="1093"/>
      <sheetData sheetId="1094"/>
      <sheetData sheetId="1095"/>
      <sheetData sheetId="1096"/>
      <sheetData sheetId="1097"/>
      <sheetData sheetId="1098"/>
      <sheetData sheetId="1099"/>
      <sheetData sheetId="1100"/>
      <sheetData sheetId="1101"/>
      <sheetData sheetId="1102"/>
      <sheetData sheetId="1103"/>
      <sheetData sheetId="1104"/>
      <sheetData sheetId="1105"/>
      <sheetData sheetId="1106"/>
      <sheetData sheetId="1107"/>
      <sheetData sheetId="1108"/>
      <sheetData sheetId="1109"/>
      <sheetData sheetId="1110"/>
      <sheetData sheetId="1111"/>
      <sheetData sheetId="1112"/>
      <sheetData sheetId="1113"/>
      <sheetData sheetId="1114"/>
      <sheetData sheetId="1115"/>
      <sheetData sheetId="1116"/>
      <sheetData sheetId="1117"/>
      <sheetData sheetId="1118"/>
      <sheetData sheetId="1119"/>
      <sheetData sheetId="1120"/>
      <sheetData sheetId="1121"/>
      <sheetData sheetId="1122"/>
      <sheetData sheetId="1123"/>
      <sheetData sheetId="1124"/>
      <sheetData sheetId="1125"/>
      <sheetData sheetId="1126"/>
      <sheetData sheetId="1127"/>
      <sheetData sheetId="1128"/>
      <sheetData sheetId="1129"/>
      <sheetData sheetId="1130"/>
      <sheetData sheetId="1131"/>
      <sheetData sheetId="1132"/>
      <sheetData sheetId="1133"/>
      <sheetData sheetId="1134"/>
      <sheetData sheetId="1135"/>
      <sheetData sheetId="1136"/>
      <sheetData sheetId="1137"/>
      <sheetData sheetId="1138"/>
      <sheetData sheetId="1139"/>
      <sheetData sheetId="1140"/>
      <sheetData sheetId="1141"/>
      <sheetData sheetId="1142"/>
      <sheetData sheetId="1143"/>
      <sheetData sheetId="1144"/>
      <sheetData sheetId="1145"/>
      <sheetData sheetId="1146"/>
      <sheetData sheetId="1147"/>
      <sheetData sheetId="1148"/>
      <sheetData sheetId="1149"/>
      <sheetData sheetId="1150"/>
      <sheetData sheetId="1151"/>
      <sheetData sheetId="1152"/>
      <sheetData sheetId="1153"/>
      <sheetData sheetId="1154"/>
      <sheetData sheetId="1155"/>
      <sheetData sheetId="1156"/>
      <sheetData sheetId="1157"/>
      <sheetData sheetId="1158"/>
      <sheetData sheetId="1159"/>
      <sheetData sheetId="1160"/>
      <sheetData sheetId="1161"/>
      <sheetData sheetId="1162"/>
      <sheetData sheetId="1163"/>
      <sheetData sheetId="1164"/>
      <sheetData sheetId="1165"/>
      <sheetData sheetId="1166"/>
      <sheetData sheetId="1167"/>
      <sheetData sheetId="1168"/>
      <sheetData sheetId="1169"/>
      <sheetData sheetId="1170"/>
      <sheetData sheetId="1171"/>
      <sheetData sheetId="1172"/>
      <sheetData sheetId="1173"/>
      <sheetData sheetId="1174"/>
      <sheetData sheetId="1175"/>
      <sheetData sheetId="1176"/>
      <sheetData sheetId="1177"/>
      <sheetData sheetId="1178"/>
      <sheetData sheetId="1179"/>
      <sheetData sheetId="1180"/>
      <sheetData sheetId="1181"/>
      <sheetData sheetId="1182"/>
      <sheetData sheetId="1183"/>
      <sheetData sheetId="1184"/>
      <sheetData sheetId="1185"/>
      <sheetData sheetId="1186"/>
      <sheetData sheetId="1187"/>
      <sheetData sheetId="1188"/>
      <sheetData sheetId="1189"/>
      <sheetData sheetId="1190"/>
      <sheetData sheetId="1191"/>
      <sheetData sheetId="1192"/>
      <sheetData sheetId="1193"/>
      <sheetData sheetId="1194"/>
      <sheetData sheetId="1195"/>
      <sheetData sheetId="1196"/>
      <sheetData sheetId="1197"/>
      <sheetData sheetId="1198"/>
      <sheetData sheetId="1199"/>
      <sheetData sheetId="1200"/>
      <sheetData sheetId="1201"/>
      <sheetData sheetId="1202"/>
      <sheetData sheetId="1203"/>
      <sheetData sheetId="1204"/>
      <sheetData sheetId="1205"/>
      <sheetData sheetId="1206"/>
      <sheetData sheetId="1207"/>
      <sheetData sheetId="1208"/>
      <sheetData sheetId="1209"/>
      <sheetData sheetId="1210"/>
      <sheetData sheetId="1211"/>
      <sheetData sheetId="1212"/>
      <sheetData sheetId="1213"/>
      <sheetData sheetId="1214"/>
      <sheetData sheetId="1215"/>
      <sheetData sheetId="1216"/>
      <sheetData sheetId="1217"/>
      <sheetData sheetId="1218"/>
      <sheetData sheetId="1219"/>
      <sheetData sheetId="1220"/>
      <sheetData sheetId="1221"/>
      <sheetData sheetId="1222"/>
      <sheetData sheetId="1223"/>
      <sheetData sheetId="1224"/>
      <sheetData sheetId="1225"/>
      <sheetData sheetId="1226"/>
      <sheetData sheetId="1227"/>
      <sheetData sheetId="1228"/>
      <sheetData sheetId="1229"/>
      <sheetData sheetId="1230"/>
      <sheetData sheetId="1231"/>
      <sheetData sheetId="1232"/>
      <sheetData sheetId="1233"/>
      <sheetData sheetId="1234"/>
      <sheetData sheetId="1235"/>
      <sheetData sheetId="1236"/>
      <sheetData sheetId="1237"/>
      <sheetData sheetId="1238"/>
      <sheetData sheetId="1239"/>
      <sheetData sheetId="1240"/>
      <sheetData sheetId="1241"/>
      <sheetData sheetId="1242"/>
      <sheetData sheetId="1243"/>
      <sheetData sheetId="1244"/>
      <sheetData sheetId="1245"/>
      <sheetData sheetId="1246"/>
      <sheetData sheetId="1247"/>
      <sheetData sheetId="1248"/>
      <sheetData sheetId="1249"/>
      <sheetData sheetId="1250"/>
      <sheetData sheetId="1251"/>
      <sheetData sheetId="1252"/>
      <sheetData sheetId="1253"/>
      <sheetData sheetId="1254"/>
      <sheetData sheetId="1255"/>
      <sheetData sheetId="1256"/>
      <sheetData sheetId="1257"/>
      <sheetData sheetId="1258"/>
      <sheetData sheetId="1259"/>
      <sheetData sheetId="1260"/>
      <sheetData sheetId="1261"/>
      <sheetData sheetId="1262"/>
      <sheetData sheetId="1263"/>
      <sheetData sheetId="1264"/>
      <sheetData sheetId="1265"/>
      <sheetData sheetId="1266"/>
      <sheetData sheetId="1267"/>
      <sheetData sheetId="1268"/>
      <sheetData sheetId="1269"/>
      <sheetData sheetId="1270"/>
      <sheetData sheetId="1271"/>
      <sheetData sheetId="1272"/>
      <sheetData sheetId="1273"/>
      <sheetData sheetId="1274"/>
      <sheetData sheetId="1275"/>
      <sheetData sheetId="1276"/>
      <sheetData sheetId="1277"/>
      <sheetData sheetId="1278"/>
      <sheetData sheetId="1279"/>
      <sheetData sheetId="1280"/>
      <sheetData sheetId="1281"/>
      <sheetData sheetId="1282"/>
      <sheetData sheetId="1283"/>
      <sheetData sheetId="1284"/>
      <sheetData sheetId="1285"/>
      <sheetData sheetId="1286"/>
      <sheetData sheetId="1287"/>
      <sheetData sheetId="1288"/>
      <sheetData sheetId="1289"/>
      <sheetData sheetId="1290"/>
      <sheetData sheetId="1291"/>
      <sheetData sheetId="1292"/>
      <sheetData sheetId="1293"/>
      <sheetData sheetId="1294"/>
      <sheetData sheetId="1295"/>
      <sheetData sheetId="1296"/>
      <sheetData sheetId="1297"/>
      <sheetData sheetId="1298"/>
      <sheetData sheetId="1299"/>
      <sheetData sheetId="1300"/>
      <sheetData sheetId="1301"/>
      <sheetData sheetId="1302"/>
      <sheetData sheetId="1303"/>
      <sheetData sheetId="1304"/>
      <sheetData sheetId="1305"/>
      <sheetData sheetId="1306"/>
      <sheetData sheetId="1307"/>
      <sheetData sheetId="1308"/>
      <sheetData sheetId="1309"/>
      <sheetData sheetId="1310"/>
      <sheetData sheetId="1311"/>
      <sheetData sheetId="1312"/>
      <sheetData sheetId="1313"/>
      <sheetData sheetId="1314"/>
      <sheetData sheetId="1315"/>
      <sheetData sheetId="1316"/>
      <sheetData sheetId="1317"/>
      <sheetData sheetId="1318"/>
      <sheetData sheetId="1319"/>
      <sheetData sheetId="1320"/>
      <sheetData sheetId="1321"/>
      <sheetData sheetId="1322"/>
      <sheetData sheetId="1323"/>
      <sheetData sheetId="1324"/>
      <sheetData sheetId="1325"/>
      <sheetData sheetId="1326"/>
      <sheetData sheetId="1327"/>
      <sheetData sheetId="1328"/>
      <sheetData sheetId="1329"/>
      <sheetData sheetId="1330"/>
      <sheetData sheetId="1331"/>
      <sheetData sheetId="1332"/>
      <sheetData sheetId="1333"/>
      <sheetData sheetId="1334"/>
      <sheetData sheetId="1335"/>
      <sheetData sheetId="1336"/>
      <sheetData sheetId="1337"/>
      <sheetData sheetId="1338"/>
      <sheetData sheetId="1339"/>
      <sheetData sheetId="1340"/>
      <sheetData sheetId="1341"/>
      <sheetData sheetId="1342"/>
      <sheetData sheetId="1343"/>
      <sheetData sheetId="1344"/>
      <sheetData sheetId="1345"/>
      <sheetData sheetId="1346"/>
      <sheetData sheetId="1347"/>
      <sheetData sheetId="1348"/>
      <sheetData sheetId="1349"/>
      <sheetData sheetId="1350"/>
      <sheetData sheetId="1351"/>
      <sheetData sheetId="1352"/>
      <sheetData sheetId="1353"/>
      <sheetData sheetId="1354"/>
      <sheetData sheetId="1355"/>
      <sheetData sheetId="1356"/>
      <sheetData sheetId="1357"/>
      <sheetData sheetId="1358"/>
      <sheetData sheetId="1359"/>
      <sheetData sheetId="1360"/>
      <sheetData sheetId="1361"/>
      <sheetData sheetId="1362"/>
      <sheetData sheetId="1363"/>
      <sheetData sheetId="1364"/>
      <sheetData sheetId="1365"/>
      <sheetData sheetId="1366"/>
      <sheetData sheetId="1367"/>
      <sheetData sheetId="1368"/>
      <sheetData sheetId="1369"/>
      <sheetData sheetId="1370"/>
      <sheetData sheetId="1371"/>
      <sheetData sheetId="1372"/>
      <sheetData sheetId="1373"/>
      <sheetData sheetId="1374"/>
      <sheetData sheetId="1375"/>
      <sheetData sheetId="1376"/>
      <sheetData sheetId="1377"/>
      <sheetData sheetId="1378"/>
      <sheetData sheetId="1379"/>
      <sheetData sheetId="1380"/>
      <sheetData sheetId="1381"/>
      <sheetData sheetId="1382"/>
      <sheetData sheetId="1383"/>
      <sheetData sheetId="1384"/>
      <sheetData sheetId="1385"/>
      <sheetData sheetId="1386"/>
      <sheetData sheetId="1387"/>
      <sheetData sheetId="1388"/>
      <sheetData sheetId="1389"/>
      <sheetData sheetId="1390"/>
      <sheetData sheetId="1391"/>
      <sheetData sheetId="1392"/>
      <sheetData sheetId="1393"/>
      <sheetData sheetId="1394"/>
      <sheetData sheetId="1395"/>
      <sheetData sheetId="1396"/>
      <sheetData sheetId="1397"/>
      <sheetData sheetId="1398"/>
      <sheetData sheetId="1399"/>
      <sheetData sheetId="1400"/>
      <sheetData sheetId="1401"/>
      <sheetData sheetId="1402"/>
      <sheetData sheetId="1403"/>
      <sheetData sheetId="1404"/>
      <sheetData sheetId="1405"/>
      <sheetData sheetId="1406"/>
      <sheetData sheetId="1407"/>
      <sheetData sheetId="1408"/>
      <sheetData sheetId="1409"/>
      <sheetData sheetId="1410"/>
      <sheetData sheetId="1411"/>
      <sheetData sheetId="1412"/>
      <sheetData sheetId="1413"/>
      <sheetData sheetId="1414"/>
      <sheetData sheetId="1415"/>
      <sheetData sheetId="1416"/>
      <sheetData sheetId="1417"/>
      <sheetData sheetId="1418"/>
      <sheetData sheetId="1419"/>
      <sheetData sheetId="1420"/>
      <sheetData sheetId="1421"/>
      <sheetData sheetId="1422"/>
      <sheetData sheetId="1423"/>
      <sheetData sheetId="1424"/>
      <sheetData sheetId="1425"/>
      <sheetData sheetId="1426"/>
      <sheetData sheetId="1427"/>
      <sheetData sheetId="1428"/>
      <sheetData sheetId="1429"/>
      <sheetData sheetId="1430"/>
      <sheetData sheetId="1431"/>
      <sheetData sheetId="1432"/>
      <sheetData sheetId="1433"/>
      <sheetData sheetId="1434"/>
      <sheetData sheetId="1435"/>
      <sheetData sheetId="1436"/>
      <sheetData sheetId="1437"/>
      <sheetData sheetId="1438"/>
      <sheetData sheetId="1439"/>
      <sheetData sheetId="1440"/>
      <sheetData sheetId="1441"/>
      <sheetData sheetId="1442"/>
      <sheetData sheetId="1443"/>
      <sheetData sheetId="1444"/>
      <sheetData sheetId="1445"/>
      <sheetData sheetId="1446"/>
      <sheetData sheetId="1447"/>
      <sheetData sheetId="1448"/>
      <sheetData sheetId="1449"/>
      <sheetData sheetId="1450"/>
      <sheetData sheetId="1451"/>
      <sheetData sheetId="1452"/>
      <sheetData sheetId="1453"/>
      <sheetData sheetId="1454"/>
      <sheetData sheetId="1455"/>
      <sheetData sheetId="1456"/>
      <sheetData sheetId="1457"/>
      <sheetData sheetId="1458"/>
      <sheetData sheetId="1459"/>
      <sheetData sheetId="1460"/>
      <sheetData sheetId="1461"/>
      <sheetData sheetId="1462"/>
      <sheetData sheetId="1463"/>
      <sheetData sheetId="1464"/>
      <sheetData sheetId="1465"/>
      <sheetData sheetId="1466"/>
      <sheetData sheetId="1467"/>
      <sheetData sheetId="1468"/>
      <sheetData sheetId="1469"/>
      <sheetData sheetId="1470"/>
      <sheetData sheetId="1471"/>
      <sheetData sheetId="1472"/>
      <sheetData sheetId="1473"/>
      <sheetData sheetId="1474"/>
      <sheetData sheetId="1475"/>
      <sheetData sheetId="1476"/>
      <sheetData sheetId="1477"/>
      <sheetData sheetId="1478"/>
      <sheetData sheetId="1479"/>
      <sheetData sheetId="1480"/>
      <sheetData sheetId="1481"/>
      <sheetData sheetId="1482"/>
      <sheetData sheetId="1483"/>
      <sheetData sheetId="1484"/>
      <sheetData sheetId="1485"/>
      <sheetData sheetId="1486"/>
      <sheetData sheetId="1487"/>
      <sheetData sheetId="1488"/>
      <sheetData sheetId="1489"/>
      <sheetData sheetId="1490"/>
      <sheetData sheetId="1491"/>
      <sheetData sheetId="1492"/>
      <sheetData sheetId="1493"/>
      <sheetData sheetId="1494"/>
      <sheetData sheetId="1495"/>
      <sheetData sheetId="1496"/>
      <sheetData sheetId="1497"/>
      <sheetData sheetId="1498"/>
      <sheetData sheetId="1499"/>
      <sheetData sheetId="1500"/>
      <sheetData sheetId="1501"/>
      <sheetData sheetId="1502"/>
      <sheetData sheetId="1503"/>
      <sheetData sheetId="1504"/>
      <sheetData sheetId="1505"/>
      <sheetData sheetId="1506"/>
      <sheetData sheetId="1507"/>
      <sheetData sheetId="1508"/>
      <sheetData sheetId="1509"/>
      <sheetData sheetId="1510"/>
      <sheetData sheetId="1511"/>
      <sheetData sheetId="1512"/>
      <sheetData sheetId="1513"/>
      <sheetData sheetId="1514"/>
      <sheetData sheetId="1515"/>
      <sheetData sheetId="1516"/>
      <sheetData sheetId="1517" refreshError="1"/>
      <sheetData sheetId="1518" refreshError="1"/>
      <sheetData sheetId="1519" refreshError="1"/>
    </sheetDataSet>
  </externalBook>
</externalLink>
</file>

<file path=xl/externalLinks/externalLink47.xml><?xml version="1.0" encoding="utf-8"?>
<externalLink xmlns="http://schemas.openxmlformats.org/spreadsheetml/2006/main">
  <externalBook xmlns:r="http://schemas.openxmlformats.org/officeDocument/2006/relationships" r:id="rId1">
    <sheetNames>
      <sheetName val="Orcto"/>
      <sheetName val="RealOut02"/>
      <sheetName val="Códigos"/>
      <sheetName val="PMR"/>
      <sheetName val="Custos"/>
      <sheetName val="Desp"/>
      <sheetName val="Consolid2003"/>
      <sheetName val="Eco_Fin"/>
      <sheetName val="Início"/>
      <sheetName val="Anexos"/>
      <sheetName val="Receita01"/>
      <sheetName val="Instruções"/>
      <sheetName val="1Receita"/>
      <sheetName val="2Receita"/>
      <sheetName val="3Receita"/>
      <sheetName val="4Receita"/>
      <sheetName val="Tarifas e Projeções"/>
      <sheetName val="Estudo"/>
      <sheetName val="Aux"/>
      <sheetName val="5Receita"/>
      <sheetName val="1Indireta"/>
      <sheetName val="Sesuite"/>
      <sheetName val="Tarifas e Projeções (2)"/>
      <sheetName val="Resumo"/>
      <sheetName val="1.PRD"/>
      <sheetName val="1.ADU"/>
      <sheetName val="1.ETA"/>
      <sheetName val="1.RES"/>
      <sheetName val="1.RED"/>
      <sheetName val="1.LDA"/>
      <sheetName val="1.PJA"/>
      <sheetName val="1.HID"/>
      <sheetName val="2.ETE"/>
      <sheetName val="2.EEE"/>
      <sheetName val="2.LRQ"/>
      <sheetName val="2.INT"/>
      <sheetName val="2.REC"/>
      <sheetName val="2.LDE"/>
      <sheetName val="2.PJE"/>
      <sheetName val="3.PRP"/>
      <sheetName val="3.PSO"/>
      <sheetName val="3.EFE"/>
      <sheetName val="3.EDF"/>
      <sheetName val="3.OTG"/>
      <sheetName val="Apoio.TXT"/>
      <sheetName val="preços DAAE"/>
      <sheetName val="Tarifas_e_Projeções"/>
      <sheetName val="Tarifas_e_Projeções_(2)"/>
      <sheetName val="1_PRD"/>
      <sheetName val="1_ADU"/>
      <sheetName val="1_ETA"/>
      <sheetName val="1_RES"/>
      <sheetName val="1_RED"/>
      <sheetName val="1_LDA"/>
      <sheetName val="1_PJA"/>
      <sheetName val="1_HID"/>
      <sheetName val="2_ETE"/>
      <sheetName val="2_EEE"/>
      <sheetName val="2_LRQ"/>
      <sheetName val="2_INT"/>
      <sheetName val="2_REC"/>
      <sheetName val="2_LDE"/>
      <sheetName val="2_PJE"/>
      <sheetName val="3_PRP"/>
      <sheetName val="3_PSO"/>
      <sheetName val="3_EFE"/>
      <sheetName val="3_EDF"/>
      <sheetName val="3_OTG"/>
      <sheetName val="Apoio_TXT"/>
      <sheetName val="preços_DAAE"/>
      <sheetName val="Tarifas_e_Projeções1"/>
      <sheetName val="Tarifas_e_Projeções_(2)1"/>
      <sheetName val="1_PRD1"/>
      <sheetName val="1_ADU1"/>
      <sheetName val="1_ETA1"/>
      <sheetName val="1_RES1"/>
      <sheetName val="1_RED1"/>
      <sheetName val="1_LDA1"/>
      <sheetName val="1_PJA1"/>
      <sheetName val="1_HID1"/>
      <sheetName val="2_ETE1"/>
      <sheetName val="2_EEE1"/>
      <sheetName val="2_LRQ1"/>
      <sheetName val="2_INT1"/>
      <sheetName val="2_REC1"/>
      <sheetName val="2_LDE1"/>
      <sheetName val="2_PJE1"/>
      <sheetName val="3_PRP1"/>
      <sheetName val="3_PSO1"/>
      <sheetName val="3_EFE1"/>
      <sheetName val="3_EDF1"/>
      <sheetName val="3_OTG1"/>
      <sheetName val="Apoio_TXT1"/>
      <sheetName val="preços_DAAE1"/>
      <sheetName val="Tarifas_e_Projeções2"/>
      <sheetName val="Tarifas_e_Projeções_(2)2"/>
      <sheetName val="1_PRD2"/>
      <sheetName val="1_ADU2"/>
      <sheetName val="1_ETA2"/>
      <sheetName val="1_RES2"/>
      <sheetName val="1_RED2"/>
      <sheetName val="1_LDA2"/>
      <sheetName val="1_PJA2"/>
      <sheetName val="1_HID2"/>
      <sheetName val="2_ETE2"/>
      <sheetName val="2_EEE2"/>
      <sheetName val="2_LRQ2"/>
      <sheetName val="2_INT2"/>
      <sheetName val="2_REC2"/>
      <sheetName val="2_LDE2"/>
      <sheetName val="2_PJE2"/>
      <sheetName val="3_PRP2"/>
      <sheetName val="3_PSO2"/>
      <sheetName val="3_EFE2"/>
      <sheetName val="3_EDF2"/>
      <sheetName val="3_OTG2"/>
      <sheetName val="Apoio_TXT2"/>
      <sheetName val="preços_DAAE2"/>
      <sheetName val=""/>
      <sheetName val="Dados"/>
      <sheetName val="RP-1 SB (3)"/>
    </sheetNames>
    <definedNames>
      <definedName name="COPIAR_E_COLAR_FORMULA_MES"/>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refreshError="1"/>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refreshError="1"/>
      <sheetData sheetId="119" refreshError="1"/>
      <sheetData sheetId="120" refreshError="1"/>
    </sheetDataSet>
  </externalBook>
</externalLink>
</file>

<file path=xl/externalLinks/externalLink48.xml><?xml version="1.0" encoding="utf-8"?>
<externalLink xmlns="http://schemas.openxmlformats.org/spreadsheetml/2006/main">
  <externalBook xmlns:r="http://schemas.openxmlformats.org/officeDocument/2006/relationships" r:id="rId1">
    <sheetNames>
      <sheetName val="Cod"/>
      <sheetName val="BDG"/>
      <sheetName val="Orc"/>
      <sheetName val="ConsRot"/>
      <sheetName val="Investim"/>
      <sheetName val="Receitas"/>
      <sheetName val="Adm"/>
      <sheetName val="Pres"/>
      <sheetName val="Resumo"/>
      <sheetName val="SegTval"/>
      <sheetName val="RealOut02"/>
      <sheetName val="Estudo Impostos"/>
      <sheetName val="CompGerDesp2003"/>
      <sheetName val="Control Panel"/>
      <sheetName val="Eco_Fin"/>
      <sheetName val="FICBIOM"/>
      <sheetName val="Estudo_Impostos"/>
      <sheetName val="Control_Panel"/>
      <sheetName val="Estudo_Impostos1"/>
      <sheetName val="Control_Panel1"/>
      <sheetName val="Base data"/>
      <sheetName val="anterior"/>
      <sheetName val="forecast"/>
      <sheetName val="orçamento"/>
      <sheetName val="atual"/>
      <sheetName val="Oper"/>
      <sheetName val="Estudo_Impostos2"/>
      <sheetName val="Control_Panel2"/>
      <sheetName val="Premissas"/>
      <sheetName val="Dados"/>
      <sheetName val="Controls"/>
      <sheetName val="Plan1"/>
      <sheetName val="Orcto"/>
      <sheetName val="Imobiliz"/>
      <sheetName val="BASE"/>
      <sheetName val="Constants"/>
      <sheetName val="POP cost"/>
      <sheetName val="Cargo CC Set"/>
      <sheetName val="DCF Assumptions"/>
      <sheetName val="PV Calcs"/>
      <sheetName val="Control"/>
      <sheetName val="FCF"/>
      <sheetName val="Input"/>
      <sheetName val="P&amp;L consolidate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sheetData sheetId="18"/>
      <sheetData sheetId="19"/>
      <sheetData sheetId="20" refreshError="1"/>
      <sheetData sheetId="21" refreshError="1"/>
      <sheetData sheetId="22" refreshError="1"/>
      <sheetData sheetId="23" refreshError="1"/>
      <sheetData sheetId="24" refreshError="1"/>
      <sheetData sheetId="25" refreshError="1"/>
      <sheetData sheetId="26"/>
      <sheetData sheetId="27"/>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Set>
  </externalBook>
</externalLink>
</file>

<file path=xl/externalLinks/externalLink49.xml><?xml version="1.0" encoding="utf-8"?>
<externalLink xmlns="http://schemas.openxmlformats.org/spreadsheetml/2006/main">
  <externalBook xmlns:r="http://schemas.openxmlformats.org/officeDocument/2006/relationships" r:id="rId1">
    <sheetNames>
      <sheetName val="Assump. "/>
      <sheetName val="Resultado"/>
      <sheetName val="BDG"/>
      <sheetName val="ConsRot"/>
      <sheetName val="Orc"/>
      <sheetName val="BASECASE"/>
      <sheetName val="RealOut02"/>
      <sheetName val="Principal"/>
      <sheetName val="Estudo Impostos"/>
      <sheetName val="parameters"/>
      <sheetName val="Controls"/>
      <sheetName val="Assump__"/>
      <sheetName val="Estudo_Impostos"/>
      <sheetName val="Assump__1"/>
      <sheetName val="Estudo_Impostos1"/>
      <sheetName val="BU TV &amp; Ancillary"/>
      <sheetName val="anterior"/>
      <sheetName val="orçamento"/>
      <sheetName val="atual"/>
      <sheetName val="Oper"/>
      <sheetName val="Assump__2"/>
      <sheetName val="Estudo_Impostos2"/>
      <sheetName val="Plan1"/>
      <sheetName val="Dados"/>
      <sheetName val="Composições"/>
      <sheetName val="REqpt03"/>
      <sheetName val="AbertInvest"/>
      <sheetName val="Orcto"/>
      <sheetName val="Summary"/>
      <sheetName val="quadro ii "/>
      <sheetName val="Control Panel"/>
      <sheetName val="BRADESCO - 2ª"/>
      <sheetName val="BRADESCO - SAMPCO (2)"/>
      <sheetName val="ING US$10MM"/>
      <sheetName val="ITAÚ US$ 23MM"/>
      <sheetName val="ITAÚ"/>
      <sheetName val="OCTAGON"/>
      <sheetName val="RABOBANK US$ 20MM"/>
      <sheetName val="RABOBANK US$ 40MM"/>
      <sheetName val="SAFRA - US$10"/>
      <sheetName val="SAFRA - US$5"/>
      <sheetName val="SAFRA - US$5 (2)"/>
      <sheetName val="FILTRO"/>
      <sheetName val="ELETRI"/>
      <sheetName val="ELETRO"/>
      <sheetName val="HIDRA"/>
      <sheetName val="MECANICA"/>
      <sheetName val="TELE"/>
      <sheetName val="VISUAL"/>
      <sheetName val="FICBIOM"/>
      <sheetName val="Company data"/>
      <sheetName val="Cover"/>
      <sheetName val="Assum"/>
      <sheetName val="conssid12-96"/>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sheetData sheetId="14"/>
      <sheetData sheetId="15" refreshError="1"/>
      <sheetData sheetId="16" refreshError="1"/>
      <sheetData sheetId="17" refreshError="1"/>
      <sheetData sheetId="18" refreshError="1"/>
      <sheetData sheetId="19" refreshError="1"/>
      <sheetData sheetId="20"/>
      <sheetData sheetId="2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50.xml><?xml version="1.0" encoding="utf-8"?>
<externalLink xmlns="http://schemas.openxmlformats.org/spreadsheetml/2006/main">
  <externalBook xmlns:r="http://schemas.openxmlformats.org/officeDocument/2006/relationships" r:id="rId1">
    <sheetNames>
      <sheetName val="CS#"/>
      <sheetName val="ANEL ZONA SUL"/>
      <sheetName val="ANEL LARANJEIRAS"/>
      <sheetName val="VESPER"/>
      <sheetName val="EMBRATEL"/>
      <sheetName val="METRORED"/>
      <sheetName val="INTELIG"/>
      <sheetName val="NETSTREAM"/>
      <sheetName val="VESPER  PRÉ"/>
      <sheetName val="EMBRATEL PRÉ"/>
      <sheetName val="METRORED PRÉ"/>
      <sheetName val="INTELIG PRÉ"/>
      <sheetName val="NETSTREAM PRÉ"/>
      <sheetName val="ANEL ZONA SUL (2)"/>
      <sheetName val="ANEL LARANJEIRAS (2)"/>
      <sheetName val="CS_"/>
      <sheetName val="12.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refreshError="1"/>
    </sheetDataSet>
  </externalBook>
</externalLink>
</file>

<file path=xl/externalLinks/externalLink51.xml><?xml version="1.0" encoding="utf-8"?>
<externalLink xmlns="http://schemas.openxmlformats.org/spreadsheetml/2006/main">
  <externalBook xmlns:r="http://schemas.openxmlformats.org/officeDocument/2006/relationships" r:id="rId1">
    <sheetNames>
      <sheetName val="Resumo"/>
      <sheetName val="Orçamento"/>
      <sheetName val="Planilha1"/>
      <sheetName val="Curva ABC"/>
      <sheetName val="Cronograma"/>
      <sheetName val="BDI"/>
      <sheetName val="Composições"/>
      <sheetName val="Cotação"/>
      <sheetName val="Resumo Mat"/>
      <sheetName val="Materiais"/>
      <sheetName val="Curva ABC Mat"/>
      <sheetName val="Cronograma Mat"/>
      <sheetName val="BDI Mat"/>
      <sheetName val="Banco_Servico"/>
      <sheetName val="Banco_Insumo"/>
      <sheetName val="Curva_Servico"/>
      <sheetName val="Curva_Insumo"/>
      <sheetName val="MC-Água"/>
      <sheetName val="MC-Esgoto"/>
      <sheetName val="MC-Drenagem"/>
      <sheetName val="MC-Geral"/>
      <sheetName val="TABELAS NB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52.xml><?xml version="1.0" encoding="utf-8"?>
<externalLink xmlns="http://schemas.openxmlformats.org/spreadsheetml/2006/main">
  <externalBook xmlns:r="http://schemas.openxmlformats.org/officeDocument/2006/relationships" r:id="rId1">
    <sheetNames>
      <sheetName val="Bens Uso"/>
      <sheetName val="#REF"/>
      <sheetName val="Eco-Fin"/>
      <sheetName val="CONSSID12-96"/>
      <sheetName val="fluxo de caixa"/>
      <sheetName val="Dif criterios amort s-nl"/>
      <sheetName val="Plan3"/>
      <sheetName val="Eco_Fin"/>
      <sheetName val="CONSSID12_96"/>
      <sheetName val="Receitas"/>
      <sheetName val="IBGE"/>
      <sheetName val="fluxo_de_caixa"/>
      <sheetName val="Bens_Uso"/>
      <sheetName val="Dif_criterios_amort_s-nl"/>
      <sheetName val="Assump. "/>
      <sheetName val="Premissas"/>
      <sheetName val="Parâmetros"/>
      <sheetName val="Customizing"/>
      <sheetName val="Digitação de Propostas"/>
      <sheetName val="SLX_ACESSORIES"/>
      <sheetName val="SLX_PARAMETERS"/>
      <sheetName val="FLUXO  DIÁRIO"/>
      <sheetName val="BDG"/>
      <sheetName val="ConsRot"/>
      <sheetName val="Orc"/>
      <sheetName val="Cargo CC Set"/>
      <sheetName val="cargaPRU"/>
      <sheetName val="RES9295"/>
      <sheetName val="XLR_NoRangeSheet"/>
      <sheetName val="Plan1"/>
      <sheetName val="Bens_Uso1"/>
      <sheetName val="fluxo_de_caixa1"/>
      <sheetName val="Dif_criterios_amort_s-nl1"/>
      <sheetName val="Assump__"/>
      <sheetName val="Digitação_de_Propostas"/>
      <sheetName val="FLUXO__DIÁRIO"/>
      <sheetName val="Cargo_CC_Set"/>
      <sheetName val="Bens_Uso2"/>
      <sheetName val="fluxo_de_caixa2"/>
      <sheetName val="Dif_criterios_amort_s-nl2"/>
      <sheetName val="Assump__1"/>
      <sheetName val="Digitação_de_Propostas1"/>
      <sheetName val="FLUXO__DIÁRIO1"/>
      <sheetName val="Cargo_CC_Set1"/>
      <sheetName val="DePara"/>
      <sheetName val="BACKUP PLAN ORÇAMENTO"/>
      <sheetName val="Constants"/>
      <sheetName val="POP cost"/>
      <sheetName val="Index"/>
      <sheetName val="1. Instellingen"/>
      <sheetName val="Bens_Uso3"/>
      <sheetName val="fluxo_de_caixa3"/>
      <sheetName val="Dif_criterios_amort_s-nl3"/>
      <sheetName val="Assump__2"/>
      <sheetName val="Digitação_de_Propostas2"/>
      <sheetName val="FLUXO__DIÁRIO2"/>
      <sheetName val="Cargo_CC_Set2"/>
      <sheetName val="BACKUP_PLAN_ORÇAMENTO"/>
      <sheetName val="FCF"/>
      <sheetName val="Input"/>
      <sheetName val="RealOut02"/>
      <sheetName val="ResumoDeCusto"/>
      <sheetName val="Custo e Venda"/>
      <sheetName val="Salmod"/>
      <sheetName val="parameters"/>
      <sheetName val="Orcto"/>
      <sheetName val="REqpt03"/>
      <sheetName val="Oper"/>
      <sheetName val="AbertInvest"/>
      <sheetName val="Controls"/>
      <sheetName val="DCF Assumptions"/>
      <sheetName val="PV Calcs"/>
      <sheetName val="Summary"/>
      <sheetName val="Emop0205"/>
      <sheetName val="pon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refreshError="1"/>
      <sheetData sheetId="45" refreshError="1"/>
      <sheetData sheetId="46" refreshError="1"/>
      <sheetData sheetId="47" refreshError="1"/>
      <sheetData sheetId="48" refreshError="1"/>
      <sheetData sheetId="49" refreshError="1"/>
      <sheetData sheetId="50"/>
      <sheetData sheetId="51"/>
      <sheetData sheetId="52"/>
      <sheetData sheetId="53"/>
      <sheetData sheetId="54"/>
      <sheetData sheetId="55"/>
      <sheetData sheetId="56"/>
      <sheetData sheetId="57"/>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Set>
  </externalBook>
</externalLink>
</file>

<file path=xl/externalLinks/externalLink53.xml><?xml version="1.0" encoding="utf-8"?>
<externalLink xmlns="http://schemas.openxmlformats.org/spreadsheetml/2006/main">
  <externalBook xmlns:r="http://schemas.openxmlformats.org/officeDocument/2006/relationships" r:id="rId1">
    <sheetNames>
      <sheetName val="Dialog1"/>
      <sheetName val="Dialog5"/>
      <sheetName val="         Title              "/>
      <sheetName val="Deal Fundamentals"/>
      <sheetName val="Returns"/>
      <sheetName val="Covenants"/>
      <sheetName val="Cash Flow"/>
      <sheetName val="Standard driver"/>
      <sheetName val="Standard page"/>
      <sheetName val="Dialog2"/>
      <sheetName val="Profit and Loss"/>
      <sheetName val="Balance Sheet"/>
      <sheetName val="Loan &amp; Notes Schedule"/>
      <sheetName val="Option Schedule"/>
      <sheetName val="Comparable companies analysis"/>
      <sheetName val="Module1"/>
      <sheetName val="_        Title              "/>
      <sheetName val="Performance_Assumptions"/>
      <sheetName val="Eco-Fin"/>
      <sheetName val="CONSSID12-96"/>
      <sheetName val="fluxo de caixa"/>
      <sheetName val="FinalizarProp"/>
      <sheetName val="Parâmetros"/>
      <sheetName val="_________Title______________"/>
      <sheetName val="Deal_Fundamentals"/>
      <sheetName val="Cash_Flow"/>
      <sheetName val="Standard_driver"/>
      <sheetName val="Standard_page"/>
      <sheetName val="Profit_and_Loss"/>
      <sheetName val="Balance_Sheet"/>
      <sheetName val="Loan_&amp;_Notes_Schedule"/>
      <sheetName val="Option_Schedule"/>
      <sheetName val="Comparable_companies_analysis"/>
      <sheetName val="_________Title______________1"/>
      <sheetName val="fluxo_de_caixa"/>
      <sheetName val="_________Title______________2"/>
      <sheetName val="Deal_Fundamentals1"/>
      <sheetName val="Cash_Flow1"/>
      <sheetName val="Standard_driver1"/>
      <sheetName val="Standard_page1"/>
      <sheetName val="Profit_and_Loss1"/>
      <sheetName val="Balance_Sheet1"/>
      <sheetName val="Loan_&amp;_Notes_Schedule1"/>
      <sheetName val="Option_Schedule1"/>
      <sheetName val="Comparable_companies_analysis1"/>
      <sheetName val="_________Title______________3"/>
      <sheetName val="fluxo_de_caixa1"/>
      <sheetName val="_________Title______________4"/>
      <sheetName val="Deal_Fundamentals2"/>
      <sheetName val="Cash_Flow2"/>
      <sheetName val="Standard_driver2"/>
      <sheetName val="Standard_page2"/>
      <sheetName val="Profit_and_Loss2"/>
      <sheetName val="Balance_Sheet2"/>
      <sheetName val="Loan_&amp;_Notes_Schedule2"/>
      <sheetName val="Option_Schedule2"/>
      <sheetName val="Comparable_companies_analysis2"/>
      <sheetName val="_________Title______________5"/>
      <sheetName val="fluxo_de_caixa2"/>
      <sheetName val="Composições"/>
      <sheetName val="Assump. "/>
      <sheetName val="ResumoDeCusto"/>
      <sheetName val="Custo e Venda"/>
      <sheetName val="Salmod"/>
      <sheetName val="Serviços EMOP"/>
      <sheetName val="Assumptions"/>
      <sheetName val="FOLHA DE ROSTO"/>
      <sheetName val="Reurbanizaçã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Set>
  </externalBook>
</externalLink>
</file>

<file path=xl/externalLinks/externalLink54.xml><?xml version="1.0" encoding="utf-8"?>
<externalLink xmlns="http://schemas.openxmlformats.org/spreadsheetml/2006/main">
  <externalBook xmlns:r="http://schemas.openxmlformats.org/officeDocument/2006/relationships" r:id="rId1">
    <sheetNames>
      <sheetName val="Dialog1"/>
      <sheetName val="Dialog5"/>
      <sheetName val="         Title              "/>
      <sheetName val="Deal Fundamentals"/>
      <sheetName val="Returns"/>
      <sheetName val="Covenants"/>
      <sheetName val="Cash Flow"/>
      <sheetName val="Standard driver"/>
      <sheetName val="Standard page"/>
      <sheetName val="Dialog2"/>
      <sheetName val="Profit and Loss"/>
      <sheetName val="Balance Sheet"/>
      <sheetName val="Loan &amp; Notes Schedule"/>
      <sheetName val="Option Schedule"/>
      <sheetName val="Comparable companies analysis"/>
      <sheetName val="Module1"/>
      <sheetName val="_        Title              "/>
      <sheetName val="Performance_Assumptions"/>
      <sheetName val="Eco-Fin"/>
      <sheetName val="CONSSID12-96"/>
      <sheetName val="fluxo de caixa"/>
      <sheetName val="FinalizarProp"/>
      <sheetName val="DADOS"/>
      <sheetName val="parameters"/>
      <sheetName val="_________Title______________"/>
      <sheetName val="Deal_Fundamentals"/>
      <sheetName val="Cash_Flow"/>
      <sheetName val="Standard_driver"/>
      <sheetName val="Standard_page"/>
      <sheetName val="Profit_and_Loss"/>
      <sheetName val="Balance_Sheet"/>
      <sheetName val="Loan_&amp;_Notes_Schedule"/>
      <sheetName val="Option_Schedule"/>
      <sheetName val="Comparable_companies_analysis"/>
      <sheetName val="_________Title______________1"/>
      <sheetName val="fluxo_de_caixa"/>
      <sheetName val="_________Title______________2"/>
      <sheetName val="Deal_Fundamentals1"/>
      <sheetName val="Cash_Flow1"/>
      <sheetName val="Standard_driver1"/>
      <sheetName val="Standard_page1"/>
      <sheetName val="Profit_and_Loss1"/>
      <sheetName val="Balance_Sheet1"/>
      <sheetName val="Loan_&amp;_Notes_Schedule1"/>
      <sheetName val="Option_Schedule1"/>
      <sheetName val="Comparable_companies_analysis1"/>
      <sheetName val="_________Title______________3"/>
      <sheetName val="fluxo_de_caixa1"/>
      <sheetName val="Controls"/>
      <sheetName val="Orcto"/>
      <sheetName val="capa"/>
      <sheetName val="_________Title______________4"/>
      <sheetName val="Deal_Fundamentals2"/>
      <sheetName val="Cash_Flow2"/>
      <sheetName val="Standard_driver2"/>
      <sheetName val="Standard_page2"/>
      <sheetName val="Profit_and_Loss2"/>
      <sheetName val="Balance_Sheet2"/>
      <sheetName val="Loan_&amp;_Notes_Schedule2"/>
      <sheetName val="Option_Schedule2"/>
      <sheetName val="Comparable_companies_analysis2"/>
      <sheetName val="_________Title______________5"/>
      <sheetName val="fluxo_de_caixa2"/>
      <sheetName val="FICBIOM"/>
      <sheetName val="BDG"/>
      <sheetName val="ConsRot"/>
      <sheetName val="Orc"/>
      <sheetName val="RP-1 SB (3)"/>
      <sheetName val="Sheet2"/>
      <sheetName val="Atual"/>
      <sheetName val="Premissas"/>
      <sheetName val="Cargo CC Set"/>
      <sheetName val="Plan1"/>
      <sheetName val="Control Panel"/>
      <sheetName val="COTAÇÕES"/>
      <sheetName val="FOLHA DE ROSTO"/>
      <sheetName val="Standard LBO Model 2 January"/>
      <sheetName val="Parâmetros"/>
      <sheetName val="12-2007 - BACAXA"/>
      <sheetName val="#ref"/>
      <sheetName val="planilha atualizada"/>
      <sheetName val="Emop 1105"/>
      <sheetName val="Composições"/>
      <sheetName val="Oper"/>
      <sheetName val="REqpt03"/>
      <sheetName val="base_folh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efreshError="1"/>
      <sheetData sheetId="49" refreshError="1"/>
      <sheetData sheetId="50" refreshError="1"/>
      <sheetData sheetId="51"/>
      <sheetData sheetId="52"/>
      <sheetData sheetId="53"/>
      <sheetData sheetId="54"/>
      <sheetData sheetId="55"/>
      <sheetData sheetId="56"/>
      <sheetData sheetId="57"/>
      <sheetData sheetId="58"/>
      <sheetData sheetId="59"/>
      <sheetData sheetId="60"/>
      <sheetData sheetId="61"/>
      <sheetData sheetId="62"/>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sheetData sheetId="79"/>
      <sheetData sheetId="80"/>
      <sheetData sheetId="81" refreshError="1"/>
      <sheetData sheetId="82" refreshError="1"/>
      <sheetData sheetId="83" refreshError="1"/>
      <sheetData sheetId="84" refreshError="1"/>
      <sheetData sheetId="85" refreshError="1"/>
    </sheetDataSet>
  </externalBook>
</externalLink>
</file>

<file path=xl/externalLinks/externalLink55.xml><?xml version="1.0" encoding="utf-8"?>
<externalLink xmlns="http://schemas.openxmlformats.org/spreadsheetml/2006/main">
  <externalBook xmlns:r="http://schemas.openxmlformats.org/officeDocument/2006/relationships" r:id="rId1">
    <sheetNames>
      <sheetName val="Title"/>
      <sheetName val="Output"/>
      <sheetName val="Inputs"/>
      <sheetName val="BS"/>
      <sheetName val="P&amp;L"/>
      <sheetName val="FCF"/>
      <sheetName val="Ratios"/>
      <sheetName val="Title (2)"/>
      <sheetName val="LBO"/>
      <sheetName val="Post1"/>
      <sheetName val="Post2"/>
      <sheetName val="Debt"/>
      <sheetName val="         Title              "/>
      <sheetName val="Dados"/>
      <sheetName val="Base IBGE"/>
      <sheetName val="Resultado"/>
      <sheetName val="Base data"/>
      <sheetName val="Title_(2)"/>
      <sheetName val="_________Title______________"/>
      <sheetName val="Base_IBGE"/>
      <sheetName val="Title_(2)1"/>
      <sheetName val="_________Title______________1"/>
      <sheetName val="Base_IBGE1"/>
      <sheetName val="Control Panel"/>
      <sheetName val="Atual"/>
      <sheetName val="Orcto"/>
      <sheetName val="Plan1"/>
      <sheetName val="Title_(2)2"/>
      <sheetName val="_________Title______________2"/>
      <sheetName val="Base_IBGE2"/>
      <sheetName val="Controls"/>
      <sheetName val="ResumoDeCusto"/>
      <sheetName val="Custo e Venda"/>
      <sheetName val="Salmod"/>
      <sheetName val="Oper"/>
      <sheetName val="base_folha"/>
      <sheetName val="REqpt03"/>
      <sheetName val="CAPEX CUSTO"/>
      <sheetName val="O x R"/>
      <sheetName val="Emop0205"/>
      <sheetName val="pontes"/>
      <sheetName val="parameters"/>
      <sheetName val="DCF and LBO Model Purple_(002)"/>
      <sheetName val="Eco-Fin"/>
      <sheetName val="CONSSID12-96"/>
      <sheetName val="fluxo de caix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 sheetId="20"/>
      <sheetData sheetId="21"/>
      <sheetData sheetId="22"/>
      <sheetData sheetId="23" refreshError="1"/>
      <sheetData sheetId="24" refreshError="1"/>
      <sheetData sheetId="25" refreshError="1"/>
      <sheetData sheetId="26" refreshError="1"/>
      <sheetData sheetId="27"/>
      <sheetData sheetId="28"/>
      <sheetData sheetId="29"/>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Set>
  </externalBook>
</externalLink>
</file>

<file path=xl/externalLinks/externalLink56.xml><?xml version="1.0" encoding="utf-8"?>
<externalLink xmlns="http://schemas.openxmlformats.org/spreadsheetml/2006/main">
  <externalBook xmlns:r="http://schemas.openxmlformats.org/officeDocument/2006/relationships" r:id="rId1">
    <sheetNames>
      <sheetName val="Orcto"/>
      <sheetName val="Atual"/>
      <sheetName val="2003"/>
      <sheetName val="OEqpt04"/>
      <sheetName val="REqpt03"/>
      <sheetName val="InvEng"/>
      <sheetName val="FCF"/>
      <sheetName val="Inputs"/>
      <sheetName val="P&amp;L"/>
      <sheetName val="BS"/>
      <sheetName val="Eco-Fin"/>
      <sheetName val="CONSSID12-96"/>
      <sheetName val="fluxo de caixa"/>
      <sheetName val="RELATA ANTIGO"/>
      <sheetName val="         Title              "/>
      <sheetName val="Assump. "/>
      <sheetName val="BU TV &amp; Ancillary"/>
      <sheetName val="fluxo_de_caixa"/>
      <sheetName val="RELATA_ANTIGO"/>
      <sheetName val="_________Title______________"/>
      <sheetName val="Assump__"/>
      <sheetName val="fluxo_de_caixa1"/>
      <sheetName val="RELATA_ANTIGO1"/>
      <sheetName val="_________Title______________1"/>
      <sheetName val="Assump__1"/>
      <sheetName val="parameters"/>
      <sheetName val="base_folha"/>
      <sheetName val="fluxo_de_caixa2"/>
      <sheetName val="RELATA_ANTIGO2"/>
      <sheetName val="_________Title______________2"/>
      <sheetName val="Assump__2"/>
      <sheetName val="Plan1"/>
      <sheetName val="RP-1 SB (3)"/>
      <sheetName val="Comerciais"/>
      <sheetName val="Financeiros"/>
      <sheetName val="quadro ii "/>
      <sheetName val="Resultado"/>
      <sheetName val="TOTALIZADOR"/>
      <sheetName val="Input"/>
      <sheetName val="Cargo CC Se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Set>
  </externalBook>
</externalLink>
</file>

<file path=xl/externalLinks/externalLink57.xml><?xml version="1.0" encoding="utf-8"?>
<externalLink xmlns="http://schemas.openxmlformats.org/spreadsheetml/2006/main">
  <externalBook xmlns:r="http://schemas.openxmlformats.org/officeDocument/2006/relationships" r:id="rId1">
    <sheetNames>
      <sheetName val="Orcto"/>
      <sheetName val="AbertInvest"/>
      <sheetName val="Atual"/>
      <sheetName val="2003"/>
      <sheetName val="OEqpt04"/>
      <sheetName val="REqpt03"/>
      <sheetName val="InvEng"/>
      <sheetName val="RELATA ANTIGO"/>
      <sheetName val="RetrieveParameters"/>
      <sheetName val="Names"/>
      <sheetName val="FCF"/>
      <sheetName val="Inputs"/>
      <sheetName val="P&amp;L"/>
      <sheetName val="BS"/>
      <sheetName val="Constants"/>
      <sheetName val="POP cost"/>
      <sheetName val="RELATA_ANTIGO"/>
      <sheetName val="RELATA_ANTIGO1"/>
      <sheetName val="Cargo CC Set"/>
      <sheetName val="quadro ii "/>
      <sheetName val="RELATA_ANTIGO2"/>
      <sheetName val="parameters"/>
      <sheetName val="         Title              "/>
      <sheetName val="Premissas"/>
      <sheetName val="Base data"/>
      <sheetName val="Assump. "/>
      <sheetName val="dados"/>
      <sheetName val="1.P&amp;L"/>
      <sheetName val="Buy Out Overview"/>
      <sheetName val="Plan1"/>
      <sheetName val="anterior"/>
      <sheetName val="forecast"/>
      <sheetName val="orçamento"/>
      <sheetName val="DCF Assumptions"/>
      <sheetName val="PV Calc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sheetData sheetId="18" refreshError="1"/>
      <sheetData sheetId="19" refreshError="1"/>
      <sheetData sheetId="20"/>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58.xml><?xml version="1.0" encoding="utf-8"?>
<externalLink xmlns="http://schemas.openxmlformats.org/spreadsheetml/2006/main">
  <externalBook xmlns:r="http://schemas.openxmlformats.org/officeDocument/2006/relationships" r:id="rId1">
    <sheetNames>
      <sheetName val="AbertInvest"/>
      <sheetName val="Plan1"/>
      <sheetName val="REqpt03"/>
      <sheetName val="Orcto"/>
      <sheetName val="Controls"/>
      <sheetName val="BRADESCO - 2ª"/>
      <sheetName val="BRADESCO - SAMPCO (2)"/>
      <sheetName val="ING US$10MM"/>
      <sheetName val="ITAÚ US$ 23MM"/>
      <sheetName val="ITAÚ"/>
      <sheetName val="OCTAGON"/>
      <sheetName val="RABOBANK US$ 20MM"/>
      <sheetName val="RABOBANK US$ 40MM"/>
      <sheetName val="SAFRA - US$10"/>
      <sheetName val="SAFRA - US$5"/>
      <sheetName val="SAFRA - US$5 (2)"/>
      <sheetName val="DADOS"/>
      <sheetName val="Premissas"/>
      <sheetName val="Base data"/>
      <sheetName val="         Title              "/>
      <sheetName val="Oper"/>
      <sheetName val="FCF"/>
      <sheetName val="Input"/>
      <sheetName val="RetrieveParameters"/>
      <sheetName val="Names"/>
      <sheetName val="Imobiliz"/>
      <sheetName val="Emop 1105"/>
      <sheetName val="Resultado"/>
      <sheetName val="Summary_T"/>
      <sheetName val="Inputs"/>
      <sheetName val="P&amp;L"/>
      <sheetName val="BS"/>
      <sheetName val="anterior"/>
      <sheetName val="orçamento"/>
      <sheetName val="atual"/>
      <sheetName val="Index"/>
      <sheetName val="1. Instelling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59.xml><?xml version="1.0" encoding="utf-8"?>
<externalLink xmlns="http://schemas.openxmlformats.org/spreadsheetml/2006/main">
  <externalBook xmlns:r="http://schemas.openxmlformats.org/officeDocument/2006/relationships" r:id="rId1">
    <sheetNames>
      <sheetName val="Orcto"/>
      <sheetName val="Atual"/>
      <sheetName val="2003"/>
      <sheetName val="OEqpt04"/>
      <sheetName val="REqpt03"/>
      <sheetName val="InvEng"/>
      <sheetName val="AbertInvest"/>
      <sheetName val="Company data"/>
      <sheetName val="Cover"/>
      <sheetName val="Controls"/>
      <sheetName val="Company_data"/>
      <sheetName val="Company_data1"/>
      <sheetName val="Resultado"/>
      <sheetName val="Plan1"/>
      <sheetName val="Company_data2"/>
      <sheetName val="BU TV &amp; Ancillary"/>
      <sheetName val="dados"/>
      <sheetName val="FCF"/>
      <sheetName val="Input"/>
      <sheetName val="DCF Assumptions"/>
      <sheetName val="PV Calcs"/>
      <sheetName val="LD-PS-PMC-RMA"/>
      <sheetName val="Comerciais"/>
      <sheetName val="ENC SOCIAIS"/>
      <sheetName val="Financeiros"/>
      <sheetName val="Assump. "/>
      <sheetName val="Index"/>
      <sheetName val="1. Instelling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sheetData sheetId="12" refreshError="1"/>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60.xml><?xml version="1.0" encoding="utf-8"?>
<externalLink xmlns="http://schemas.openxmlformats.org/spreadsheetml/2006/main">
  <externalBook xmlns:r="http://schemas.openxmlformats.org/officeDocument/2006/relationships" r:id="rId1">
    <sheetNames>
      <sheetName val="Buy Out Overview"/>
      <sheetName val="1.P&amp;L"/>
      <sheetName val="2.BS"/>
      <sheetName val="3.CF"/>
      <sheetName val="4.Debt"/>
      <sheetName val="5.TAX"/>
      <sheetName val="6.INTERESTS ,DEP &amp; AMORT"/>
      <sheetName val="REqpt03"/>
      <sheetName val="Orcto"/>
      <sheetName val="AbertInvest"/>
      <sheetName val="LINCE_Buyout_model_V03"/>
      <sheetName val="Buy_Out_Overview"/>
      <sheetName val="1_P&amp;L"/>
      <sheetName val="2_BS"/>
      <sheetName val="3_CF"/>
      <sheetName val="4_Debt"/>
      <sheetName val="5_TAX"/>
      <sheetName val="6_INTERESTS_,DEP_&amp;_AMORT"/>
      <sheetName val="Buy_Out_Overview1"/>
      <sheetName val="1_P&amp;L1"/>
      <sheetName val="2_BS1"/>
      <sheetName val="3_CF1"/>
      <sheetName val="4_Debt1"/>
      <sheetName val="5_TAX1"/>
      <sheetName val="6_INTERESTS_,DEP_&amp;_AMORT1"/>
      <sheetName val="Assump. "/>
      <sheetName val="FCF"/>
      <sheetName val="Input"/>
      <sheetName val="Plan1"/>
      <sheetName val="Buy_Out_Overview2"/>
      <sheetName val="1_P&amp;L2"/>
      <sheetName val="2_BS2"/>
      <sheetName val="3_CF2"/>
      <sheetName val="4_Debt2"/>
      <sheetName val="5_TAX2"/>
      <sheetName val="6_INTERESTS_,DEP_&amp;_AMORT2"/>
      <sheetName val="Index"/>
      <sheetName val="1. Instellingen"/>
      <sheetName val="Constants"/>
      <sheetName val="POP cost"/>
      <sheetName val="Comerciais"/>
      <sheetName val="Financeiros"/>
      <sheetName val="anterior"/>
      <sheetName val="forecast"/>
      <sheetName val="orçamento"/>
      <sheetName val="atual"/>
      <sheetName val="FICBIOM"/>
      <sheetName val="Company data"/>
      <sheetName val="Cover"/>
      <sheetName val="DCF Assumptions"/>
      <sheetName val="PV Calcs"/>
      <sheetName val="P&amp;L consolidated"/>
      <sheetName val="RetrieveParameters"/>
      <sheetName val="Names"/>
      <sheetName val="         Title              "/>
      <sheetName val="Inputs"/>
      <sheetName val="P&amp;L"/>
      <sheetName val="BS"/>
      <sheetName val="dados"/>
      <sheetName val="Resultado"/>
      <sheetName val="MAR01"/>
      <sheetName val="SCO0504"/>
      <sheetName val="Contro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efreshError="1"/>
      <sheetData sheetId="26" refreshError="1"/>
      <sheetData sheetId="27" refreshError="1"/>
      <sheetData sheetId="28" refreshError="1"/>
      <sheetData sheetId="29"/>
      <sheetData sheetId="30"/>
      <sheetData sheetId="31"/>
      <sheetData sheetId="32"/>
      <sheetData sheetId="33"/>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sheetData sheetId="59"/>
      <sheetData sheetId="60"/>
      <sheetData sheetId="61" refreshError="1"/>
      <sheetData sheetId="62" refreshError="1"/>
    </sheetDataSet>
  </externalBook>
</externalLink>
</file>

<file path=xl/externalLinks/externalLink61.xml><?xml version="1.0" encoding="utf-8"?>
<externalLink xmlns="http://schemas.openxmlformats.org/spreadsheetml/2006/main">
  <externalBook xmlns:r="http://schemas.openxmlformats.org/officeDocument/2006/relationships" r:id="rId1">
    <sheetNames>
      <sheetName val="Title"/>
      <sheetName val="Multiples"/>
      <sheetName val="Base Data"/>
      <sheetName val="exchange"/>
      <sheetName val="Westland valuation"/>
      <sheetName val="Macros"/>
      <sheetName val="1.P&amp;L"/>
      <sheetName val="Buy Out Overview"/>
      <sheetName val="Sumário Sub-Atividades"/>
      <sheetName val="RESGER"/>
      <sheetName val="REqpt03"/>
      <sheetName val="Orcto"/>
      <sheetName val="RealOut02"/>
      <sheetName val="Control Panel"/>
      <sheetName val="Base_Data"/>
      <sheetName val="Westland_valuation"/>
      <sheetName val="1_P&amp;L"/>
      <sheetName val="Buy_Out_Overview"/>
      <sheetName val="Sumário_Sub-Atividades"/>
      <sheetName val="Base_Data1"/>
      <sheetName val="Westland_valuation1"/>
      <sheetName val="1_P&amp;L1"/>
      <sheetName val="Buy_Out_Overview1"/>
      <sheetName val="Sumário_Sub-Atividades1"/>
      <sheetName val="Plan2"/>
      <sheetName val="FICBIOM"/>
      <sheetName val="orçamento"/>
      <sheetName val="Base_Data2"/>
      <sheetName val="Westland_valuation2"/>
      <sheetName val="1_P&amp;L2"/>
      <sheetName val="Buy_Out_Overview2"/>
      <sheetName val="Sumário_Sub-Atividades2"/>
      <sheetName val="FCF"/>
      <sheetName val="Inputs"/>
      <sheetName val="P&amp;L"/>
      <sheetName val="BS"/>
      <sheetName val="         Title              "/>
      <sheetName val="TransCo_Supply Sep061"/>
      <sheetName val="medição_ete_sarapuí"/>
      <sheetName val="CAPEX CUSTO"/>
      <sheetName val="O x R"/>
      <sheetName val="Controls"/>
      <sheetName val="AbertInvest"/>
      <sheetName val="INFO_BÁSICAS"/>
      <sheetName val="RELATA ANTIGO"/>
      <sheetName val="DADOS"/>
      <sheetName val="Assump. "/>
      <sheetName val="Overige"/>
      <sheetName val="DCF Assumptions"/>
      <sheetName val="PV Calc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sheetData sheetId="16"/>
      <sheetData sheetId="17"/>
      <sheetData sheetId="18"/>
      <sheetData sheetId="19"/>
      <sheetData sheetId="20"/>
      <sheetData sheetId="21"/>
      <sheetData sheetId="22"/>
      <sheetData sheetId="23"/>
      <sheetData sheetId="24" refreshError="1"/>
      <sheetData sheetId="25" refreshError="1"/>
      <sheetData sheetId="26" refreshError="1"/>
      <sheetData sheetId="27"/>
      <sheetData sheetId="28"/>
      <sheetData sheetId="29"/>
      <sheetData sheetId="30"/>
      <sheetData sheetId="3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externalLinks/externalLink62.xml><?xml version="1.0" encoding="utf-8"?>
<externalLink xmlns="http://schemas.openxmlformats.org/spreadsheetml/2006/main">
  <externalBook xmlns:r="http://schemas.openxmlformats.org/officeDocument/2006/relationships" r:id="rId1">
    <sheetNames>
      <sheetName val="IDENTIFICACAO"/>
      <sheetName val="CPU"/>
      <sheetName val="SERVICOS"/>
      <sheetName val="CONSUMO"/>
      <sheetName val="INSUMOS"/>
      <sheetName val="CMO"/>
      <sheetName val="CEQ"/>
      <sheetName val="CMAT"/>
      <sheetName val="CONTROLE"/>
      <sheetName val="TABELA"/>
      <sheetName val="ABC INSUMOS"/>
      <sheetName val="Módulo1"/>
      <sheetName val="Diálog1"/>
      <sheetName val="CS#"/>
    </sheetNames>
    <sheetDataSet>
      <sheetData sheetId="0"/>
      <sheetData sheetId="1"/>
      <sheetData sheetId="2"/>
      <sheetData sheetId="3"/>
      <sheetData sheetId="4"/>
      <sheetData sheetId="5"/>
      <sheetData sheetId="6"/>
      <sheetData sheetId="7"/>
      <sheetData sheetId="8"/>
      <sheetData sheetId="9"/>
      <sheetData sheetId="10"/>
      <sheetData sheetId="11" refreshError="1"/>
      <sheetData sheetId="12"/>
      <sheetData sheetId="13" refreshError="1"/>
    </sheetDataSet>
  </externalBook>
</externalLink>
</file>

<file path=xl/externalLinks/externalLink63.xml><?xml version="1.0" encoding="utf-8"?>
<externalLink xmlns="http://schemas.openxmlformats.org/spreadsheetml/2006/main">
  <externalBook xmlns:r="http://schemas.openxmlformats.org/officeDocument/2006/relationships" r:id="rId1">
    <sheetNames>
      <sheetName val="M1 - TRP-LESE FEIJÃO CRU"/>
      <sheetName val="M2 - REATOR FEIJÃO CRU"/>
      <sheetName val="M3 - CDV-01 FEIJÃO CRU"/>
      <sheetName val="M4 - FILTRO FEIJÃO CRU"/>
      <sheetName val="M5 - CDV-02 FEIJÃO CRU "/>
      <sheetName val="M6 - DECANTADOR FEIJÃO CRU"/>
      <sheetName val="M7 - CDV-03 FEIJÃO CRU"/>
      <sheetName val="M8 - DESINFECÇÃO FEIJÃO CRU"/>
      <sheetName val="M9 - LESE FEIJÃO CRU"/>
      <sheetName val="M10 - EEDL FEIJÃO CRU"/>
      <sheetName val="M11A - EE1 ESTRUT. FEIJÃO CRU"/>
      <sheetName val="M11B - EE1 ESCAV. FEIJAO CRU"/>
      <sheetName val="M12A - EEF1 ESTRUT. FEIJÃO CRU "/>
      <sheetName val="M12B - EEF1 ESCAV. FEIJAO CRU"/>
      <sheetName val="M13 - QCMs FEIJÃO CRU"/>
      <sheetName val="M14 - C. DE CONTROLE FEIJÃO CRU"/>
      <sheetName val="M15 - C. GERADOR E POL FEIJÃO C"/>
      <sheetName val="M16 - GUARITA FEIJÃO CRU"/>
      <sheetName val="M17 - TRP JACAREACANGA"/>
      <sheetName val="M18 - REATOR JACAREACANGA"/>
      <sheetName val="M19 - CDV-01 JACAREACANGA"/>
      <sheetName val="M20 - FILTRO JACAREACANGA"/>
      <sheetName val="M21 - CDV-02 JACAREACANGA"/>
      <sheetName val="M22 - DECANTADOR JACAREACANGA"/>
      <sheetName val="M23 - DESINFECÇÃO JACAREACANGA"/>
      <sheetName val="M24 - LESE JACAREACANGA"/>
      <sheetName val="M25A - EEF2 ESTRUT. JACAREACANG"/>
      <sheetName val="M25B - EEF2 ESCAV. JACAREACANGA"/>
      <sheetName val="M26 - CASA CONTROLE JACAREACANG"/>
      <sheetName val="MODELO"/>
      <sheetName val="Plan3"/>
      <sheetName val="IDENTIFICACA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Set>
  </externalBook>
</externalLink>
</file>

<file path=xl/externalLinks/externalLink64.xml><?xml version="1.0" encoding="utf-8"?>
<externalLink xmlns="http://schemas.openxmlformats.org/spreadsheetml/2006/main">
  <externalBook xmlns:r="http://schemas.openxmlformats.org/officeDocument/2006/relationships" r:id="rId1">
    <sheetNames>
      <sheetName val="BLOCOS ANCORAGEM"/>
      <sheetName val="RESUMO"/>
      <sheetName val="ADM"/>
      <sheetName val="ATERRO 1"/>
      <sheetName val="ATERRO 2"/>
      <sheetName val="ATERRO 2 DR"/>
      <sheetName val="ATERRO 3"/>
      <sheetName val="ATERRO 3 DR"/>
      <sheetName val="ATERRO 4"/>
      <sheetName val="CAMINHO SERV."/>
      <sheetName val="600 FoFo TERRA"/>
      <sheetName val="600 FoFo ASFALTO"/>
      <sheetName val="300 FoFo TERRA"/>
      <sheetName val="300 FoFo ASFALTO"/>
      <sheetName val="TRV AÉREA 600"/>
      <sheetName val="BLOCOS TRAVESSIAS"/>
      <sheetName val="ENVELOP. DE REDE"/>
      <sheetName val="CX DESC. E VENTOSA"/>
      <sheetName val="BUEIRO Ø 1.500 "/>
      <sheetName val="GALERIA CELULAR"/>
      <sheetName val="TRAVESSIA BUEIRO"/>
      <sheetName val="BOOSTER"/>
      <sheetName val="CAPTAÇÃO CIVIL"/>
      <sheetName val="TAU"/>
      <sheetName val="CHAMINÉ"/>
      <sheetName val="ELEV. COMPERJ"/>
      <sheetName val="CX DISTRIBUIÇÃO"/>
      <sheetName val="TANQUE CONTATO"/>
      <sheetName val="SISTEMA RECIRC."/>
      <sheetName val="SISTEMA LODO"/>
      <sheetName val="SISTEMA CLORO"/>
      <sheetName val="MOD. TRATAMENTO"/>
      <sheetName val="URBANIZ.ETA"/>
      <sheetName val="HISTOGRAMA"/>
      <sheetName val="COMPT IND"/>
      <sheetName val="PASSARELLI IND"/>
      <sheetName val="FORNECEDORES"/>
      <sheetName val="CRON. CONS."/>
      <sheetName val="EQUIPMT."/>
      <sheetName val="ETA"/>
      <sheetName val="Fundação"/>
      <sheetName val="ATERRO_1"/>
      <sheetName val="ATERRO_2"/>
      <sheetName val="ATERRO_2_DR"/>
      <sheetName val="ATERRO_3"/>
      <sheetName val="ATERRO_3_DR"/>
      <sheetName val="ATERRO_4"/>
      <sheetName val="CAMINHO_SERV_"/>
      <sheetName val="600_FoFo_TERRA"/>
      <sheetName val="600_FoFo_ASFALTO"/>
      <sheetName val="300_FoFo_TERRA"/>
      <sheetName val="300_FoFo_ASFALTO"/>
      <sheetName val="TRV_AÉREA_600"/>
      <sheetName val="BLOCOS_ANCORAGEM"/>
      <sheetName val="BLOCOS_TRAVESSIAS"/>
      <sheetName val="ENVELOP__DE_REDE"/>
      <sheetName val="CX_DESC__E_VENTOSA"/>
      <sheetName val="BUEIRO_Ø_1_500_"/>
      <sheetName val="GALERIA_CELULAR"/>
      <sheetName val="TRAVESSIA_BUEIRO"/>
      <sheetName val="CAPTAÇÃO_CIVIL"/>
      <sheetName val="ELEV__COMPERJ"/>
      <sheetName val="CX_DISTRIBUIÇÃO"/>
      <sheetName val="TANQUE_CONTATO"/>
      <sheetName val="SISTEMA_RECIRC_"/>
      <sheetName val="SISTEMA_LODO"/>
      <sheetName val="SISTEMA_CLORO"/>
      <sheetName val="MOD__TRATAMENTO"/>
      <sheetName val="URBANIZ_ETA"/>
      <sheetName val="COMPT_IND"/>
      <sheetName val="PASSARELLI_IND"/>
      <sheetName val="CRON__CONS_"/>
      <sheetName val="EQUIPMT_"/>
      <sheetName val="ATERRO_11"/>
      <sheetName val="ATERRO_21"/>
      <sheetName val="ATERRO_2_DR1"/>
      <sheetName val="ATERRO_31"/>
      <sheetName val="ATERRO_3_DR1"/>
      <sheetName val="ATERRO_41"/>
      <sheetName val="CAMINHO_SERV_1"/>
      <sheetName val="600_FoFo_TERRA1"/>
      <sheetName val="600_FoFo_ASFALTO1"/>
      <sheetName val="300_FoFo_TERRA1"/>
      <sheetName val="300_FoFo_ASFALTO1"/>
      <sheetName val="TRV_AÉREA_6001"/>
      <sheetName val="BLOCOS_ANCORAGEM1"/>
      <sheetName val="BLOCOS_TRAVESSIAS1"/>
      <sheetName val="ENVELOP__DE_REDE1"/>
      <sheetName val="CX_DESC__E_VENTOSA1"/>
      <sheetName val="BUEIRO_Ø_1_500_1"/>
      <sheetName val="GALERIA_CELULAR1"/>
      <sheetName val="TRAVESSIA_BUEIRO1"/>
      <sheetName val="CAPTAÇÃO_CIVIL1"/>
      <sheetName val="ELEV__COMPERJ1"/>
      <sheetName val="CX_DISTRIBUIÇÃO1"/>
      <sheetName val="TANQUE_CONTATO1"/>
      <sheetName val="SISTEMA_RECIRC_1"/>
      <sheetName val="SISTEMA_LODO1"/>
      <sheetName val="SISTEMA_CLORO1"/>
      <sheetName val="MOD__TRATAMENTO1"/>
      <sheetName val="URBANIZ_ETA1"/>
      <sheetName val="COMPT_IND1"/>
      <sheetName val="PASSARELLI_IND1"/>
      <sheetName val="CRON__CONS_1"/>
      <sheetName val="EQUIPMT_1"/>
      <sheetName val="ATERRO_12"/>
      <sheetName val="ATERRO_22"/>
      <sheetName val="ATERRO_2_DR2"/>
      <sheetName val="ATERRO_32"/>
      <sheetName val="ATERRO_3_DR2"/>
      <sheetName val="ATERRO_42"/>
      <sheetName val="CAMINHO_SERV_2"/>
      <sheetName val="600_FoFo_TERRA2"/>
      <sheetName val="600_FoFo_ASFALTO2"/>
      <sheetName val="300_FoFo_TERRA2"/>
      <sheetName val="300_FoFo_ASFALTO2"/>
      <sheetName val="TRV_AÉREA_6002"/>
      <sheetName val="BLOCOS_ANCORAGEM2"/>
      <sheetName val="BLOCOS_TRAVESSIAS2"/>
      <sheetName val="ENVELOP__DE_REDE2"/>
      <sheetName val="CX_DESC__E_VENTOSA2"/>
      <sheetName val="BUEIRO_Ø_1_500_2"/>
      <sheetName val="GALERIA_CELULAR2"/>
      <sheetName val="TRAVESSIA_BUEIRO2"/>
      <sheetName val="CAPTAÇÃO_CIVIL2"/>
      <sheetName val="ELEV__COMPERJ2"/>
      <sheetName val="CX_DISTRIBUIÇÃO2"/>
      <sheetName val="TANQUE_CONTATO2"/>
      <sheetName val="SISTEMA_RECIRC_2"/>
      <sheetName val="SISTEMA_LODO2"/>
      <sheetName val="SISTEMA_CLORO2"/>
      <sheetName val="MOD__TRATAMENTO2"/>
      <sheetName val="URBANIZ_ETA2"/>
      <sheetName val="COMPT_IND2"/>
      <sheetName val="PASSARELLI_IND2"/>
      <sheetName val="CRON__CONS_2"/>
      <sheetName val="EQUIPMT_2"/>
      <sheetName val="ATERRO_13"/>
      <sheetName val="ATERRO_23"/>
      <sheetName val="ATERRO_2_DR3"/>
      <sheetName val="ATERRO_33"/>
      <sheetName val="ATERRO_3_DR3"/>
      <sheetName val="ATERRO_43"/>
      <sheetName val="CAMINHO_SERV_3"/>
      <sheetName val="600_FoFo_TERRA3"/>
      <sheetName val="600_FoFo_ASFALTO3"/>
      <sheetName val="300_FoFo_TERRA3"/>
      <sheetName val="300_FoFo_ASFALTO3"/>
      <sheetName val="TRV_AÉREA_6003"/>
      <sheetName val="BLOCOS_ANCORAGEM3"/>
      <sheetName val="BLOCOS_TRAVESSIAS3"/>
      <sheetName val="ENVELOP__DE_REDE3"/>
      <sheetName val="CX_DESC__E_VENTOSA3"/>
      <sheetName val="BUEIRO_Ø_1_500_3"/>
      <sheetName val="GALERIA_CELULAR3"/>
      <sheetName val="TRAVESSIA_BUEIRO3"/>
      <sheetName val="CAPTAÇÃO_CIVIL3"/>
      <sheetName val="ELEV__COMPERJ3"/>
      <sheetName val="CX_DISTRIBUIÇÃO3"/>
      <sheetName val="TANQUE_CONTATO3"/>
      <sheetName val="SISTEMA_RECIRC_3"/>
      <sheetName val="SISTEMA_LODO3"/>
      <sheetName val="SISTEMA_CLORO3"/>
      <sheetName val="MOD__TRATAMENTO3"/>
      <sheetName val="URBANIZ_ETA3"/>
      <sheetName val="COMPT_IND3"/>
      <sheetName val="PASSARELLI_IND3"/>
      <sheetName val="CRON__CONS_3"/>
      <sheetName val="EQUIPMT_3"/>
      <sheetName val="ATERRO_15"/>
      <sheetName val="ATERRO_25"/>
      <sheetName val="ATERRO_2_DR5"/>
      <sheetName val="ATERRO_35"/>
      <sheetName val="ATERRO_3_DR5"/>
      <sheetName val="ATERRO_45"/>
      <sheetName val="CAMINHO_SERV_5"/>
      <sheetName val="600_FoFo_TERRA5"/>
      <sheetName val="600_FoFo_ASFALTO5"/>
      <sheetName val="300_FoFo_TERRA5"/>
      <sheetName val="300_FoFo_ASFALTO5"/>
      <sheetName val="TRV_AÉREA_6005"/>
      <sheetName val="BLOCOS_ANCORAGEM5"/>
      <sheetName val="BLOCOS_TRAVESSIAS5"/>
      <sheetName val="ENVELOP__DE_REDE5"/>
      <sheetName val="CX_DESC__E_VENTOSA5"/>
      <sheetName val="BUEIRO_Ø_1_500_5"/>
      <sheetName val="GALERIA_CELULAR5"/>
      <sheetName val="TRAVESSIA_BUEIRO5"/>
      <sheetName val="CAPTAÇÃO_CIVIL5"/>
      <sheetName val="ELEV__COMPERJ5"/>
      <sheetName val="CX_DISTRIBUIÇÃO5"/>
      <sheetName val="TANQUE_CONTATO5"/>
      <sheetName val="SISTEMA_RECIRC_5"/>
      <sheetName val="SISTEMA_LODO5"/>
      <sheetName val="SISTEMA_CLORO5"/>
      <sheetName val="MOD__TRATAMENTO5"/>
      <sheetName val="URBANIZ_ETA5"/>
      <sheetName val="COMPT_IND5"/>
      <sheetName val="PASSARELLI_IND5"/>
      <sheetName val="CRON__CONS_5"/>
      <sheetName val="EQUIPMT_5"/>
      <sheetName val="ATERRO_14"/>
      <sheetName val="ATERRO_24"/>
      <sheetName val="ATERRO_2_DR4"/>
      <sheetName val="ATERRO_34"/>
      <sheetName val="ATERRO_3_DR4"/>
      <sheetName val="ATERRO_44"/>
      <sheetName val="CAMINHO_SERV_4"/>
      <sheetName val="600_FoFo_TERRA4"/>
      <sheetName val="600_FoFo_ASFALTO4"/>
      <sheetName val="300_FoFo_TERRA4"/>
      <sheetName val="300_FoFo_ASFALTO4"/>
      <sheetName val="TRV_AÉREA_6004"/>
      <sheetName val="BLOCOS_ANCORAGEM4"/>
      <sheetName val="BLOCOS_TRAVESSIAS4"/>
      <sheetName val="ENVELOP__DE_REDE4"/>
      <sheetName val="CX_DESC__E_VENTOSA4"/>
      <sheetName val="BUEIRO_Ø_1_500_4"/>
      <sheetName val="GALERIA_CELULAR4"/>
      <sheetName val="TRAVESSIA_BUEIRO4"/>
      <sheetName val="CAPTAÇÃO_CIVIL4"/>
      <sheetName val="ELEV__COMPERJ4"/>
      <sheetName val="CX_DISTRIBUIÇÃO4"/>
      <sheetName val="TANQUE_CONTATO4"/>
      <sheetName val="SISTEMA_RECIRC_4"/>
      <sheetName val="SISTEMA_LODO4"/>
      <sheetName val="SISTEMA_CLORO4"/>
      <sheetName val="MOD__TRATAMENTO4"/>
      <sheetName val="URBANIZ_ETA4"/>
      <sheetName val="COMPT_IND4"/>
      <sheetName val="PASSARELLI_IND4"/>
      <sheetName val="CRON__CONS_4"/>
      <sheetName val="EQUIPMT_4"/>
      <sheetName val="ATERRO_16"/>
      <sheetName val="ATERRO_26"/>
      <sheetName val="ATERRO_2_DR6"/>
      <sheetName val="ATERRO_36"/>
      <sheetName val="ATERRO_3_DR6"/>
      <sheetName val="ATERRO_46"/>
      <sheetName val="CAMINHO_SERV_6"/>
      <sheetName val="600_FoFo_TERRA6"/>
      <sheetName val="600_FoFo_ASFALTO6"/>
      <sheetName val="300_FoFo_TERRA6"/>
      <sheetName val="300_FoFo_ASFALTO6"/>
      <sheetName val="TRV_AÉREA_6006"/>
      <sheetName val="BLOCOS_ANCORAGEM6"/>
      <sheetName val="BLOCOS_TRAVESSIAS6"/>
      <sheetName val="ENVELOP__DE_REDE6"/>
      <sheetName val="CX_DESC__E_VENTOSA6"/>
      <sheetName val="BUEIRO_Ø_1_500_6"/>
      <sheetName val="GALERIA_CELULAR6"/>
      <sheetName val="TRAVESSIA_BUEIRO6"/>
      <sheetName val="CAPTAÇÃO_CIVIL6"/>
      <sheetName val="ELEV__COMPERJ6"/>
      <sheetName val="CX_DISTRIBUIÇÃO6"/>
      <sheetName val="TANQUE_CONTATO6"/>
      <sheetName val="SISTEMA_RECIRC_6"/>
      <sheetName val="SISTEMA_LODO6"/>
      <sheetName val="SISTEMA_CLORO6"/>
      <sheetName val="MOD__TRATAMENTO6"/>
      <sheetName val="URBANIZ_ETA6"/>
      <sheetName val="COMPT_IND6"/>
      <sheetName val="PASSARELLI_IND6"/>
      <sheetName val="CRON__CONS_6"/>
      <sheetName val="EQUIPMT_6"/>
      <sheetName val="ATERRO_17"/>
      <sheetName val="ATERRO_27"/>
      <sheetName val="ATERRO_2_DR7"/>
      <sheetName val="ATERRO_37"/>
      <sheetName val="ATERRO_3_DR7"/>
      <sheetName val="ATERRO_47"/>
      <sheetName val="CAMINHO_SERV_7"/>
      <sheetName val="600_FoFo_TERRA7"/>
      <sheetName val="600_FoFo_ASFALTO7"/>
      <sheetName val="300_FoFo_TERRA7"/>
      <sheetName val="300_FoFo_ASFALTO7"/>
      <sheetName val="TRV_AÉREA_6007"/>
      <sheetName val="BLOCOS_ANCORAGEM7"/>
      <sheetName val="BLOCOS_TRAVESSIAS7"/>
      <sheetName val="ENVELOP__DE_REDE7"/>
      <sheetName val="CX_DESC__E_VENTOSA7"/>
      <sheetName val="BUEIRO_Ø_1_500_7"/>
      <sheetName val="GALERIA_CELULAR7"/>
      <sheetName val="TRAVESSIA_BUEIRO7"/>
      <sheetName val="CAPTAÇÃO_CIVIL7"/>
      <sheetName val="ELEV__COMPERJ7"/>
      <sheetName val="CX_DISTRIBUIÇÃO7"/>
      <sheetName val="TANQUE_CONTATO7"/>
      <sheetName val="SISTEMA_RECIRC_7"/>
      <sheetName val="SISTEMA_LODO7"/>
      <sheetName val="SISTEMA_CLORO7"/>
      <sheetName val="MOD__TRATAMENTO7"/>
      <sheetName val="URBANIZ_ETA7"/>
      <sheetName val="COMPT_IND7"/>
      <sheetName val="PASSARELLI_IND7"/>
      <sheetName val="CRON__CONS_7"/>
      <sheetName val="EQUIPMT_7"/>
      <sheetName val="ATERRO_18"/>
      <sheetName val="ATERRO_28"/>
      <sheetName val="ATERRO_2_DR8"/>
      <sheetName val="ATERRO_38"/>
      <sheetName val="ATERRO_3_DR8"/>
      <sheetName val="ATERRO_48"/>
      <sheetName val="CAMINHO_SERV_8"/>
      <sheetName val="600_FoFo_TERRA8"/>
      <sheetName val="600_FoFo_ASFALTO8"/>
      <sheetName val="300_FoFo_TERRA8"/>
      <sheetName val="300_FoFo_ASFALTO8"/>
      <sheetName val="TRV_AÉREA_6008"/>
      <sheetName val="BLOCOS_ANCORAGEM8"/>
      <sheetName val="BLOCOS_TRAVESSIAS8"/>
      <sheetName val="ENVELOP__DE_REDE8"/>
      <sheetName val="CX_DESC__E_VENTOSA8"/>
      <sheetName val="BUEIRO_Ø_1_500_8"/>
      <sheetName val="GALERIA_CELULAR8"/>
      <sheetName val="TRAVESSIA_BUEIRO8"/>
      <sheetName val="CAPTAÇÃO_CIVIL8"/>
      <sheetName val="ELEV__COMPERJ8"/>
      <sheetName val="CX_DISTRIBUIÇÃO8"/>
      <sheetName val="TANQUE_CONTATO8"/>
      <sheetName val="SISTEMA_RECIRC_8"/>
      <sheetName val="SISTEMA_LODO8"/>
      <sheetName val="SISTEMA_CLORO8"/>
      <sheetName val="MOD__TRATAMENTO8"/>
      <sheetName val="URBANIZ_ETA8"/>
      <sheetName val="COMPT_IND8"/>
      <sheetName val="PASSARELLI_IND8"/>
      <sheetName val="CRON__CONS_8"/>
      <sheetName val="EQUIPMT_8"/>
      <sheetName val="ATERRO_19"/>
      <sheetName val="ATERRO_29"/>
      <sheetName val="ATERRO_2_DR9"/>
      <sheetName val="ATERRO_39"/>
      <sheetName val="ATERRO_3_DR9"/>
      <sheetName val="ATERRO_49"/>
      <sheetName val="CAMINHO_SERV_9"/>
      <sheetName val="600_FoFo_TERRA9"/>
      <sheetName val="600_FoFo_ASFALTO9"/>
      <sheetName val="300_FoFo_TERRA9"/>
      <sheetName val="300_FoFo_ASFALTO9"/>
      <sheetName val="TRV_AÉREA_6009"/>
      <sheetName val="BLOCOS_ANCORAGEM9"/>
      <sheetName val="BLOCOS_TRAVESSIAS9"/>
      <sheetName val="ENVELOP__DE_REDE9"/>
      <sheetName val="CX_DESC__E_VENTOSA9"/>
      <sheetName val="BUEIRO_Ø_1_500_9"/>
      <sheetName val="GALERIA_CELULAR9"/>
      <sheetName val="TRAVESSIA_BUEIRO9"/>
      <sheetName val="CAPTAÇÃO_CIVIL9"/>
      <sheetName val="ELEV__COMPERJ9"/>
      <sheetName val="CX_DISTRIBUIÇÃO9"/>
      <sheetName val="TANQUE_CONTATO9"/>
      <sheetName val="SISTEMA_RECIRC_9"/>
      <sheetName val="SISTEMA_LODO9"/>
      <sheetName val="SISTEMA_CLORO9"/>
      <sheetName val="MOD__TRATAMENTO9"/>
      <sheetName val="URBANIZ_ETA9"/>
      <sheetName val="COMPT_IND9"/>
      <sheetName val="PASSARELLI_IND9"/>
      <sheetName val="CRON__CONS_9"/>
      <sheetName val="EQUIPMT_9"/>
      <sheetName val="ATERRO_110"/>
      <sheetName val="ATERRO_210"/>
      <sheetName val="ATERRO_2_DR10"/>
      <sheetName val="ATERRO_310"/>
      <sheetName val="ATERRO_3_DR10"/>
      <sheetName val="ATERRO_410"/>
      <sheetName val="CAMINHO_SERV_10"/>
      <sheetName val="600_FoFo_TERRA10"/>
      <sheetName val="600_FoFo_ASFALTO10"/>
      <sheetName val="300_FoFo_TERRA10"/>
      <sheetName val="300_FoFo_ASFALTO10"/>
      <sheetName val="TRV_AÉREA_60010"/>
      <sheetName val="BLOCOS_ANCORAGEM10"/>
      <sheetName val="BLOCOS_TRAVESSIAS10"/>
      <sheetName val="ENVELOP__DE_REDE10"/>
      <sheetName val="CX_DESC__E_VENTOSA10"/>
      <sheetName val="BUEIRO_Ø_1_500_10"/>
      <sheetName val="GALERIA_CELULAR10"/>
      <sheetName val="TRAVESSIA_BUEIRO10"/>
      <sheetName val="CAPTAÇÃO_CIVIL10"/>
      <sheetName val="ELEV__COMPERJ10"/>
      <sheetName val="CX_DISTRIBUIÇÃO10"/>
      <sheetName val="TANQUE_CONTATO10"/>
      <sheetName val="SISTEMA_RECIRC_10"/>
      <sheetName val="SISTEMA_LODO10"/>
      <sheetName val="SISTEMA_CLORO10"/>
      <sheetName val="MOD__TRATAMENTO10"/>
      <sheetName val="URBANIZ_ETA10"/>
      <sheetName val="COMPT_IND10"/>
      <sheetName val="PASSARELLI_IND10"/>
      <sheetName val="CRON__CONS_10"/>
      <sheetName val="EQUIPMT_10"/>
      <sheetName val="ATERRO_111"/>
      <sheetName val="ATERRO_211"/>
      <sheetName val="ATERRO_2_DR11"/>
      <sheetName val="ATERRO_311"/>
      <sheetName val="ATERRO_3_DR11"/>
      <sheetName val="ATERRO_411"/>
      <sheetName val="CAMINHO_SERV_11"/>
      <sheetName val="600_FoFo_TERRA11"/>
      <sheetName val="600_FoFo_ASFALTO11"/>
      <sheetName val="300_FoFo_TERRA11"/>
      <sheetName val="300_FoFo_ASFALTO11"/>
      <sheetName val="TRV_AÉREA_60011"/>
      <sheetName val="BLOCOS_ANCORAGEM11"/>
      <sheetName val="BLOCOS_TRAVESSIAS11"/>
      <sheetName val="ENVELOP__DE_REDE11"/>
      <sheetName val="CX_DESC__E_VENTOSA11"/>
      <sheetName val="BUEIRO_Ø_1_500_11"/>
      <sheetName val="GALERIA_CELULAR11"/>
      <sheetName val="TRAVESSIA_BUEIRO11"/>
      <sheetName val="CAPTAÇÃO_CIVIL11"/>
      <sheetName val="ELEV__COMPERJ11"/>
      <sheetName val="CX_DISTRIBUIÇÃO11"/>
      <sheetName val="TANQUE_CONTATO11"/>
      <sheetName val="SISTEMA_RECIRC_11"/>
      <sheetName val="SISTEMA_LODO11"/>
      <sheetName val="SISTEMA_CLORO11"/>
      <sheetName val="MOD__TRATAMENTO11"/>
      <sheetName val="URBANIZ_ETA11"/>
      <sheetName val="COMPT_IND11"/>
      <sheetName val="PASSARELLI_IND11"/>
      <sheetName val="CRON__CONS_11"/>
      <sheetName val="EQUIPMT_1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Set>
  </externalBook>
</externalLink>
</file>

<file path=xl/externalLinks/externalLink65.xml><?xml version="1.0" encoding="utf-8"?>
<externalLink xmlns="http://schemas.openxmlformats.org/spreadsheetml/2006/main">
  <externalBook xmlns:r="http://schemas.openxmlformats.org/officeDocument/2006/relationships" r:id="rId1">
    <sheetNames>
      <sheetName val="Balans"/>
      <sheetName val="Data"/>
      <sheetName val="Parameters"/>
      <sheetName val="Base Data"/>
      <sheetName val="Equipamentos"/>
      <sheetName val="Sumário Sub-Atividades"/>
      <sheetName val="Group List"/>
      <sheetName val="BDG"/>
      <sheetName val="ConsRot"/>
      <sheetName val="Orc"/>
      <sheetName val="Base_Data"/>
      <sheetName val="Sumário_Sub-Atividades"/>
      <sheetName val="Group_List"/>
      <sheetName val="Base_Data1"/>
      <sheetName val="Sumário_Sub-Atividades1"/>
      <sheetName val="Group_List1"/>
      <sheetName val="RetrieveParameters"/>
      <sheetName val="Names"/>
      <sheetName val="Controls"/>
      <sheetName val="Plan1"/>
      <sheetName val="Base_Data2"/>
      <sheetName val="Sumário_Sub-Atividades2"/>
      <sheetName val="Group_List2"/>
      <sheetName val="BRADESCO - 2ª"/>
      <sheetName val="BRADESCO - SAMPCO (2)"/>
      <sheetName val="ING US$10MM"/>
      <sheetName val="ITAÚ US$ 23MM"/>
      <sheetName val="ITAÚ"/>
      <sheetName val="OCTAGON"/>
      <sheetName val="RABOBANK US$ 20MM"/>
      <sheetName val="RABOBANK US$ 40MM"/>
      <sheetName val="SAFRA - US$10"/>
      <sheetName val="SAFRA - US$5"/>
      <sheetName val="SAFRA - US$5 (2)"/>
      <sheetName val="MAPÃO"/>
      <sheetName val="BLOCOS ANCORAGEM"/>
      <sheetName val="FluxoCaixaIndexado"/>
      <sheetName val="CAPEX CUSTO"/>
      <sheetName val="O x R"/>
      <sheetName val="RealOut02"/>
      <sheetName val="Dados"/>
      <sheetName val="Control"/>
      <sheetName val="1.P&amp;L"/>
      <sheetName val="Buy Out Overview"/>
      <sheetName val="Rerratificação"/>
      <sheetName val="Resumo Funasa"/>
      <sheetName val="Company data"/>
      <sheetName val="Cover"/>
      <sheetName val="Preço Venda - Insumos"/>
      <sheetName val="Preço - ADM"/>
      <sheetName val="SCO0504"/>
      <sheetName val="memo"/>
      <sheetName val="12.1"/>
      <sheetName val="Assum"/>
      <sheetName val="RESUMO-GERAL-INSUMOS"/>
      <sheetName val="Sheet2"/>
      <sheetName val="FCF"/>
      <sheetName val="Inputs"/>
      <sheetName val="P&amp;L"/>
      <sheetName val="BS"/>
      <sheetName val="         Title              "/>
      <sheetName val="Summa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sheetData sheetId="12"/>
      <sheetData sheetId="13"/>
      <sheetData sheetId="14"/>
      <sheetData sheetId="15"/>
      <sheetData sheetId="16" refreshError="1"/>
      <sheetData sheetId="17" refreshError="1"/>
      <sheetData sheetId="18" refreshError="1"/>
      <sheetData sheetId="19" refreshError="1"/>
      <sheetData sheetId="20"/>
      <sheetData sheetId="2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sheetData sheetId="53"/>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Set>
  </externalBook>
</externalLink>
</file>

<file path=xl/externalLinks/externalLink66.xml><?xml version="1.0" encoding="utf-8"?>
<externalLink xmlns="http://schemas.openxmlformats.org/spreadsheetml/2006/main">
  <externalBook xmlns:r="http://schemas.openxmlformats.org/officeDocument/2006/relationships" r:id="rId1">
    <sheetNames>
      <sheetName val="QUADRA POLIESPORTIVA"/>
      <sheetName val="RUA PROJ. B"/>
      <sheetName val="URB. BECO I"/>
      <sheetName val="SCO mai-02"/>
      <sheetName val="Dados Gerais"/>
      <sheetName val="_file____C__Meus_20documentos_S"/>
      <sheetName val="Recuperada_Plan1"/>
      <sheetName val="QUADRA_POLIESPORTIVA"/>
      <sheetName val="RUA_PROJ__B"/>
      <sheetName val="URB__BECO_I"/>
      <sheetName val="SCO_mai-02"/>
      <sheetName val="Dados_Gerais"/>
      <sheetName val="DADOS_COLETATO"/>
      <sheetName val="12_1"/>
      <sheetName val="EMOP0309"/>
      <sheetName val="CODIGOS"/>
      <sheetName val="Predio_02_andares"/>
      <sheetName val="QUADRA_POLIESPORTIVA1"/>
      <sheetName val="RUA_PROJ__B1"/>
      <sheetName val="URB__BECO_I1"/>
      <sheetName val="SCO_mai-021"/>
      <sheetName val="Dados_Gerais1"/>
      <sheetName val="QUADRA_POLIESPORTIVA2"/>
      <sheetName val="RUA_PROJ__B2"/>
      <sheetName val="URB__BECO_I2"/>
      <sheetName val="SCO_mai-022"/>
      <sheetName val="Dados_Gerais2"/>
      <sheetName val="QUADRA_POLIESPORTIVA3"/>
      <sheetName val="RUA_PROJ__B3"/>
      <sheetName val="URB__BECO_I3"/>
      <sheetName val="SCO_mai-023"/>
      <sheetName val="Dados_Gerais3"/>
      <sheetName val="QUADRA_POLIESPORTIVA4"/>
      <sheetName val="RUA_PROJ__B4"/>
      <sheetName val="URB__BECO_I4"/>
      <sheetName val="SCO_mai-024"/>
      <sheetName val="Dados_Gerais4"/>
      <sheetName val="QUADRA_POLIESPORTIVA6"/>
      <sheetName val="RUA_PROJ__B6"/>
      <sheetName val="URB__BECO_I6"/>
      <sheetName val="SCO_mai-026"/>
      <sheetName val="Dados_Gerais6"/>
      <sheetName val="QUADRA_POLIESPORTIVA5"/>
      <sheetName val="RUA_PROJ__B5"/>
      <sheetName val="URB__BECO_I5"/>
      <sheetName val="SCO_mai-025"/>
      <sheetName val="Dados_Gerais5"/>
      <sheetName val="QUADRA_POLIESPORTIVA7"/>
      <sheetName val="RUA_PROJ__B7"/>
      <sheetName val="URB__BECO_I7"/>
      <sheetName val="SCO_mai-027"/>
      <sheetName val="Dados_Gerais7"/>
      <sheetName val="QUADRA_POLIESPORTIVA8"/>
      <sheetName val="RUA_PROJ__B8"/>
      <sheetName val="URB__BECO_I8"/>
      <sheetName val="SCO_mai-028"/>
      <sheetName val="Dados_Gerais8"/>
      <sheetName val="QUADRA_POLIESPORTIVA9"/>
      <sheetName val="RUA_PROJ__B9"/>
      <sheetName val="URB__BECO_I9"/>
      <sheetName val="SCO_mai-029"/>
      <sheetName val="Dados_Gerais9"/>
      <sheetName val="QUADRA_POLIESPORTIVA10"/>
      <sheetName val="RUA_PROJ__B10"/>
      <sheetName val="URB__BECO_I10"/>
      <sheetName val="SCO_mai-0210"/>
      <sheetName val="Dados_Gerais10"/>
      <sheetName val="QUADRA_POLIESPORTIVA11"/>
      <sheetName val="RUA_PROJ__B11"/>
      <sheetName val="URB__BECO_I11"/>
      <sheetName val="SCO_mai-0211"/>
      <sheetName val="Dados_Gerais11"/>
      <sheetName val="QUADRA_POLIESPORTIVA12"/>
      <sheetName val="RUA_PROJ__B12"/>
      <sheetName val="URB__BECO_I12"/>
      <sheetName val="SCO_mai-0212"/>
      <sheetName val="Dados_Gerais1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Set>
  </externalBook>
</externalLink>
</file>

<file path=xl/externalLinks/externalLink67.xml><?xml version="1.0" encoding="utf-8"?>
<externalLink xmlns="http://schemas.openxmlformats.org/spreadsheetml/2006/main">
  <externalBook xmlns:r="http://schemas.openxmlformats.org/officeDocument/2006/relationships" r:id="rId1">
    <sheetNames>
      <sheetName val="Receita"/>
      <sheetName val="DRE"/>
      <sheetName val="Dispêndio"/>
      <sheetName val="EBITADA GERENCIAL"/>
      <sheetName val="FluxoCaixaIndexado"/>
      <sheetName val="TREINAMENTOS"/>
      <sheetName val="BL"/>
      <sheetName val="Divida"/>
      <sheetName val="Desp e Custos"/>
      <sheetName val="Estrutura de Capital"/>
      <sheetName val="INADIMPLENCIA"/>
      <sheetName val="graficos"/>
      <sheetName val="geofonamento"/>
      <sheetName val="SNIS"/>
      <sheetName val="Manuten"/>
      <sheetName val="Investime"/>
      <sheetName val="energia"/>
      <sheetName val="atendimento"/>
      <sheetName val="Parameters"/>
      <sheetName val="Forecasts_VDF"/>
      <sheetName val="Assump. "/>
      <sheetName val="Company data"/>
      <sheetName val="Cover"/>
      <sheetName val="Receitas"/>
      <sheetName val="Cargo CC Set"/>
      <sheetName val="Controls"/>
      <sheetName val="Plan1"/>
      <sheetName val="DCF Assumptions"/>
      <sheetName val="PV Calcs"/>
      <sheetName val="PLANILHA"/>
      <sheetName val="Orcto"/>
      <sheetName val="Oper"/>
      <sheetName val="BDG"/>
      <sheetName val="ConsRot"/>
      <sheetName val="Orc"/>
      <sheetName val="anterior"/>
      <sheetName val="forecast"/>
      <sheetName val="orçamento"/>
      <sheetName val="atual"/>
      <sheetName val="Base data"/>
      <sheetName val="Plan2"/>
      <sheetName val="LD-PS-PMC-RMA"/>
      <sheetName val="Overige"/>
      <sheetName val="P&amp;L"/>
      <sheetName val="FCF"/>
      <sheetName val="Input"/>
      <sheetName val="0 Fechamento Mensal - Base Dado"/>
      <sheetName val="         Title              "/>
      <sheetName val="eco-fin"/>
      <sheetName val="conssid12-96"/>
      <sheetName val="fluxo de caixa"/>
      <sheetName val="Dados"/>
    </sheetNames>
    <sheetDataSet>
      <sheetData sheetId="0"/>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 sheetId="17" refreshError="1"/>
      <sheetData sheetId="18" refreshError="1"/>
      <sheetData sheetId="19" refreshError="1"/>
      <sheetData sheetId="20"/>
      <sheetData sheetId="21" refreshError="1"/>
      <sheetData sheetId="22" refreshError="1"/>
      <sheetData sheetId="23" refreshError="1"/>
      <sheetData sheetId="24"/>
      <sheetData sheetId="25"/>
      <sheetData sheetId="26"/>
      <sheetData sheetId="27"/>
      <sheetData sheetId="28"/>
      <sheetData sheetId="29"/>
      <sheetData sheetId="30" refreshError="1"/>
      <sheetData sheetId="31" refreshError="1"/>
      <sheetData sheetId="32" refreshError="1"/>
      <sheetData sheetId="33" refreshError="1"/>
      <sheetData sheetId="34" refreshError="1"/>
      <sheetData sheetId="35"/>
      <sheetData sheetId="36"/>
      <sheetData sheetId="37"/>
      <sheetData sheetId="38"/>
      <sheetData sheetId="39"/>
      <sheetData sheetId="40"/>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Set>
  </externalBook>
</externalLink>
</file>

<file path=xl/externalLinks/externalLink68.xml><?xml version="1.0" encoding="utf-8"?>
<externalLink xmlns="http://schemas.openxmlformats.org/spreadsheetml/2006/main">
  <externalBook xmlns:r="http://schemas.openxmlformats.org/officeDocument/2006/relationships" r:id="rId1">
    <sheetNames>
      <sheetName val="SCO0504"/>
      <sheetName val="Memoria 06-2004"/>
      <sheetName val="QUADRA POLIESPORTIVA"/>
      <sheetName val="12.1"/>
      <sheetName val="BD"/>
      <sheetName val="BLOCOS ANCORAGEM"/>
      <sheetName val="PLANILHA (2)"/>
      <sheetName val="Anexo II"/>
      <sheetName val="EMOP0108"/>
      <sheetName val="Memoria_06-2004"/>
      <sheetName val="QUADRA_POLIESPORTIVA"/>
      <sheetName val="MODELO"/>
      <sheetName val="rcgle719"/>
      <sheetName val="Dados Iniciais"/>
      <sheetName val="Memoria_06-20041"/>
      <sheetName val="Memoria_06-20042"/>
      <sheetName val="Memoria_06-20043"/>
      <sheetName val="tabela DER julho97"/>
      <sheetName val="Memoria_06-20045"/>
      <sheetName val="Memoria_06-20044"/>
      <sheetName val="Memoria_06-20046"/>
      <sheetName val="Memoria_06-20047"/>
      <sheetName val="Memoria_06-20048"/>
      <sheetName val="Memoria_06-20049"/>
      <sheetName val="Memoria_06-200410"/>
      <sheetName val="Memoria_06-200411"/>
      <sheetName val="DADOS COLETATO"/>
      <sheetName val="plmuseu"/>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sheetData sheetId="11" refreshError="1"/>
      <sheetData sheetId="12"/>
      <sheetData sheetId="13" refreshError="1"/>
      <sheetData sheetId="14"/>
      <sheetData sheetId="15"/>
      <sheetData sheetId="16"/>
      <sheetData sheetId="17" refreshError="1"/>
      <sheetData sheetId="18"/>
      <sheetData sheetId="19"/>
      <sheetData sheetId="20"/>
      <sheetData sheetId="21"/>
      <sheetData sheetId="22"/>
      <sheetData sheetId="23"/>
      <sheetData sheetId="24"/>
      <sheetData sheetId="25"/>
      <sheetData sheetId="26" refreshError="1"/>
      <sheetData sheetId="27" refreshError="1"/>
    </sheetDataSet>
  </externalBook>
</externalLink>
</file>

<file path=xl/externalLinks/externalLink69.xml><?xml version="1.0" encoding="utf-8"?>
<externalLink xmlns="http://schemas.openxmlformats.org/spreadsheetml/2006/main">
  <externalBook xmlns:r="http://schemas.openxmlformats.org/officeDocument/2006/relationships" r:id="rId1">
    <sheetNames>
      <sheetName val="450"/>
      <sheetName val="SERVIÇOS 1%"/>
      <sheetName val="SERVIÇOS 2%"/>
      <sheetName val="SERVIÇOS 3%"/>
      <sheetName val="SERVIÇOS 4%"/>
      <sheetName val="SERVIÇOS 5%"/>
      <sheetName val="150"/>
      <sheetName val="150 2%"/>
      <sheetName val="150 4%"/>
      <sheetName val="150 6%"/>
      <sheetName val="250"/>
      <sheetName val="250 2%"/>
      <sheetName val="250 4%"/>
      <sheetName val="250 6%"/>
      <sheetName val="300"/>
      <sheetName val="300 2%"/>
      <sheetName val="300 4%"/>
      <sheetName val="300 6%"/>
      <sheetName val="350"/>
      <sheetName val="350 2%"/>
      <sheetName val="350 4%"/>
      <sheetName val="350 6%"/>
      <sheetName val="450 2%"/>
      <sheetName val="450 4%"/>
      <sheetName val="450 6%"/>
      <sheetName val="AS-SERVIÇOS"/>
      <sheetName val="DDG-SERVIÇOS "/>
      <sheetName val="Teste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sheetData sheetId="27"/>
    </sheetDataSet>
  </externalBook>
</externalLink>
</file>

<file path=xl/externalLinks/externalLink70.xml><?xml version="1.0" encoding="utf-8"?>
<externalLink xmlns="http://schemas.openxmlformats.org/spreadsheetml/2006/main">
  <externalBook xmlns:r="http://schemas.openxmlformats.org/officeDocument/2006/relationships" r:id="rId1">
    <sheetNames>
      <sheetName val="Sheet1"/>
      <sheetName val="Sheet2"/>
      <sheetName val="Sheet3"/>
      <sheetName val="FluxoCaixaIndexado"/>
      <sheetName val="Fluxo de Caixa Apresentação"/>
      <sheetName val="fluxo de caixa"/>
      <sheetName val="eco-fin"/>
      <sheetName val="conssid12-96"/>
      <sheetName val="Fluxo_de_Caixa_Apresentação"/>
      <sheetName val="fluxo_de_caixa"/>
      <sheetName val="Fluxo_de_Caixa_Apresentação1"/>
      <sheetName val="fluxo_de_caixa1"/>
      <sheetName val="Company data"/>
      <sheetName val="Cover"/>
      <sheetName val="Parameters"/>
      <sheetName val="Dados"/>
      <sheetName val="Fluxo_de_Caixa_Apresentação2"/>
      <sheetName val="fluxo_de_caixa2"/>
      <sheetName val="Control Panel"/>
      <sheetName val="Base Data"/>
      <sheetName val="SCO0504"/>
      <sheetName val="Plan1"/>
      <sheetName val="Assump. "/>
      <sheetName val="anterior"/>
      <sheetName val="orçamento"/>
      <sheetName val="atual"/>
      <sheetName val="BU TV &amp; Ancillary"/>
      <sheetName val="Oper"/>
      <sheetName val="RealOut02"/>
      <sheetName val="QUADRA POLIESPORTIVA"/>
      <sheetName val="Predio_02_andares"/>
      <sheetName val="RELATA"/>
      <sheetName val="SImon DCF v3)"/>
      <sheetName val="DADOS COLETATO"/>
      <sheetName val="BRADESCO - 2ª"/>
      <sheetName val="BRADESCO - SAMPCO (2)"/>
      <sheetName val="ING US$10MM"/>
      <sheetName val="ITAÚ"/>
      <sheetName val="ITAÚ US$ 23MM"/>
      <sheetName val="OCTAGON"/>
      <sheetName val="RABOBANK US$ 20MM"/>
      <sheetName val="RABOBANK US$ 40MM"/>
      <sheetName val="SAFRA - US$10"/>
      <sheetName val="SAFRA - US$5"/>
      <sheetName val="SAFRA - US$5 (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sheetData sheetId="10"/>
      <sheetData sheetId="11"/>
      <sheetData sheetId="12" refreshError="1"/>
      <sheetData sheetId="13" refreshError="1"/>
      <sheetData sheetId="14" refreshError="1"/>
      <sheetData sheetId="15" refreshError="1"/>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sheetData sheetId="33"/>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71.xml><?xml version="1.0" encoding="utf-8"?>
<externalLink xmlns="http://schemas.openxmlformats.org/spreadsheetml/2006/main">
  <externalBook xmlns:r="http://schemas.openxmlformats.org/officeDocument/2006/relationships" r:id="rId1">
    <sheetNames>
      <sheetName val="Oper"/>
      <sheetName val="Tec"/>
      <sheetName val="Plan1"/>
      <sheetName val="íNDICES"/>
      <sheetName val="CompGerCustos2003"/>
      <sheetName val="CONSPRES"/>
      <sheetName val="CONSDIRE"/>
      <sheetName val="GERAFIM"/>
      <sheetName val="ENG"/>
      <sheetName val="CONSCOM"/>
      <sheetName val="CIC"/>
      <sheetName val="Lista"/>
      <sheetName val="Sheet2"/>
      <sheetName val="Gráfico"/>
      <sheetName val="FluxoCaixaIndexado"/>
      <sheetName val="CONSSID12-96"/>
      <sheetName val="Fluxo"/>
      <sheetName val="         Title              "/>
      <sheetName val="DADOS"/>
      <sheetName val="_________Title______________"/>
      <sheetName val="_________Title______________1"/>
      <sheetName val="_________Title______________2"/>
      <sheetName val="Atual"/>
      <sheetName val="Orcto"/>
      <sheetName val="parameters"/>
      <sheetName val="Anexo II"/>
      <sheetName val="BASE"/>
      <sheetName val="eco-fin"/>
      <sheetName val="fluxo de caixa"/>
      <sheetName val="Overige"/>
      <sheetName val="Ctrl"/>
      <sheetName val="FECHAMENTO"/>
      <sheetName val="Summary"/>
      <sheetName val="Summary_T"/>
      <sheetName val="orçamento"/>
      <sheetName val="_________Title______________3"/>
      <sheetName val="Anexo_II"/>
      <sheetName val="BDG"/>
      <sheetName val="ConsRot"/>
      <sheetName val="Orc"/>
      <sheetName val="EquiA"/>
      <sheetName val="Compactação  botafora"/>
      <sheetName val="Composições"/>
      <sheetName val="quadro ii "/>
      <sheetName val="1.P&amp;L"/>
      <sheetName val="Buy Out Overview"/>
      <sheetName val="Assump. "/>
      <sheetName val="base_folha"/>
      <sheetName val="RealOut0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refreshError="1"/>
      <sheetData sheetId="19"/>
      <sheetData sheetId="20"/>
      <sheetData sheetId="2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sheetData sheetId="36"/>
      <sheetData sheetId="37" refreshError="1"/>
      <sheetData sheetId="38" refreshError="1"/>
      <sheetData sheetId="39" refreshError="1"/>
      <sheetData sheetId="40" refreshError="1"/>
      <sheetData sheetId="41" refreshError="1"/>
      <sheetData sheetId="42"/>
      <sheetData sheetId="43" refreshError="1"/>
      <sheetData sheetId="44" refreshError="1"/>
      <sheetData sheetId="45" refreshError="1"/>
      <sheetData sheetId="46" refreshError="1"/>
      <sheetData sheetId="47" refreshError="1"/>
      <sheetData sheetId="48" refreshError="1"/>
    </sheetDataSet>
  </externalBook>
</externalLink>
</file>

<file path=xl/externalLinks/externalLink72.xml><?xml version="1.0" encoding="utf-8"?>
<externalLink xmlns="http://schemas.openxmlformats.org/spreadsheetml/2006/main">
  <externalBook xmlns:r="http://schemas.openxmlformats.org/officeDocument/2006/relationships" r:id="rId1">
    <sheetNames>
      <sheetName val="FLUXO - EXECUÇÃO PRÓPRIA"/>
      <sheetName val="PROJETO"/>
      <sheetName val="BDI "/>
      <sheetName val="FLUXO - FAT-DIRETO"/>
      <sheetName val="RES-FIN"/>
      <sheetName val="DEFIN"/>
      <sheetName val="RESUMO"/>
      <sheetName val="CONSIDERAÇÕES"/>
      <sheetName val="CAPA"/>
    </sheetNames>
    <sheetDataSet>
      <sheetData sheetId="0"/>
      <sheetData sheetId="1"/>
      <sheetData sheetId="2"/>
      <sheetData sheetId="3"/>
      <sheetData sheetId="4"/>
      <sheetData sheetId="5"/>
      <sheetData sheetId="6"/>
      <sheetData sheetId="7"/>
      <sheetData sheetId="8"/>
    </sheetDataSet>
  </externalBook>
</externalLink>
</file>

<file path=xl/externalLinks/externalLink73.xml><?xml version="1.0" encoding="utf-8"?>
<externalLink xmlns="http://schemas.openxmlformats.org/spreadsheetml/2006/main">
  <externalBook xmlns:r="http://schemas.openxmlformats.org/officeDocument/2006/relationships" r:id="rId1">
    <sheetNames>
      <sheetName val="Title_DCF_T"/>
      <sheetName val="DCF Toronto ING"/>
      <sheetName val="DCF Toronto BDG"/>
      <sheetName val="DCF Paris ING"/>
      <sheetName val="BDG calculation"/>
      <sheetName val="WACC"/>
      <sheetName val="P&amp;L_T"/>
      <sheetName val="BS_T"/>
      <sheetName val="CF_T"/>
      <sheetName val="Aanpak model"/>
      <sheetName val="Overview"/>
      <sheetName val="Title_BU"/>
      <sheetName val="SUM total"/>
      <sheetName val="N-SUM Tijdschriften"/>
      <sheetName val="N-SUM HAH bladen"/>
      <sheetName val="N-SUM MGL -HDC"/>
      <sheetName val="N-Sum Distri-Druk"/>
      <sheetName val="N-Sum Other"/>
      <sheetName val="BU(1)-UMT"/>
      <sheetName val="BU(2)-HDC"/>
      <sheetName val="HDC totaal"/>
      <sheetName val="HDC Overig"/>
      <sheetName val="HDC-NHD"/>
      <sheetName val="HDC-LD"/>
      <sheetName val="HDC-HD"/>
      <sheetName val="HDC-GE"/>
      <sheetName val="BU(3)-MGL"/>
      <sheetName val="MGL totaal"/>
      <sheetName val="MGL overig"/>
      <sheetName val="MGL- DDL"/>
      <sheetName val="MGL-LD"/>
      <sheetName val="BU(4)-HHC"/>
      <sheetName val="BU(5)-trom"/>
      <sheetName val="BU(6)-BM"/>
      <sheetName val="BU(7)-TTGN"/>
      <sheetName val="BU(8)-TTGS"/>
      <sheetName val="BU(9)-Druk"/>
      <sheetName val="BU(10)-DisQ"/>
      <sheetName val="BU(11)-ICT"/>
      <sheetName val="BU(12)-MM"/>
      <sheetName val="BU(13)-DW"/>
      <sheetName val="BU(14)-MGW"/>
      <sheetName val="BU(15)-HMT"/>
      <sheetName val="BU(16)-TMM"/>
      <sheetName val="BU(17)-BEV"/>
      <sheetName val="TEV(18)-TEV"/>
      <sheetName val="SUM NORM."/>
      <sheetName val="NOR(N1)-UKRAIN"/>
      <sheetName val="NOR(N2)-Mobillion"/>
      <sheetName val="PRINT UP TO HERE"/>
      <sheetName val="Bridge Omzet graph"/>
      <sheetName val="EBITDA Bridge"/>
      <sheetName val="NOR(N3)-Bongers"/>
      <sheetName val="NOR(N4)-TE 2"/>
      <sheetName val="NOR(N5)-TTG HEARST"/>
      <sheetName val="FCF_T"/>
      <sheetName val="CHECKII"/>
      <sheetName val="Summary_T"/>
      <sheetName val="RESULTS PER TITLE"/>
      <sheetName val="Drivers"/>
      <sheetName val="overview revenues"/>
      <sheetName val="Title_Normalisations_T"/>
      <sheetName val="P&amp;L Mobillion"/>
      <sheetName val="Kosten Mobilion"/>
      <sheetName val="P&amp;L BONGERS"/>
      <sheetName val="Kosten  BONGERS"/>
      <sheetName val="P&amp;L TE 2"/>
      <sheetName val="Kosten TE 2"/>
      <sheetName val="P&amp;L TTG HEARST"/>
      <sheetName val="Kosten TTG HEARST"/>
      <sheetName val="P&amp;L UKRAIN"/>
      <sheetName val="Kosten UKRAINE"/>
      <sheetName val="P&amp;L TTG SWEDEN"/>
      <sheetName val="Cost TTG SWEDEN"/>
      <sheetName val="Title_Volume_T"/>
      <sheetName val="HDC -vol"/>
      <sheetName val="TTGS -vol"/>
      <sheetName val="TTGN -vol"/>
      <sheetName val="OPLAGE"/>
      <sheetName val="Title_Participations_T"/>
      <sheetName val="Participations YE2004"/>
      <sheetName val="Participations"/>
      <sheetName val="Title_Exchange ratios"/>
      <sheetName val="Ruilverhoudingen"/>
      <sheetName val="Title_INFO FROM_T"/>
      <sheetName val="TP_TURNOVER"/>
      <sheetName val="Eliminaties1"/>
      <sheetName val="cst_adj 7 April"/>
      <sheetName val="SUBS_TURNOVER_VOLUME"/>
      <sheetName val="ADV_TURNOVER_VOLUME"/>
      <sheetName val="ACT 2000-2004 NEW"/>
      <sheetName val="SCS_TURNOVER_VOLUME"/>
      <sheetName val="ACT 2000-2004"/>
      <sheetName val="Balans 2004"/>
      <sheetName val="Invest 2005-2008 OLD"/>
      <sheetName val="Invest 2005-2008 NEW"/>
      <sheetName val="omzet ICT"/>
      <sheetName val="omzet drukkerij"/>
      <sheetName val="omzet DIQ"/>
      <sheetName val="gecomprimeerde balans 2004"/>
      <sheetName val="Verloop voorz 2004-2008"/>
      <sheetName val="MTP 2005-2008"/>
      <sheetName val="EBITA_BU"/>
      <sheetName val="UMT"/>
      <sheetName val="Synergies"/>
      <sheetName val="Oper"/>
      <sheetName val="Plan3"/>
      <sheetName val="Sheet2"/>
      <sheetName val="1b"/>
      <sheetName val="Fluxo de Caixa Apresentação"/>
      <sheetName val="         Title              "/>
      <sheetName val="Resultado"/>
      <sheetName val="DCF_Toronto_ING"/>
      <sheetName val="DCF_Toronto_BDG"/>
      <sheetName val="DCF_Paris_ING"/>
      <sheetName val="BDG_calculation"/>
      <sheetName val="Aanpak_model"/>
      <sheetName val="SUM_total"/>
      <sheetName val="N-SUM_Tijdschriften"/>
      <sheetName val="N-SUM_HAH_bladen"/>
      <sheetName val="N-SUM_MGL_-HDC"/>
      <sheetName val="N-Sum_Distri-Druk"/>
      <sheetName val="N-Sum_Other"/>
      <sheetName val="HDC_totaal"/>
      <sheetName val="HDC_Overig"/>
      <sheetName val="MGL_totaal"/>
      <sheetName val="MGL_overig"/>
      <sheetName val="MGL-_DDL"/>
      <sheetName val="SUM_NORM_"/>
      <sheetName val="PRINT_UP_TO_HERE"/>
      <sheetName val="Bridge_Omzet_graph"/>
      <sheetName val="EBITDA_Bridge"/>
      <sheetName val="NOR(N4)-TE_2"/>
      <sheetName val="NOR(N5)-TTG_HEARST"/>
      <sheetName val="RESULTS_PER_TITLE"/>
      <sheetName val="overview_revenues"/>
      <sheetName val="P&amp;L_Mobillion"/>
      <sheetName val="Kosten_Mobilion"/>
      <sheetName val="P&amp;L_BONGERS"/>
      <sheetName val="Kosten__BONGERS"/>
      <sheetName val="P&amp;L_TE_2"/>
      <sheetName val="Kosten_TE_2"/>
      <sheetName val="P&amp;L_TTG_HEARST"/>
      <sheetName val="Kosten_TTG_HEARST"/>
      <sheetName val="P&amp;L_UKRAIN"/>
      <sheetName val="Kosten_UKRAINE"/>
      <sheetName val="P&amp;L_TTG_SWEDEN"/>
      <sheetName val="Cost_TTG_SWEDEN"/>
      <sheetName val="HDC_-vol"/>
      <sheetName val="TTGS_-vol"/>
      <sheetName val="TTGN_-vol"/>
      <sheetName val="Participations_YE2004"/>
      <sheetName val="Title_Exchange_ratios"/>
      <sheetName val="Title_INFO_FROM_T"/>
      <sheetName val="cst_adj_7_April"/>
      <sheetName val="ACT_2000-2004_NEW"/>
      <sheetName val="ACT_2000-2004"/>
      <sheetName val="Balans_2004"/>
      <sheetName val="Invest_2005-2008_OLD"/>
      <sheetName val="Invest_2005-2008_NEW"/>
      <sheetName val="omzet_ICT"/>
      <sheetName val="omzet_drukkerij"/>
      <sheetName val="omzet_DIQ"/>
      <sheetName val="gecomprimeerde_balans_2004"/>
      <sheetName val="Verloop_voorz_2004-2008"/>
      <sheetName val="MTP_2005-2008"/>
      <sheetName val="Fluxo_de_Caixa_Apresentação"/>
      <sheetName val="_________Title______________"/>
      <sheetName val="DCF_Toronto_ING1"/>
      <sheetName val="DCF_Toronto_BDG1"/>
      <sheetName val="DCF_Paris_ING1"/>
      <sheetName val="BDG_calculation1"/>
      <sheetName val="Aanpak_model1"/>
      <sheetName val="SUM_total1"/>
      <sheetName val="N-SUM_Tijdschriften1"/>
      <sheetName val="N-SUM_HAH_bladen1"/>
      <sheetName val="N-SUM_MGL_-HDC1"/>
      <sheetName val="N-Sum_Distri-Druk1"/>
      <sheetName val="N-Sum_Other1"/>
      <sheetName val="HDC_totaal1"/>
      <sheetName val="HDC_Overig1"/>
      <sheetName val="MGL_totaal1"/>
      <sheetName val="MGL_overig1"/>
      <sheetName val="MGL-_DDL1"/>
      <sheetName val="SUM_NORM_1"/>
      <sheetName val="PRINT_UP_TO_HERE1"/>
      <sheetName val="Bridge_Omzet_graph1"/>
      <sheetName val="EBITDA_Bridge1"/>
      <sheetName val="NOR(N4)-TE_21"/>
      <sheetName val="NOR(N5)-TTG_HEARST1"/>
      <sheetName val="RESULTS_PER_TITLE1"/>
      <sheetName val="overview_revenues1"/>
      <sheetName val="P&amp;L_Mobillion1"/>
      <sheetName val="Kosten_Mobilion1"/>
      <sheetName val="P&amp;L_BONGERS1"/>
      <sheetName val="Kosten__BONGERS1"/>
      <sheetName val="P&amp;L_TE_21"/>
      <sheetName val="Kosten_TE_21"/>
      <sheetName val="P&amp;L_TTG_HEARST1"/>
      <sheetName val="Kosten_TTG_HEARST1"/>
      <sheetName val="P&amp;L_UKRAIN1"/>
      <sheetName val="Kosten_UKRAINE1"/>
      <sheetName val="P&amp;L_TTG_SWEDEN1"/>
      <sheetName val="Cost_TTG_SWEDEN1"/>
      <sheetName val="HDC_-vol1"/>
      <sheetName val="TTGS_-vol1"/>
      <sheetName val="TTGN_-vol1"/>
      <sheetName val="Participations_YE20041"/>
      <sheetName val="Title_Exchange_ratios1"/>
      <sheetName val="Title_INFO_FROM_T1"/>
      <sheetName val="cst_adj_7_April1"/>
      <sheetName val="ACT_2000-2004_NEW1"/>
      <sheetName val="ACT_2000-20041"/>
      <sheetName val="Balans_20041"/>
      <sheetName val="Invest_2005-2008_OLD1"/>
      <sheetName val="Invest_2005-2008_NEW1"/>
      <sheetName val="omzet_ICT1"/>
      <sheetName val="omzet_drukkerij1"/>
      <sheetName val="omzet_DIQ1"/>
      <sheetName val="gecomprimeerde_balans_20041"/>
      <sheetName val="Verloop_voorz_2004-20081"/>
      <sheetName val="MTP_2005-20081"/>
      <sheetName val="Fluxo_de_Caixa_Apresentação1"/>
      <sheetName val="_________Title______________1"/>
      <sheetName val="RealOut02"/>
      <sheetName val="Base data"/>
      <sheetName val="anterior"/>
      <sheetName val="forecast"/>
      <sheetName val="orçamento"/>
      <sheetName val="atual"/>
      <sheetName val="DCF_Toronto_ING2"/>
      <sheetName val="DCF_Toronto_BDG2"/>
      <sheetName val="DCF_Paris_ING2"/>
      <sheetName val="BDG_calculation2"/>
      <sheetName val="Aanpak_model2"/>
      <sheetName val="SUM_total2"/>
      <sheetName val="N-SUM_Tijdschriften2"/>
      <sheetName val="N-SUM_HAH_bladen2"/>
      <sheetName val="N-SUM_MGL_-HDC2"/>
      <sheetName val="N-Sum_Distri-Druk2"/>
      <sheetName val="N-Sum_Other2"/>
      <sheetName val="HDC_totaal2"/>
      <sheetName val="HDC_Overig2"/>
      <sheetName val="MGL_totaal2"/>
      <sheetName val="MGL_overig2"/>
      <sheetName val="MGL-_DDL2"/>
      <sheetName val="SUM_NORM_2"/>
      <sheetName val="PRINT_UP_TO_HERE2"/>
      <sheetName val="Bridge_Omzet_graph2"/>
      <sheetName val="EBITDA_Bridge2"/>
      <sheetName val="NOR(N4)-TE_22"/>
      <sheetName val="NOR(N5)-TTG_HEARST2"/>
      <sheetName val="RESULTS_PER_TITLE2"/>
      <sheetName val="overview_revenues2"/>
      <sheetName val="P&amp;L_Mobillion2"/>
      <sheetName val="Kosten_Mobilion2"/>
      <sheetName val="P&amp;L_BONGERS2"/>
      <sheetName val="Kosten__BONGERS2"/>
      <sheetName val="P&amp;L_TE_22"/>
      <sheetName val="Kosten_TE_22"/>
      <sheetName val="P&amp;L_TTG_HEARST2"/>
      <sheetName val="Kosten_TTG_HEARST2"/>
      <sheetName val="P&amp;L_UKRAIN2"/>
      <sheetName val="Kosten_UKRAINE2"/>
      <sheetName val="P&amp;L_TTG_SWEDEN2"/>
      <sheetName val="Cost_TTG_SWEDEN2"/>
      <sheetName val="HDC_-vol2"/>
      <sheetName val="TTGS_-vol2"/>
      <sheetName val="TTGN_-vol2"/>
      <sheetName val="Participations_YE20042"/>
      <sheetName val="Title_Exchange_ratios2"/>
      <sheetName val="Title_INFO_FROM_T2"/>
      <sheetName val="cst_adj_7_April2"/>
      <sheetName val="ACT_2000-2004_NEW2"/>
      <sheetName val="ACT_2000-20042"/>
      <sheetName val="Balans_20042"/>
      <sheetName val="Invest_2005-2008_OLD2"/>
      <sheetName val="Invest_2005-2008_NEW2"/>
      <sheetName val="omzet_ICT2"/>
      <sheetName val="omzet_drukkerij2"/>
      <sheetName val="omzet_DIQ2"/>
      <sheetName val="gecomprimeerde_balans_20042"/>
      <sheetName val="Verloop_voorz_2004-20082"/>
      <sheetName val="MTP_2005-20082"/>
      <sheetName val="Fluxo_de_Caixa_Apresentação2"/>
      <sheetName val="_________Title______________2"/>
      <sheetName val="Cargo CC Set"/>
      <sheetName val="SCO0504"/>
      <sheetName val="Base Gráfico"/>
      <sheetName val="Index"/>
      <sheetName val="1. Instellingen"/>
      <sheetName val="Parameters"/>
      <sheetName val="Constants"/>
      <sheetName val="POP cost"/>
      <sheetName val="FluxoCaixaIndexado"/>
      <sheetName val="Assump. "/>
      <sheetName val="base_folh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refreshError="1"/>
      <sheetData sheetId="225" refreshError="1"/>
      <sheetData sheetId="226" refreshError="1"/>
      <sheetData sheetId="227" refreshError="1"/>
      <sheetData sheetId="228" refreshError="1"/>
      <sheetData sheetId="229" refreshError="1"/>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Set>
  </externalBook>
</externalLink>
</file>

<file path=xl/externalLinks/externalLink74.xml><?xml version="1.0" encoding="utf-8"?>
<externalLink xmlns="http://schemas.openxmlformats.org/spreadsheetml/2006/main">
  <externalBook xmlns:r="http://schemas.openxmlformats.org/officeDocument/2006/relationships" r:id="rId1">
    <sheetNames>
      <sheetName val="TAB"/>
      <sheetName val="TOC"/>
      <sheetName val="Tab1"/>
      <sheetName val="Cenarios"/>
      <sheetName val="DCF Lucro"/>
      <sheetName val="Tab2"/>
      <sheetName val="WACC"/>
      <sheetName val="Tab3"/>
      <sheetName val="BS"/>
      <sheetName val="Cash Flow"/>
      <sheetName val="IS"/>
      <sheetName val="WCapital"/>
      <sheetName val="Tab4"/>
      <sheetName val="Premissas"/>
      <sheetName val="Tab5"/>
      <sheetName val="Volume"/>
      <sheetName val="Tab6"/>
      <sheetName val="Capacidade"/>
      <sheetName val="Tab7"/>
      <sheetName val="Receita"/>
      <sheetName val="Tab8"/>
      <sheetName val="CPV"/>
      <sheetName val="Tab9"/>
      <sheetName val="Depr &amp; PP&amp;E"/>
      <sheetName val="Tab10"/>
      <sheetName val="SG&amp;A"/>
      <sheetName val="Tab11"/>
      <sheetName val="Acerto"/>
      <sheetName val="Tab12"/>
      <sheetName val="ICMS"/>
      <sheetName val="Tab13"/>
      <sheetName val="Debt"/>
      <sheetName val="Pat. Liq."/>
      <sheetName val="Taxes"/>
      <sheetName val="Tab14"/>
      <sheetName val="IS-Output"/>
      <sheetName val="Preço-Margens"/>
      <sheetName val="Preço-Prod.Cruzada"/>
      <sheetName val="Holders NO-NE"/>
      <sheetName val="Sumário"/>
      <sheetName val="Volume-Realocando"/>
      <sheetName val="Summary_T"/>
      <sheetName val="Plan3"/>
      <sheetName val="Sheet2"/>
      <sheetName val="FCF"/>
      <sheetName val="Inputs"/>
      <sheetName val="P&amp;L"/>
      <sheetName val="Assump. "/>
      <sheetName val="DCF_Lucro"/>
      <sheetName val="Cash_Flow"/>
      <sheetName val="Depr_&amp;_PP&amp;E"/>
      <sheetName val="Pat__Liq_"/>
      <sheetName val="Preço-Prod_Cruzada"/>
      <sheetName val="Holders_NO-NE"/>
      <sheetName val="DCF_Lucro1"/>
      <sheetName val="Cash_Flow1"/>
      <sheetName val="Depr_&amp;_PP&amp;E1"/>
      <sheetName val="Pat__Liq_1"/>
      <sheetName val="Preço-Prod_Cruzada1"/>
      <sheetName val="Holders_NO-NE1"/>
      <sheetName val="BDG"/>
      <sheetName val="ConsRot"/>
      <sheetName val="Orc"/>
      <sheetName val="BU TV &amp; Ancillary"/>
      <sheetName val="anterior"/>
      <sheetName val="orçamento"/>
      <sheetName val="atual"/>
      <sheetName val="DCF_Lucro2"/>
      <sheetName val="Cash_Flow2"/>
      <sheetName val="Depr_&amp;_PP&amp;E2"/>
      <sheetName val="Pat__Liq_2"/>
      <sheetName val="Preço-Prod_Cruzada2"/>
      <sheetName val="Holders_NO-NE2"/>
      <sheetName val="DADOS"/>
      <sheetName val="FluxoCaixaIndexado"/>
      <sheetName val="Oper"/>
      <sheetName val="Summary"/>
      <sheetName val="         Title              "/>
      <sheetName val="conc 20"/>
      <sheetName val="FECHAMENTO"/>
      <sheetName val="RESUMO-GERAL-INSUMOS"/>
      <sheetName val="eco-fin"/>
      <sheetName val="conssid12-96"/>
      <sheetName val="PROJETO"/>
      <sheetName val="3.2.ITENS A ACRESCER"/>
      <sheetName val="3.3.ITENS A DIMINUIR"/>
      <sheetName val="3.1.ITENS NOVOS"/>
      <sheetName val="Index"/>
      <sheetName val="1. Instellingen"/>
      <sheetName val="Orçamento Global"/>
      <sheetName val="quadro ii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sheetData sheetId="49"/>
      <sheetData sheetId="50"/>
      <sheetData sheetId="51"/>
      <sheetData sheetId="52"/>
      <sheetData sheetId="53"/>
      <sheetData sheetId="54"/>
      <sheetData sheetId="55"/>
      <sheetData sheetId="56"/>
      <sheetData sheetId="57"/>
      <sheetData sheetId="58"/>
      <sheetData sheetId="59"/>
      <sheetData sheetId="60" refreshError="1"/>
      <sheetData sheetId="61" refreshError="1"/>
      <sheetData sheetId="62" refreshError="1"/>
      <sheetData sheetId="63" refreshError="1"/>
      <sheetData sheetId="64" refreshError="1"/>
      <sheetData sheetId="65" refreshError="1"/>
      <sheetData sheetId="66" refreshError="1"/>
      <sheetData sheetId="67"/>
      <sheetData sheetId="68"/>
      <sheetData sheetId="69"/>
      <sheetData sheetId="70"/>
      <sheetData sheetId="71"/>
      <sheetData sheetId="72"/>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sheetData sheetId="88"/>
      <sheetData sheetId="89" refreshError="1"/>
      <sheetData sheetId="90" refreshError="1"/>
    </sheetDataSet>
  </externalBook>
</externalLink>
</file>

<file path=xl/externalLinks/externalLink75.xml><?xml version="1.0" encoding="utf-8"?>
<externalLink xmlns="http://schemas.openxmlformats.org/spreadsheetml/2006/main">
  <externalBook xmlns:r="http://schemas.openxmlformats.org/officeDocument/2006/relationships" r:id="rId1">
    <sheetNames>
      <sheetName val="REPLANEJ"/>
      <sheetName val="Resumo"/>
      <sheetName val="ORIGINAL"/>
      <sheetName val="REPLANEJADO"/>
      <sheetName val="FORECAST"/>
      <sheetName val="Acumulado"/>
      <sheetName val="CAPEX HYP"/>
      <sheetName val="CAPEX CUSTO"/>
      <sheetName val="O x R"/>
      <sheetName val="MEMÓRIA"/>
      <sheetName val="CAPEX"/>
      <sheetName val="Cenarios"/>
      <sheetName val="Plan2"/>
      <sheetName val="Summary_T"/>
      <sheetName val="REqpt03"/>
      <sheetName val="Orcto"/>
      <sheetName val="RetrieveParameters"/>
      <sheetName val="Names"/>
      <sheetName val="CAPEX_HYP"/>
      <sheetName val="CAPEX_CUSTO"/>
      <sheetName val="O_x_R"/>
      <sheetName val="CAPEX_HYP1"/>
      <sheetName val="CAPEX_CUSTO1"/>
      <sheetName val="O_x_R1"/>
      <sheetName val="Assump. "/>
      <sheetName val="Constants"/>
      <sheetName val="POP cost"/>
      <sheetName val="Index"/>
      <sheetName val="1. Instellingen"/>
      <sheetName val="CAPEX_HYP2"/>
      <sheetName val="CAPEX_CUSTO2"/>
      <sheetName val="O_x_R2"/>
      <sheetName val="Resultado"/>
      <sheetName val="Insumos"/>
      <sheetName val="Base data"/>
      <sheetName val="FCF"/>
      <sheetName val="Inputs"/>
      <sheetName val="P&amp;L"/>
      <sheetName val="BS"/>
      <sheetName val="Oper"/>
      <sheetName val="Controls"/>
      <sheetName val="conssid12-96"/>
      <sheetName val="         Title              "/>
      <sheetName val="FECHAMENTO"/>
      <sheetName val="RESUMO-GERAL-INSUMOS"/>
      <sheetName val="ENCARGOS SOCIAIS"/>
      <sheetName val="AbertInvest"/>
      <sheetName val="Premissas"/>
      <sheetName val="anterior"/>
      <sheetName val="orçamento"/>
      <sheetName val="atual"/>
      <sheetName val="quadro ii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sheetData sheetId="30"/>
      <sheetData sheetId="3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Set>
  </externalBook>
</externalLink>
</file>

<file path=xl/externalLinks/externalLink76.xml><?xml version="1.0" encoding="utf-8"?>
<externalLink xmlns="http://schemas.openxmlformats.org/spreadsheetml/2006/main">
  <externalBook xmlns:r="http://schemas.openxmlformats.org/officeDocument/2006/relationships" r:id="rId1">
    <sheetNames>
      <sheetName val="Pes"/>
      <sheetName val="ArrecCat"/>
      <sheetName val="ArrecCatFcst"/>
      <sheetName val="ArrecCont"/>
      <sheetName val="Imobiliz"/>
      <sheetName val="AbertInvest"/>
      <sheetName val="GastosContab"/>
      <sheetName val="ReclassifGerencial"/>
      <sheetName val="FinalGerencial"/>
      <sheetName val="Res2003"/>
      <sheetName val="GEPROJ"/>
      <sheetName val="GrupoDiret"/>
      <sheetName val="Dados"/>
      <sheetName val="NIC"/>
      <sheetName val="GastosRealiz2003"/>
      <sheetName val="Cenarios"/>
      <sheetName val="Fluxo de Caixa Apresentação"/>
      <sheetName val="orçamento"/>
      <sheetName val="CONSSID12-96"/>
      <sheetName val="CAPEX CUSTO"/>
      <sheetName val="O x R"/>
      <sheetName val="RELATA VÉIO"/>
      <sheetName val="REqpt03"/>
      <sheetName val="Orcto"/>
      <sheetName val="Controls"/>
      <sheetName val="Fluxo_de_Caixa_Apresentação"/>
      <sheetName val="CAPEX_CUSTO"/>
      <sheetName val="O_x_R"/>
      <sheetName val="RELATA_VÉIO"/>
      <sheetName val="Fluxo_de_Caixa_Apresentação1"/>
      <sheetName val="CAPEX_CUSTO1"/>
      <sheetName val="O_x_R1"/>
      <sheetName val="RELATA_VÉIO1"/>
      <sheetName val="eco-fin"/>
      <sheetName val="fluxo de caixa"/>
      <sheetName val="Fluxo_de_Caixa_Apresentação2"/>
      <sheetName val="CAPEX_CUSTO2"/>
      <sheetName val="O_x_R2"/>
      <sheetName val="RELATA_VÉIO2"/>
      <sheetName val="RESUMO-GERAL-INSUMOS"/>
      <sheetName val="RESUMO-GERAL-SERVIÇOS"/>
      <sheetName val="BRADESCO - 2ª"/>
      <sheetName val="BRADESCO - SAMPCO (2)"/>
      <sheetName val="ING US$10MM"/>
      <sheetName val="ITAÚ US$ 23MM"/>
      <sheetName val="ITAÚ"/>
      <sheetName val="OCTAGON"/>
      <sheetName val="RABOBANK US$ 20MM"/>
      <sheetName val="RABOBANK US$ 40MM"/>
      <sheetName val="SAFRA - US$10"/>
      <sheetName val="SAFRA - US$5"/>
      <sheetName val="SAFRA - US$5 (2)"/>
      <sheetName val="Oper"/>
      <sheetName val="Capa"/>
      <sheetName val="1. Instellingen"/>
      <sheetName val="ENCARGOS SOCIAIS"/>
      <sheetName val="         Title              "/>
      <sheetName val="FluxoCaixaIndexado"/>
      <sheetName val="Base Data"/>
      <sheetName val="Plan1"/>
      <sheetName val="Summa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sheetData sheetId="27"/>
      <sheetData sheetId="28"/>
      <sheetData sheetId="29"/>
      <sheetData sheetId="30"/>
      <sheetData sheetId="31"/>
      <sheetData sheetId="32"/>
      <sheetData sheetId="33" refreshError="1"/>
      <sheetData sheetId="34" refreshError="1"/>
      <sheetData sheetId="35"/>
      <sheetData sheetId="36"/>
      <sheetData sheetId="37"/>
      <sheetData sheetId="38"/>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Set>
  </externalBook>
</externalLink>
</file>

<file path=xl/externalLinks/externalLink77.xml><?xml version="1.0" encoding="utf-8"?>
<externalLink xmlns="http://schemas.openxmlformats.org/spreadsheetml/2006/main">
  <externalBook xmlns:r="http://schemas.openxmlformats.org/officeDocument/2006/relationships" r:id="rId1">
    <sheetNames>
      <sheetName val="Title_LBO"/>
      <sheetName val="Belgium"/>
      <sheetName val="Netherlands"/>
      <sheetName val="Ireland"/>
      <sheetName val="Portugal"/>
      <sheetName val="Romania"/>
      <sheetName val="Romania (EUR)"/>
      <sheetName val="South Africa"/>
      <sheetName val="South Africa (EUR)"/>
      <sheetName val="Puerto Rico"/>
      <sheetName val="Puerto Rico (EUR)"/>
      <sheetName val="Publitec"/>
      <sheetName val="HQ"/>
      <sheetName val="P&amp;L consolidated"/>
      <sheetName val="Assumptions"/>
      <sheetName val="LBO"/>
      <sheetName val="Post1"/>
      <sheetName val="Post2 "/>
      <sheetName val="Debt"/>
      <sheetName val="Tax rate"/>
      <sheetName val="Scenarios input"/>
      <sheetName val="Op_Assumptions"/>
      <sheetName val="Op_Assumptions EUR"/>
      <sheetName val="BS"/>
      <sheetName val="AVP"/>
      <sheetName val="Recap"/>
      <sheetName val="Comparison"/>
      <sheetName val="Sheet1"/>
      <sheetName val="WACC"/>
      <sheetName val="Presentation - forecast"/>
      <sheetName val="Presentation DCF"/>
      <sheetName val="Presentation FCF"/>
      <sheetName val="DCF"/>
      <sheetName val="Output"/>
      <sheetName val="Dados"/>
      <sheetName val="Imobiliz"/>
      <sheetName val="SLX_FRETE"/>
      <sheetName val="SLX_PAYMENTCONDITION"/>
      <sheetName val="íNDICES"/>
      <sheetName val="RELATA VÉIO"/>
      <sheetName val="CAPEX CUSTO"/>
      <sheetName val="O x R"/>
      <sheetName val="AbertInvest"/>
      <sheetName val="Company data"/>
      <sheetName val="Cover"/>
      <sheetName val="Romania_(EUR)"/>
      <sheetName val="South_Africa"/>
      <sheetName val="South_Africa_(EUR)"/>
      <sheetName val="Puerto_Rico"/>
      <sheetName val="Puerto_Rico_(EUR)"/>
      <sheetName val="P&amp;L_consolidated"/>
      <sheetName val="Post2_"/>
      <sheetName val="Tax_rate"/>
      <sheetName val="Scenarios_input"/>
      <sheetName val="Op_Assumptions_EUR"/>
      <sheetName val="Presentation_-_forecast"/>
      <sheetName val="Presentation_DCF"/>
      <sheetName val="Presentation_FCF"/>
      <sheetName val="RELATA_VÉIO"/>
      <sheetName val="CAPEX_CUSTO"/>
      <sheetName val="O_x_R"/>
      <sheetName val="Romania_(EUR)1"/>
      <sheetName val="South_Africa1"/>
      <sheetName val="South_Africa_(EUR)1"/>
      <sheetName val="Puerto_Rico1"/>
      <sheetName val="Puerto_Rico_(EUR)1"/>
      <sheetName val="P&amp;L_consolidated1"/>
      <sheetName val="Post2_1"/>
      <sheetName val="Tax_rate1"/>
      <sheetName val="Scenarios_input1"/>
      <sheetName val="Op_Assumptions_EUR1"/>
      <sheetName val="Presentation_-_forecast1"/>
      <sheetName val="Presentation_DCF1"/>
      <sheetName val="Presentation_FCF1"/>
      <sheetName val="RELATA_VÉIO1"/>
      <sheetName val="CAPEX_CUSTO1"/>
      <sheetName val="O_x_R1"/>
      <sheetName val="PESOS PARA CRONOGRAMA"/>
      <sheetName val="BRADESCO - 2ª"/>
      <sheetName val="BRADESCO - SAMPCO (2)"/>
      <sheetName val="ING US$10MM"/>
      <sheetName val="ITAÚ US$ 23MM"/>
      <sheetName val="ITAÚ"/>
      <sheetName val="OCTAGON"/>
      <sheetName val="RABOBANK US$ 20MM"/>
      <sheetName val="RABOBANK US$ 40MM"/>
      <sheetName val="SAFRA - US$10"/>
      <sheetName val="SAFRA - US$5"/>
      <sheetName val="SAFRA - US$5 (2)"/>
      <sheetName val="Summary"/>
      <sheetName val="Romania_(EUR)2"/>
      <sheetName val="South_Africa2"/>
      <sheetName val="South_Africa_(EUR)2"/>
      <sheetName val="Puerto_Rico2"/>
      <sheetName val="Puerto_Rico_(EUR)2"/>
      <sheetName val="P&amp;L_consolidated2"/>
      <sheetName val="Post2_2"/>
      <sheetName val="Tax_rate2"/>
      <sheetName val="Scenarios_input2"/>
      <sheetName val="Op_Assumptions_EUR2"/>
      <sheetName val="Presentation_-_forecast2"/>
      <sheetName val="Presentation_DCF2"/>
      <sheetName val="Presentation_FCF2"/>
      <sheetName val="RELATA_VÉIO2"/>
      <sheetName val="CAPEX_CUSTO2"/>
      <sheetName val="O_x_R2"/>
      <sheetName val="Assump. "/>
      <sheetName val="Cenarios"/>
      <sheetName val="Plan1"/>
      <sheetName val="conssid12-96"/>
      <sheetName val="Controls"/>
      <sheetName val="BU TV &amp; Ancillary"/>
      <sheetName val="REqpt03"/>
      <sheetName val="Orcto"/>
      <sheetName val="3.2.ITENS A ACRESCER"/>
      <sheetName val="3.3.ITENS A DIMINUIR"/>
      <sheetName val="3.1.ITENS NOVOS"/>
      <sheetName val="Atual"/>
      <sheetName val="Control Panel"/>
      <sheetName val="Assum"/>
      <sheetName val="RESUMO-GERAL-INSUMOS"/>
      <sheetName val="PAVIMENTAÇÃO"/>
      <sheetName val="FCF"/>
      <sheetName val="Inputs"/>
      <sheetName val="P&amp;L"/>
      <sheetName val=" "/>
      <sheetName val="Relatório"/>
      <sheetName val="orçamento"/>
      <sheetName val="DESPESAS-CRONOGRAMA BASE"/>
      <sheetName val="RESUMO-GERAL-SERVIÇOS"/>
      <sheetName val="Inpu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Set>
  </externalBook>
</externalLink>
</file>

<file path=xl/externalLinks/externalLink78.xml><?xml version="1.0" encoding="utf-8"?>
<externalLink xmlns="http://schemas.openxmlformats.org/spreadsheetml/2006/main">
  <externalBook xmlns:r="http://schemas.openxmlformats.org/officeDocument/2006/relationships" r:id="rId1">
    <sheetNames>
      <sheetName val="CUSTO LARANJEIRAS"/>
      <sheetName val="RESUMO"/>
      <sheetName val="KANAFLEX"/>
      <sheetName val="NOVOTUB"/>
      <sheetName val="MEDIDAS"/>
      <sheetName val="blocos ancoragem"/>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79.xml><?xml version="1.0" encoding="utf-8"?>
<externalLink xmlns="http://schemas.openxmlformats.org/spreadsheetml/2006/main">
  <externalBook xmlns:r="http://schemas.openxmlformats.org/officeDocument/2006/relationships" r:id="rId1">
    <sheetNames>
      <sheetName val="CUSTO ZONA SUL"/>
      <sheetName val="RESUMO EMPRESA"/>
      <sheetName val="CUSTO EMPRESA"/>
      <sheetName val="RESUMO"/>
      <sheetName val="KANAFLEX"/>
      <sheetName val="NOVOTUB"/>
      <sheetName val="MEDIDAS"/>
      <sheetName val="Dimensionamento"/>
      <sheetName val="Folha de Dados"/>
      <sheetName val="quadra poliesportiva"/>
    </sheetNames>
    <sheetDataSet>
      <sheetData sheetId="0"/>
      <sheetData sheetId="1"/>
      <sheetData sheetId="2"/>
      <sheetData sheetId="3"/>
      <sheetData sheetId="4"/>
      <sheetData sheetId="5"/>
      <sheetData sheetId="6"/>
      <sheetData sheetId="7" refreshError="1"/>
      <sheetData sheetId="8" refreshError="1"/>
      <sheetData sheetId="9" refreshError="1"/>
    </sheetDataSet>
  </externalBook>
</externalLink>
</file>

<file path=xl/externalLinks/externalLink80.xml><?xml version="1.0" encoding="utf-8"?>
<externalLink xmlns="http://schemas.openxmlformats.org/spreadsheetml/2006/main">
  <externalBook xmlns:r="http://schemas.openxmlformats.org/officeDocument/2006/relationships" r:id="rId1">
    <sheetNames>
      <sheetName val="00000"/>
      <sheetName val="Printout"/>
      <sheetName val="Tab-Scenarios"/>
      <sheetName val="Scenarios"/>
      <sheetName val="Control"/>
      <sheetName val="Scenarios_Summary"/>
      <sheetName val="Tab-AD"/>
      <sheetName val="LNT-Control"/>
      <sheetName val="LNT-AD"/>
      <sheetName val="Tab-Generation"/>
      <sheetName val="SPC-Generation"/>
      <sheetName val="Tab-Magistra"/>
      <sheetName val="Magistra"/>
      <sheetName val="Tab-Macro"/>
      <sheetName val="macroec"/>
      <sheetName val="Tab-Mother"/>
      <sheetName val="Mother_Summary"/>
      <sheetName val="DCF_PP&amp;E"/>
      <sheetName val="WACC"/>
      <sheetName val="Income_St"/>
      <sheetName val="Balance_Sheet"/>
      <sheetName val="Cash_Flow"/>
      <sheetName val="Revenue"/>
      <sheetName val="Energy_Costs"/>
      <sheetName val="Expense_Breakdown"/>
      <sheetName val="Taxes"/>
      <sheetName val="Working_Cap"/>
      <sheetName val="PP&amp;E"/>
      <sheetName val="Debt_Schedule"/>
      <sheetName val="Cap_Structure Stability"/>
      <sheetName val="Shareholder's_Equity"/>
      <sheetName val="Investments"/>
      <sheetName val="Tariff_Revision"/>
      <sheetName val="Tab-Child"/>
      <sheetName val="Child_Summary (2)"/>
      <sheetName val="DCF_PP&amp;E (2)"/>
      <sheetName val="Income_St (2)"/>
      <sheetName val="Balance_Sheet (2)"/>
      <sheetName val="Cash_Flow (2)"/>
      <sheetName val="Revenue (2)"/>
      <sheetName val="Energy_Costs (2)"/>
      <sheetName val="Expense_Breakdown (2)"/>
      <sheetName val="Taxes (2)"/>
      <sheetName val="Working_Cap (2)"/>
      <sheetName val="PP&amp;E (2)"/>
      <sheetName val="Debt_Schedule (2)"/>
      <sheetName val="Cap_Structure Stability (2)"/>
      <sheetName val="Shareholder's_Equity (2)"/>
      <sheetName val="Investments (2)"/>
      <sheetName val="Tariff_Revision (2)"/>
      <sheetName val="Module1"/>
      <sheetName val="Module2"/>
      <sheetName val="P&amp;L consolidated"/>
      <sheetName val="SLX_FRETE"/>
      <sheetName val="SLX_PAYMENTCONDITION"/>
      <sheetName val="íNDICES"/>
      <sheetName val="REqpt03"/>
      <sheetName val="Orcto"/>
      <sheetName val="Modelnew52_BASE_CashPayout"/>
      <sheetName val="Cap_Structure_Stability"/>
      <sheetName val="Child_Summary_(2)"/>
      <sheetName val="DCF_PP&amp;E_(2)"/>
      <sheetName val="Income_St_(2)"/>
      <sheetName val="Balance_Sheet_(2)"/>
      <sheetName val="Cash_Flow_(2)"/>
      <sheetName val="Revenue_(2)"/>
      <sheetName val="Energy_Costs_(2)"/>
      <sheetName val="Expense_Breakdown_(2)"/>
      <sheetName val="Taxes_(2)"/>
      <sheetName val="Working_Cap_(2)"/>
      <sheetName val="PP&amp;E_(2)"/>
      <sheetName val="Debt_Schedule_(2)"/>
      <sheetName val="Cap_Structure_Stability_(2)"/>
      <sheetName val="Shareholder's_Equity_(2)"/>
      <sheetName val="Investments_(2)"/>
      <sheetName val="Tariff_Revision_(2)"/>
      <sheetName val="P&amp;L_consolidated"/>
      <sheetName val="Cap_Structure_Stability1"/>
      <sheetName val="Child_Summary_(2)1"/>
      <sheetName val="DCF_PP&amp;E_(2)1"/>
      <sheetName val="Income_St_(2)1"/>
      <sheetName val="Balance_Sheet_(2)1"/>
      <sheetName val="Cash_Flow_(2)1"/>
      <sheetName val="Revenue_(2)1"/>
      <sheetName val="Energy_Costs_(2)1"/>
      <sheetName val="Expense_Breakdown_(2)1"/>
      <sheetName val="Taxes_(2)1"/>
      <sheetName val="Working_Cap_(2)1"/>
      <sheetName val="PP&amp;E_(2)1"/>
      <sheetName val="Debt_Schedule_(2)1"/>
      <sheetName val="Cap_Structure_Stability_(2)1"/>
      <sheetName val="Shareholder's_Equity_(2)1"/>
      <sheetName val="Investments_(2)1"/>
      <sheetName val="Tariff_Revision_(2)1"/>
      <sheetName val="P&amp;L_consolidated1"/>
      <sheetName val="         Title              "/>
      <sheetName val="Control Panel"/>
      <sheetName val="Atual"/>
      <sheetName val="Cap_Structure_Stability2"/>
      <sheetName val="Child_Summary_(2)2"/>
      <sheetName val="DCF_PP&amp;E_(2)2"/>
      <sheetName val="Income_St_(2)2"/>
      <sheetName val="Balance_Sheet_(2)2"/>
      <sheetName val="Cash_Flow_(2)2"/>
      <sheetName val="Revenue_(2)2"/>
      <sheetName val="Energy_Costs_(2)2"/>
      <sheetName val="Expense_Breakdown_(2)2"/>
      <sheetName val="Taxes_(2)2"/>
      <sheetName val="Working_Cap_(2)2"/>
      <sheetName val="PP&amp;E_(2)2"/>
      <sheetName val="Debt_Schedule_(2)2"/>
      <sheetName val="Cap_Structure_Stability_(2)2"/>
      <sheetName val="Shareholder's_Equity_(2)2"/>
      <sheetName val="Investments_(2)2"/>
      <sheetName val="Tariff_Revision_(2)2"/>
      <sheetName val="P&amp;L_consolidated2"/>
      <sheetName val="RetrieveParameters"/>
      <sheetName val="Names"/>
      <sheetName val="ENCARGOS SOCIAIS"/>
      <sheetName val="DESPESAS-CRONOGRAMA BASE"/>
      <sheetName val="AbertInvest"/>
      <sheetName val="base_folha"/>
      <sheetName val="parameters"/>
      <sheetName val="Plan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refreshError="1"/>
      <sheetData sheetId="96" refreshError="1"/>
      <sheetData sheetId="97" refreshError="1"/>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Set>
  </externalBook>
</externalLink>
</file>

<file path=xl/externalLinks/externalLink81.xml><?xml version="1.0" encoding="utf-8"?>
<externalLink xmlns="http://schemas.openxmlformats.org/spreadsheetml/2006/main">
  <externalBook xmlns:r="http://schemas.openxmlformats.org/officeDocument/2006/relationships" r:id="rId1">
    <sheetNames>
      <sheetName val="Dados"/>
      <sheetName val="Plan3"/>
      <sheetName val="Comparativo 2008a2009"/>
      <sheetName val="Plan1"/>
      <sheetName val="Menu"/>
      <sheetName val="Control"/>
      <sheetName val="Dia4"/>
      <sheetName val="P&amp;L consolidated"/>
      <sheetName val="1.P&amp;L"/>
      <sheetName val="Buy Out Overview"/>
      <sheetName val="RealOut02"/>
      <sheetName val="Comparativo_2008a2009"/>
      <sheetName val="P&amp;L_consolidated"/>
      <sheetName val="1_P&amp;L"/>
      <sheetName val="Buy_Out_Overview"/>
      <sheetName val="Comparativo_2008a20091"/>
      <sheetName val="P&amp;L_consolidated1"/>
      <sheetName val="1_P&amp;L1"/>
      <sheetName val="Buy_Out_Overview1"/>
      <sheetName val="FCF"/>
      <sheetName val="Inputs"/>
      <sheetName val="P&amp;L"/>
      <sheetName val="BS"/>
      <sheetName val="parameters"/>
      <sheetName val="base_folha"/>
      <sheetName val="Comparativo_2008a20092"/>
      <sheetName val="P&amp;L_consolidated2"/>
      <sheetName val="1_P&amp;L2"/>
      <sheetName val="Buy_Out_Overview2"/>
      <sheetName val="Controls"/>
      <sheetName val="ENCARGOS SOCIAIS"/>
      <sheetName val="Control Panel"/>
      <sheetName val="Constants"/>
      <sheetName val="POP cost"/>
      <sheetName val="REqpt03"/>
      <sheetName val="Orcto"/>
      <sheetName val="Relatório Mensal 2011"/>
      <sheetName val="quadro ii "/>
      <sheetName val="AbertInvest"/>
      <sheetName val="Base Data"/>
      <sheetName val="eco-fin"/>
      <sheetName val="conssid12-96"/>
      <sheetName val="fluxo de caixa"/>
      <sheetName val="BDG"/>
      <sheetName val="ConsRot"/>
      <sheetName val="Orc"/>
      <sheetName val="FICBIOM"/>
      <sheetName val="Assu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 sheetId="25"/>
      <sheetData sheetId="26"/>
      <sheetData sheetId="27"/>
      <sheetData sheetId="28"/>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Set>
  </externalBook>
</externalLink>
</file>

<file path=xl/externalLinks/externalLink82.xml><?xml version="1.0" encoding="utf-8"?>
<externalLink xmlns="http://schemas.openxmlformats.org/spreadsheetml/2006/main">
  <externalBook xmlns:r="http://schemas.openxmlformats.org/officeDocument/2006/relationships" r:id="rId1">
    <sheetNames>
      <sheetName val="P&amp;L"/>
      <sheetName val="Cap"/>
      <sheetName val="LBO"/>
      <sheetName val="DCF"/>
      <sheetName val="Inflation"/>
      <sheetName val="Dados"/>
      <sheetName val="Dia4"/>
      <sheetName val="Inputs"/>
      <sheetName val="FCF"/>
      <sheetName val="BS"/>
      <sheetName val="Control"/>
      <sheetName val="Base Data"/>
      <sheetName val="BDG"/>
      <sheetName val="ConsRot"/>
      <sheetName val="Orc"/>
      <sheetName val="Base_Data"/>
      <sheetName val="Base_Data1"/>
      <sheetName val="RetrieveParameters"/>
      <sheetName val="Names"/>
      <sheetName val="Controls"/>
      <sheetName val="Base_Data2"/>
      <sheetName val="Company data"/>
      <sheetName val="Cover"/>
      <sheetName val="DCCU"/>
      <sheetName val="Parameters"/>
      <sheetName val="Assum"/>
      <sheetName val="BRADESCO - 2ª"/>
      <sheetName val="BRADESCO - SAMPCO (2)"/>
      <sheetName val="ING US$10MM"/>
      <sheetName val="ITAÚ US$ 23MM"/>
      <sheetName val="ITAÚ"/>
      <sheetName val="OCTAGON"/>
      <sheetName val="RABOBANK US$ 20MM"/>
      <sheetName val="RABOBANK US$ 40MM"/>
      <sheetName val="SAFRA - US$10"/>
      <sheetName val="SAFRA - US$5"/>
      <sheetName val="SAFRA - US$5 (2)"/>
      <sheetName val="1.P&amp;L"/>
      <sheetName val="Buy Out Overview"/>
      <sheetName val="FICBIOM"/>
      <sheetName val="Plan2"/>
      <sheetName val="Plan1"/>
      <sheetName val="ENCARGOS SOCIAIS"/>
      <sheetName val="APLICAÇÃO"/>
      <sheetName val="AbertInvest"/>
      <sheetName val="PREMISSAS"/>
      <sheetName val="REqpt03"/>
      <sheetName val="Orcto"/>
      <sheetName val="conssid12-96"/>
      <sheetName val="anterior"/>
      <sheetName val="forecast"/>
      <sheetName val="orçamento"/>
      <sheetName val="atu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sheetData sheetId="17" refreshError="1"/>
      <sheetData sheetId="18" refreshError="1"/>
      <sheetData sheetId="19" refreshError="1"/>
      <sheetData sheetId="20"/>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83.xml><?xml version="1.0" encoding="utf-8"?>
<externalLink xmlns="http://schemas.openxmlformats.org/spreadsheetml/2006/main">
  <externalBook xmlns:r="http://schemas.openxmlformats.org/officeDocument/2006/relationships" r:id="rId1">
    <sheetNames>
      <sheetName val="Orçamento Real"/>
      <sheetName val="Resumo "/>
      <sheetName val="Memória"/>
      <sheetName val="SCO0504"/>
      <sheetName val="QUADRA POLIESPORTIVA"/>
      <sheetName val="Resumo_"/>
      <sheetName val="Orçamento_Real"/>
      <sheetName val="QUADRA_POLIESPORTIVA"/>
      <sheetName val="Resumo_1"/>
      <sheetName val="Orçamento_Real1"/>
      <sheetName val="Resumo_2"/>
      <sheetName val="Orçamento_Real2"/>
      <sheetName val="Resumo_3"/>
      <sheetName val="Orçamento_Real3"/>
      <sheetName val="Resumo_5"/>
      <sheetName val="Orçamento_Real5"/>
      <sheetName val="Resumo_4"/>
      <sheetName val="Orçamento_Real4"/>
      <sheetName val="Resumo_6"/>
      <sheetName val="Orçamento_Real6"/>
      <sheetName val="Resumo_7"/>
      <sheetName val="Orçamento_Real7"/>
      <sheetName val="Resumo_8"/>
      <sheetName val="Orçamento_Real8"/>
      <sheetName val="Resumo_9"/>
      <sheetName val="Orçamento_Real9"/>
      <sheetName val="Resumo_10"/>
      <sheetName val="Orçamento_Real10"/>
      <sheetName val="Resumo_11"/>
      <sheetName val="Orçamento_Real11"/>
    </sheetNames>
    <sheetDataSet>
      <sheetData sheetId="0" refreshError="1"/>
      <sheetData sheetId="1" refreshError="1"/>
      <sheetData sheetId="2" refreshError="1"/>
      <sheetData sheetId="3" refreshError="1"/>
      <sheetData sheetId="4" refreshError="1"/>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84.xml><?xml version="1.0" encoding="utf-8"?>
<externalLink xmlns="http://schemas.openxmlformats.org/spreadsheetml/2006/main">
  <externalBook xmlns:r="http://schemas.openxmlformats.org/officeDocument/2006/relationships" r:id="rId1">
    <sheetNames>
      <sheetName val="Print"/>
      <sheetName val="Inputs"/>
      <sheetName val="P&amp;L"/>
      <sheetName val="FCF"/>
      <sheetName val="BS"/>
      <sheetName val="Dados"/>
      <sheetName val="OTHER TABLES"/>
      <sheetName val="Parameters"/>
      <sheetName val="Assump. "/>
      <sheetName val="OTHER_TABLES"/>
      <sheetName val="OTHER_TABLES1"/>
      <sheetName val="Controls"/>
      <sheetName val="Plan1"/>
      <sheetName val="OTHER_TABLES2"/>
      <sheetName val="RealOut02"/>
      <sheetName val="P&amp;L consolidated"/>
      <sheetName val="APLICAÇÃO"/>
      <sheetName val="DCF Assumptions"/>
      <sheetName val="PV Calcs"/>
      <sheetName val="Premissas"/>
      <sheetName val="Base Data"/>
      <sheetName val="Cargo CC Set"/>
      <sheetName val="RetrieveParameters"/>
      <sheetName val="Names"/>
      <sheetName val="Input"/>
      <sheetName val="FERIADOS"/>
      <sheetName val="Paramètres généraux"/>
      <sheetName val="REqpt03"/>
      <sheetName val="Orcto"/>
      <sheetName val="1.P&amp;L"/>
      <sheetName val="Buy Out Overview"/>
      <sheetName val="anterior"/>
      <sheetName val="forecast"/>
      <sheetName val="orçamento"/>
      <sheetName val="atual"/>
      <sheetName val="AbertInvest"/>
      <sheetName val="Oper"/>
      <sheetName val="Index"/>
      <sheetName val="1. Instelling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Set>
  </externalBook>
</externalLink>
</file>

<file path=xl/externalLinks/externalLink85.xml><?xml version="1.0" encoding="utf-8"?>
<externalLink xmlns="http://schemas.openxmlformats.org/spreadsheetml/2006/main">
  <externalBook xmlns:r="http://schemas.openxmlformats.org/officeDocument/2006/relationships" r:id="rId1">
    <sheetNames>
      <sheetName val="InvEng"/>
      <sheetName val="Orcto"/>
      <sheetName val="Atual"/>
      <sheetName val="2003"/>
      <sheetName val="Eqptos"/>
      <sheetName val="Oper"/>
      <sheetName val="Inputs"/>
      <sheetName val="Paramètres généraux"/>
      <sheetName val="P&amp;L"/>
      <sheetName val="FluxoCaixaIndexado"/>
      <sheetName val="eco-fin"/>
      <sheetName val="conssid12-96"/>
      <sheetName val="fluxo de caixa"/>
      <sheetName val="Paramètres_généraux"/>
      <sheetName val="Paramètres_généraux1"/>
      <sheetName val="Company data"/>
      <sheetName val="Cover"/>
      <sheetName val="Parameters"/>
      <sheetName val="Paramètres_généraux2"/>
      <sheetName val="BDG"/>
      <sheetName val="ConsRot"/>
      <sheetName val="Orc"/>
      <sheetName val="InvEngFev04"/>
      <sheetName val="Orçamento Real"/>
      <sheetName val="Plan1"/>
      <sheetName val="Controls"/>
      <sheetName val="Dados"/>
      <sheetName val="P&amp;L consolidated"/>
      <sheetName val="1.P&amp;L"/>
      <sheetName val="Buy Out Overview"/>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86.xml><?xml version="1.0" encoding="utf-8"?>
<externalLink xmlns="http://schemas.openxmlformats.org/spreadsheetml/2006/main">
  <externalBook xmlns:r="http://schemas.openxmlformats.org/officeDocument/2006/relationships" r:id="rId1">
    <sheetNames>
      <sheetName val="Portfolio dos Projetos"/>
      <sheetName val="Proj1 - Aumento de Receita"/>
      <sheetName val="Proj1 - Premissas - Indu"/>
      <sheetName val="Proj1 - Premissas - Oeste"/>
      <sheetName val="Proj2 - Aumento de Receita"/>
      <sheetName val="Proj2 - Premissas"/>
      <sheetName val="Proj3 - Redução de Custos"/>
      <sheetName val="Criterio de Class Risco"/>
      <sheetName val="Calculos - TMA"/>
      <sheetName val="Glossario"/>
      <sheetName val="Plan2"/>
      <sheetName val="Proj3 - Premissas - Lageado"/>
      <sheetName val="Proj3 - Premissas - Bandeira"/>
      <sheetName val="Resumo"/>
      <sheetName val="Orcto"/>
      <sheetName val="Plan1"/>
      <sheetName val="RESUMEN"/>
      <sheetName val="Paramètres généraux"/>
      <sheetName val="Oper"/>
      <sheetName val="Sheet2"/>
      <sheetName val="         Title              "/>
      <sheetName val="Portfolio_dos_Projetos"/>
      <sheetName val="Proj1_-_Aumento_de_Receita"/>
      <sheetName val="Proj1_-_Premissas_-_Indu"/>
      <sheetName val="Proj1_-_Premissas_-_Oeste"/>
      <sheetName val="Proj2_-_Aumento_de_Receita"/>
      <sheetName val="Proj2_-_Premissas"/>
      <sheetName val="Proj3_-_Redução_de_Custos"/>
      <sheetName val="Criterio_de_Class_Risco"/>
      <sheetName val="Calculos_-_TMA"/>
      <sheetName val="Proj3_-_Premissas_-_Lageado"/>
      <sheetName val="Proj3_-_Premissas_-_Bandeira"/>
      <sheetName val="Paramètres_généraux"/>
      <sheetName val="Portfolio_dos_Projetos1"/>
      <sheetName val="Proj1_-_Aumento_de_Receita1"/>
      <sheetName val="Proj1_-_Premissas_-_Indu1"/>
      <sheetName val="Proj1_-_Premissas_-_Oeste1"/>
      <sheetName val="Proj2_-_Aumento_de_Receita1"/>
      <sheetName val="Proj2_-_Premissas1"/>
      <sheetName val="Proj3_-_Redução_de_Custos1"/>
      <sheetName val="Criterio_de_Class_Risco1"/>
      <sheetName val="Calculos_-_TMA1"/>
      <sheetName val="Proj3_-_Premissas_-_Lageado1"/>
      <sheetName val="Proj3_-_Premissas_-_Bandeira1"/>
      <sheetName val="Paramètres_généraux1"/>
      <sheetName val="Projetos de Maximização - Viabi"/>
      <sheetName val="Portfolio_dos_Projetos2"/>
      <sheetName val="Proj1_-_Aumento_de_Receita2"/>
      <sheetName val="Proj1_-_Premissas_-_Indu2"/>
      <sheetName val="Proj1_-_Premissas_-_Oeste2"/>
      <sheetName val="Proj2_-_Aumento_de_Receita2"/>
      <sheetName val="Proj2_-_Premissas2"/>
      <sheetName val="Proj3_-_Redução_de_Custos2"/>
      <sheetName val="Criterio_de_Class_Risco2"/>
      <sheetName val="Calculos_-_TMA2"/>
      <sheetName val="Proj3_-_Premissas_-_Lageado2"/>
      <sheetName val="Proj3_-_Premissas_-_Bandeira2"/>
      <sheetName val="Paramètres_généraux2"/>
      <sheetName val="Assump. "/>
      <sheetName val="APLICAÇÃO"/>
      <sheetName val="Curvas"/>
      <sheetName val="DADOS"/>
      <sheetName val="FCF"/>
      <sheetName val="Input"/>
      <sheetName val="FluxoCaixaIndexado"/>
      <sheetName val="Parameters"/>
      <sheetName val="Company data"/>
      <sheetName val="Cover"/>
      <sheetName val="Base Data"/>
      <sheetName val="BU TV &amp; Ancillary"/>
      <sheetName val="quadro ii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refreshError="1"/>
      <sheetData sheetId="46"/>
      <sheetData sheetId="47"/>
      <sheetData sheetId="48"/>
      <sheetData sheetId="49"/>
      <sheetData sheetId="50"/>
      <sheetData sheetId="51"/>
      <sheetData sheetId="52"/>
      <sheetData sheetId="53"/>
      <sheetData sheetId="54"/>
      <sheetData sheetId="55"/>
      <sheetData sheetId="56"/>
      <sheetData sheetId="57"/>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Set>
  </externalBook>
</externalLink>
</file>

<file path=xl/externalLinks/externalLink87.xml><?xml version="1.0" encoding="utf-8"?>
<externalLink xmlns="http://schemas.openxmlformats.org/spreadsheetml/2006/main">
  <externalBook xmlns:r="http://schemas.openxmlformats.org/officeDocument/2006/relationships" r:id="rId1">
    <sheetNames>
      <sheetName val="TV &amp; Ancillary"/>
      <sheetName val="afschr TV "/>
      <sheetName val="Overige"/>
      <sheetName val="Film"/>
      <sheetName val="Marketing Film"/>
      <sheetName val="film status tov le 3"/>
      <sheetName val="Rental"/>
      <sheetName val="Sell-thru"/>
      <sheetName val="Marketing Sell Thru "/>
      <sheetName val="Plan2"/>
      <sheetName val="O x R"/>
      <sheetName val="CAPEX CUSTO"/>
      <sheetName val="RESUMEN"/>
      <sheetName val="Orcto"/>
      <sheetName val="Oper"/>
      <sheetName val="         Title              "/>
      <sheetName val="TV_&amp;_Ancillary"/>
      <sheetName val="afschr_TV_"/>
      <sheetName val="Marketing_Film"/>
      <sheetName val="film_status_tov_le_3"/>
      <sheetName val="Marketing_Sell_Thru_"/>
      <sheetName val="O_x_R"/>
      <sheetName val="CAPEX_CUSTO"/>
      <sheetName val="TV_&amp;_Ancillary1"/>
      <sheetName val="afschr_TV_1"/>
      <sheetName val="Marketing_Film1"/>
      <sheetName val="film_status_tov_le_31"/>
      <sheetName val="Marketing_Sell_Thru_1"/>
      <sheetName val="O_x_R1"/>
      <sheetName val="CAPEX_CUSTO1"/>
      <sheetName val="RealOut02"/>
      <sheetName val="Base data"/>
      <sheetName val="TV_&amp;_Ancillary2"/>
      <sheetName val="afschr_TV_2"/>
      <sheetName val="Marketing_Film2"/>
      <sheetName val="film_status_tov_le_32"/>
      <sheetName val="Marketing_Sell_Thru_2"/>
      <sheetName val="O_x_R2"/>
      <sheetName val="CAPEX_CUSTO2"/>
      <sheetName val="Inputs"/>
      <sheetName val="SALARIOS"/>
      <sheetName val="Resultado"/>
      <sheetName val="Control Panel"/>
      <sheetName val="Sheet2"/>
      <sheetName val="Plan1"/>
      <sheetName val="anterior"/>
      <sheetName val="forecast"/>
      <sheetName val="orçamento"/>
      <sheetName val="atual"/>
      <sheetName val="APLICAÇÃO"/>
      <sheetName val="Parameters"/>
      <sheetName val="Insumos"/>
      <sheetName val="P&amp;L"/>
      <sheetName val="Curvas"/>
      <sheetName val="SCO0504"/>
      <sheetName val="bradesco - 2ª"/>
      <sheetName val="bradesco - sampco (2)"/>
      <sheetName val="ing us$10mm"/>
      <sheetName val="itaú us$ 23mm"/>
      <sheetName val="itaú"/>
      <sheetName val="octagon"/>
      <sheetName val="rabobank us$ 20mm"/>
      <sheetName val="rabobank us$ 40mm"/>
      <sheetName val="safra - us$10"/>
      <sheetName val="safra - us$5"/>
      <sheetName val="safra - us$5 (2)"/>
      <sheetName val="adicional sobre materiais"/>
      <sheetName val="REQUERIMENTO TERMO DE REF"/>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efreshError="1"/>
      <sheetData sheetId="31" refreshError="1"/>
      <sheetData sheetId="32"/>
      <sheetData sheetId="33"/>
      <sheetData sheetId="34"/>
      <sheetData sheetId="35"/>
      <sheetData sheetId="36"/>
      <sheetData sheetId="37"/>
      <sheetData sheetId="38"/>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sheetData sheetId="55"/>
      <sheetData sheetId="56"/>
      <sheetData sheetId="57"/>
      <sheetData sheetId="58"/>
      <sheetData sheetId="59"/>
      <sheetData sheetId="60"/>
      <sheetData sheetId="61"/>
      <sheetData sheetId="62"/>
      <sheetData sheetId="63"/>
      <sheetData sheetId="64"/>
      <sheetData sheetId="65"/>
      <sheetData sheetId="66" refreshError="1"/>
      <sheetData sheetId="67" refreshError="1"/>
    </sheetDataSet>
  </externalBook>
</externalLink>
</file>

<file path=xl/externalLinks/externalLink88.xml><?xml version="1.0" encoding="utf-8"?>
<externalLink xmlns="http://schemas.openxmlformats.org/spreadsheetml/2006/main">
  <externalBook xmlns:r="http://schemas.openxmlformats.org/officeDocument/2006/relationships" r:id="rId1">
    <sheetNames>
      <sheetName val="Resumo do Consolidado"/>
      <sheetName val="Consolidado"/>
      <sheetName val="Quadro Resumo"/>
      <sheetName val="A - Proj"/>
      <sheetName val="C-Pav"/>
      <sheetName val="D-CX de detenção"/>
      <sheetName val="D-Micro e Macro  Drenagem"/>
      <sheetName val="SCO0504"/>
      <sheetName val="Orçamento Real"/>
      <sheetName val="blocos ancoragem"/>
      <sheetName val="SALARIOS"/>
      <sheetName val="planilha_ipiiba"/>
      <sheetName val="Parâmetros"/>
      <sheetName val="Emop0205"/>
      <sheetName val="pontes"/>
      <sheetName val="Fator K"/>
      <sheetName val="Paramètres généraux"/>
      <sheetName val="Curvas"/>
      <sheetName val="Resumo_do_Consolidado"/>
      <sheetName val="Quadro_Resumo"/>
      <sheetName val="A_-_Proj"/>
      <sheetName val="D-CX_de_detenção"/>
      <sheetName val="D-Micro_e_Macro__Drenagem"/>
      <sheetName val="Orçamento_Real"/>
      <sheetName val="BDI TCU 2622 - EDIF"/>
      <sheetName val="Resumo_do_Consolidado1"/>
      <sheetName val="Quadro_Resumo1"/>
      <sheetName val="A_-_Proj1"/>
      <sheetName val="D-CX_de_detenção1"/>
      <sheetName val="D-Micro_e_Macro__Drenagem1"/>
      <sheetName val="Resumo_do_Consolidado2"/>
      <sheetName val="Quadro_Resumo2"/>
      <sheetName val="A_-_Proj2"/>
      <sheetName val="D-CX_de_detenção2"/>
      <sheetName val="D-Micro_e_Macro__Drenagem2"/>
      <sheetName val="Resumo_do_Consolidado3"/>
      <sheetName val="Quadro_Resumo3"/>
      <sheetName val="A_-_Proj3"/>
      <sheetName val="D-CX_de_detenção3"/>
      <sheetName val="D-Micro_e_Macro__Drenagem3"/>
      <sheetName val="fundação"/>
      <sheetName val="Resumo_do_Consolidado5"/>
      <sheetName val="Quadro_Resumo5"/>
      <sheetName val="A_-_Proj5"/>
      <sheetName val="D-CX_de_detenção5"/>
      <sheetName val="D-Micro_e_Macro__Drenagem5"/>
      <sheetName val="Resumo_do_Consolidado4"/>
      <sheetName val="Quadro_Resumo4"/>
      <sheetName val="A_-_Proj4"/>
      <sheetName val="D-CX_de_detenção4"/>
      <sheetName val="D-Micro_e_Macro__Drenagem4"/>
      <sheetName val="Resumo_do_Consolidado6"/>
      <sheetName val="Quadro_Resumo6"/>
      <sheetName val="A_-_Proj6"/>
      <sheetName val="D-CX_de_detenção6"/>
      <sheetName val="D-Micro_e_Macro__Drenagem6"/>
      <sheetName val="Resumo_do_Consolidado7"/>
      <sheetName val="Quadro_Resumo7"/>
      <sheetName val="A_-_Proj7"/>
      <sheetName val="D-CX_de_detenção7"/>
      <sheetName val="D-Micro_e_Macro__Drenagem7"/>
      <sheetName val="Resumo_do_Consolidado8"/>
      <sheetName val="Quadro_Resumo8"/>
      <sheetName val="A_-_Proj8"/>
      <sheetName val="D-CX_de_detenção8"/>
      <sheetName val="D-Micro_e_Macro__Drenagem8"/>
      <sheetName val="Resumo_do_Consolidado9"/>
      <sheetName val="Quadro_Resumo9"/>
      <sheetName val="A_-_Proj9"/>
      <sheetName val="D-CX_de_detenção9"/>
      <sheetName val="D-Micro_e_Macro__Drenagem9"/>
      <sheetName val="Resumo_do_Consolidado10"/>
      <sheetName val="Quadro_Resumo10"/>
      <sheetName val="A_-_Proj10"/>
      <sheetName val="D-CX_de_detenção10"/>
      <sheetName val="D-Micro_e_Macro__Drenagem10"/>
      <sheetName val="Resumo_do_Consolidado11"/>
      <sheetName val="Quadro_Resumo11"/>
      <sheetName val="A_-_Proj11"/>
      <sheetName val="D-CX_de_detenção11"/>
      <sheetName val="D-Micro_e_Macro__Drenagem11"/>
      <sheetName val="Cotações"/>
      <sheetName val="Relatórios"/>
      <sheetName val="Banc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sheetData sheetId="20"/>
      <sheetData sheetId="21"/>
      <sheetData sheetId="22"/>
      <sheetData sheetId="23"/>
      <sheetData sheetId="24" refreshError="1"/>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refreshError="1"/>
      <sheetData sheetId="82" refreshError="1"/>
      <sheetData sheetId="83" refreshError="1"/>
    </sheetDataSet>
  </externalBook>
</externalLink>
</file>

<file path=xl/externalLinks/externalLink89.xml><?xml version="1.0" encoding="utf-8"?>
<externalLink xmlns="http://schemas.openxmlformats.org/spreadsheetml/2006/main">
  <externalBook xmlns:r="http://schemas.openxmlformats.org/officeDocument/2006/relationships" r:id="rId1">
    <sheetNames>
      <sheetName val="QD5B"/>
      <sheetName val="Depreciação"/>
      <sheetName val="Capa"/>
      <sheetName val="Orcto"/>
      <sheetName val="Ctrl"/>
      <sheetName val="Overige"/>
      <sheetName val="SLX_PAYMENTCONDITION"/>
      <sheetName val="Plan2"/>
      <sheetName val="Projeto"/>
      <sheetName val="RESUMEN"/>
      <sheetName val="FLUXO  DIÁRIO"/>
      <sheetName val="Summary_T"/>
      <sheetName val="Base Data"/>
      <sheetName val="FCF"/>
      <sheetName val="Inputs"/>
      <sheetName val="P&amp;L"/>
      <sheetName val="BS"/>
      <sheetName val="FLUXO__DIÁRIO"/>
      <sheetName val="Base_Data"/>
      <sheetName val="FLUXO__DIÁRIO1"/>
      <sheetName val="Base_Data1"/>
      <sheetName val="BDG"/>
      <sheetName val="ConsRot"/>
      <sheetName val="Orc"/>
      <sheetName val="BU TV &amp; Ancillary"/>
      <sheetName val="FLUXO__DIÁRIO2"/>
      <sheetName val="Base_Data2"/>
      <sheetName val="Plan1"/>
      <sheetName val="         Title              "/>
      <sheetName val="Curvas"/>
      <sheetName val="FICBIOM"/>
      <sheetName val="Oper"/>
      <sheetName val="FLUXO__DIÁRIO3"/>
      <sheetName val="Base_Data3"/>
      <sheetName val="BU_TV_&amp;_Ancillary"/>
      <sheetName val="_________Title______________"/>
      <sheetName val="FLUXO__DIÁRIO4"/>
      <sheetName val="Base_Data4"/>
      <sheetName val="BU_TV_&amp;_Ancillary1"/>
      <sheetName val="_________Title______________1"/>
      <sheetName val="FLUXO__DIÁRIO5"/>
      <sheetName val="Base_Data5"/>
      <sheetName val="BU_TV_&amp;_Ancillary2"/>
      <sheetName val="_________Title______________2"/>
      <sheetName val="FLUXO__DIÁRIO6"/>
      <sheetName val="Base_Data6"/>
      <sheetName val="BU_TV_&amp;_Ancillary3"/>
      <sheetName val="_________Title______________3"/>
      <sheetName val="Assump. "/>
      <sheetName val="Parameters"/>
      <sheetName val="FLUXO__DIÁRIO7"/>
      <sheetName val="Base_Data7"/>
      <sheetName val="BU_TV_&amp;_Ancillary4"/>
      <sheetName val="_________Title______________4"/>
      <sheetName val="Assump__"/>
      <sheetName val="anterior"/>
      <sheetName val="orçamento"/>
      <sheetName val="atual"/>
      <sheetName val="RealOut02"/>
      <sheetName val="planilha_ipiiba"/>
      <sheetName val="planilha_m. maneta"/>
      <sheetName val="FluxoCaixaIndexado"/>
      <sheetName val="DADOS"/>
      <sheetName val="Index"/>
      <sheetName val="1. Instellingen"/>
      <sheetName val="conssid12-96"/>
      <sheetName val="SALARIOS"/>
      <sheetName val="Paramètres généraux"/>
      <sheetName val="REqpt03"/>
      <sheetName val="AbertInves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sheetData sheetId="18"/>
      <sheetData sheetId="19"/>
      <sheetData sheetId="20"/>
      <sheetData sheetId="21" refreshError="1"/>
      <sheetData sheetId="22" refreshError="1"/>
      <sheetData sheetId="23" refreshError="1"/>
      <sheetData sheetId="24" refreshError="1"/>
      <sheetData sheetId="25"/>
      <sheetData sheetId="26"/>
      <sheetData sheetId="27" refreshError="1"/>
      <sheetData sheetId="28" refreshError="1"/>
      <sheetData sheetId="29" refreshError="1"/>
      <sheetData sheetId="30" refreshError="1"/>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efreshError="1"/>
      <sheetData sheetId="49" refreshError="1"/>
      <sheetData sheetId="50"/>
      <sheetData sheetId="51"/>
      <sheetData sheetId="52"/>
      <sheetData sheetId="53"/>
      <sheetData sheetId="54"/>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Set>
  </externalBook>
</externalLink>
</file>

<file path=xl/externalLinks/externalLink90.xml><?xml version="1.0" encoding="utf-8"?>
<externalLink xmlns="http://schemas.openxmlformats.org/spreadsheetml/2006/main">
  <externalBook xmlns:r="http://schemas.openxmlformats.org/officeDocument/2006/relationships" r:id="rId1">
    <sheetNames>
      <sheetName val="orçamento"/>
      <sheetName val="forecast"/>
      <sheetName val="anterior"/>
      <sheetName val="atual"/>
      <sheetName val="apresent"/>
      <sheetName val="Dados"/>
      <sheetName val="Capa"/>
      <sheetName val="SLX_PAYMENTCONDITION"/>
      <sheetName val="Overige"/>
      <sheetName val="Cenarios"/>
      <sheetName val="Plan2"/>
      <sheetName val="REqpt03"/>
      <sheetName val="Orcto"/>
      <sheetName val="Assump. "/>
      <sheetName val="Constants"/>
      <sheetName val="POP cost"/>
      <sheetName val="         Title              "/>
      <sheetName val="Paramètres généraux"/>
      <sheetName val="Resumo do Consolidado"/>
      <sheetName val="RetrieveParameters"/>
      <sheetName val="Names"/>
      <sheetName val="Controls"/>
      <sheetName val="parameters"/>
      <sheetName val="Summary_T"/>
      <sheetName val="Base data"/>
      <sheetName val="Index"/>
      <sheetName val="1. Instellingen"/>
      <sheetName val="Curvas"/>
      <sheetName val="PlanilhaFinal"/>
      <sheetName val="Sheet2"/>
      <sheetName val="Ope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91.xml><?xml version="1.0" encoding="utf-8"?>
<externalLink xmlns="http://schemas.openxmlformats.org/spreadsheetml/2006/main">
  <externalBook xmlns:r="http://schemas.openxmlformats.org/officeDocument/2006/relationships" r:id="rId1">
    <sheetNames>
      <sheetName val="orçamento"/>
      <sheetName val="forecast"/>
      <sheetName val="anterior"/>
      <sheetName val="atual"/>
      <sheetName val="apresent"/>
      <sheetName val="InvestimEng"/>
      <sheetName val="P&amp;L"/>
      <sheetName val="SLX_PAYMENTCONDITION"/>
      <sheetName val="CAPEX CUSTO"/>
      <sheetName val="O x R"/>
      <sheetName val="Capa"/>
      <sheetName val="REqpt03"/>
      <sheetName val="AbertInvest"/>
      <sheetName val="Orcto"/>
      <sheetName val="CAPEX_CUSTO"/>
      <sheetName val="O_x_R"/>
      <sheetName val="CAPEX_CUSTO1"/>
      <sheetName val="O_x_R1"/>
      <sheetName val="eco-fin"/>
      <sheetName val="conssid12-96"/>
      <sheetName val="fluxo de caixa"/>
      <sheetName val="CAPEX_CUSTO2"/>
      <sheetName val="O_x_R2"/>
      <sheetName val="FCF"/>
      <sheetName val="Inputs"/>
      <sheetName val="BS"/>
      <sheetName val="SALARIOS"/>
      <sheetName val="Controls"/>
      <sheetName val="Plan1"/>
      <sheetName val="Cenarios"/>
      <sheetName val="Overige"/>
      <sheetName val="BRADESCO - 2ª"/>
      <sheetName val="BRADESCO - SAMPCO (2)"/>
      <sheetName val="ING US$10MM"/>
      <sheetName val="ITAÚ US$ 23MM"/>
      <sheetName val="ITAÚ"/>
      <sheetName val="OCTAGON"/>
      <sheetName val="RABOBANK US$ 20MM"/>
      <sheetName val="RABOBANK US$ 40MM"/>
      <sheetName val="SAFRA - US$10"/>
      <sheetName val="SAFRA - US$5"/>
      <sheetName val="SAFRA - US$5 (2)"/>
      <sheetName val="PESOS PARA CRONOGRAMA"/>
      <sheetName val="Oper"/>
      <sheetName val="Premissas"/>
      <sheetName val="DCF Assumptions"/>
      <sheetName val="PV Calc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sheetData sheetId="16"/>
      <sheetData sheetId="17"/>
      <sheetData sheetId="18" refreshError="1"/>
      <sheetData sheetId="19" refreshError="1"/>
      <sheetData sheetId="20" refreshError="1"/>
      <sheetData sheetId="2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Set>
  </externalBook>
</externalLink>
</file>

<file path=xl/externalLinks/externalLink92.xml><?xml version="1.0" encoding="utf-8"?>
<externalLink xmlns="http://schemas.openxmlformats.org/spreadsheetml/2006/main">
  <externalBook xmlns:r="http://schemas.openxmlformats.org/officeDocument/2006/relationships" r:id="rId1">
    <sheetNames>
      <sheetName val="orçamento"/>
      <sheetName val="forecast"/>
      <sheetName val="anterior"/>
      <sheetName val="atual"/>
      <sheetName val="apresent"/>
      <sheetName val="Inputs"/>
      <sheetName val="Dados"/>
      <sheetName val="Imobiliz"/>
      <sheetName val="AbertInvest"/>
      <sheetName val="PESOS PARA CRONOGRAMA"/>
      <sheetName val="BRADESCO - 2ª"/>
      <sheetName val="BRADESCO - SAMPCO (2)"/>
      <sheetName val="ING US$10MM"/>
      <sheetName val="ITAÚ US$ 23MM"/>
      <sheetName val="ITAÚ"/>
      <sheetName val="OCTAGON"/>
      <sheetName val="RABOBANK US$ 20MM"/>
      <sheetName val="RABOBANK US$ 40MM"/>
      <sheetName val="SAFRA - US$10"/>
      <sheetName val="SAFRA - US$5"/>
      <sheetName val="SAFRA - US$5 (2)"/>
      <sheetName val="REqpt03"/>
      <sheetName val="Orcto"/>
      <sheetName val="SALARIOS"/>
      <sheetName val="PAVIMENTAÇÃO"/>
      <sheetName val="Company data"/>
      <sheetName val="Cover"/>
      <sheetName val="Index"/>
      <sheetName val="1. Instellingen"/>
      <sheetName val="parameters"/>
      <sheetName val="Cargo CC Set"/>
      <sheetName val="CAPEX CUSTO"/>
      <sheetName val="O x R"/>
      <sheetName val="Capa"/>
      <sheetName val="cvmd_md3"/>
      <sheetName val="BU TV &amp; Ancillary"/>
      <sheetName val="Summary"/>
      <sheetName val="Composição"/>
      <sheetName val="Summary_T"/>
      <sheetName val="conssid12-96"/>
      <sheetName val="Control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93.xml><?xml version="1.0" encoding="utf-8"?>
<externalLink xmlns="http://schemas.openxmlformats.org/spreadsheetml/2006/main">
  <externalBook xmlns:r="http://schemas.openxmlformats.org/officeDocument/2006/relationships" r:id="rId1">
    <sheetNames>
      <sheetName val="orçamento"/>
      <sheetName val="forecast"/>
      <sheetName val="anterior"/>
      <sheetName val="atual"/>
      <sheetName val="apresent"/>
      <sheetName val="Orcto"/>
      <sheetName val="P&amp;L consolidated"/>
      <sheetName val="REqpt03"/>
      <sheetName val="P&amp;L_consolidated"/>
      <sheetName val="P&amp;L_consolidated1"/>
      <sheetName val="LD-PS-PMC-RMA"/>
      <sheetName val="         Title              "/>
      <sheetName val="Controls"/>
      <sheetName val="P&amp;L_consolidated2"/>
      <sheetName val="AbertInvest"/>
      <sheetName val="REQUERIMENTO TERMO DE REF"/>
      <sheetName val="InvestEngSet02..."/>
      <sheetName val="Base data"/>
      <sheetName val="DADOS"/>
      <sheetName val="Imobiliz"/>
      <sheetName val="Constants"/>
      <sheetName val="POP cost"/>
      <sheetName val="SALARIOS"/>
      <sheetName val="Reurbanização"/>
      <sheetName val="Cenari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94.xml><?xml version="1.0" encoding="utf-8"?>
<externalLink xmlns="http://schemas.openxmlformats.org/spreadsheetml/2006/main">
  <externalBook xmlns:r="http://schemas.openxmlformats.org/officeDocument/2006/relationships" r:id="rId1">
    <sheetNames>
      <sheetName val="orçamento"/>
      <sheetName val="forecast"/>
      <sheetName val="anterior"/>
      <sheetName val="atual"/>
      <sheetName val="apresent"/>
      <sheetName val="Overige"/>
      <sheetName val="Control"/>
      <sheetName val="1.P&amp;L"/>
      <sheetName val="Buy Out Overview"/>
      <sheetName val="P&amp;L consolidated"/>
      <sheetName val="         Title              "/>
      <sheetName val="Control Panel"/>
      <sheetName val="AbertInvest"/>
      <sheetName val="Plan2"/>
      <sheetName val="RealOut02"/>
      <sheetName val="Summary_T"/>
      <sheetName val="BU TV &amp; Ancillary"/>
      <sheetName val="BRADESCO - 2ª"/>
      <sheetName val="BRADESCO - SAMPCO (2)"/>
      <sheetName val="ING US$10MM"/>
      <sheetName val="ITAÚ US$ 23MM"/>
      <sheetName val="ITAÚ"/>
      <sheetName val="OCTAGON"/>
      <sheetName val="RABOBANK US$ 20MM"/>
      <sheetName val="RABOBANK US$ 40MM"/>
      <sheetName val="SAFRA - US$10"/>
      <sheetName val="SAFRA - US$5"/>
      <sheetName val="SAFRA - US$5 (2)"/>
      <sheetName val="Orcto"/>
      <sheetName val="REQUERIMENTO TERMO DE REF"/>
      <sheetName val="CAPEX CUSTO"/>
      <sheetName val="O x R"/>
      <sheetName val="Cenarios"/>
      <sheetName val="REqpt03"/>
      <sheetName val="base_folh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95.xml><?xml version="1.0" encoding="utf-8"?>
<externalLink xmlns="http://schemas.openxmlformats.org/spreadsheetml/2006/main">
  <externalBook xmlns:r="http://schemas.openxmlformats.org/officeDocument/2006/relationships" r:id="rId1">
    <sheetNames>
      <sheetName val="orçamento"/>
      <sheetName val="forecast"/>
      <sheetName val="anterior"/>
      <sheetName val="atual"/>
      <sheetName val="apresent"/>
      <sheetName val="Capa"/>
      <sheetName val="Dados"/>
      <sheetName val="Base Data"/>
      <sheetName val="Control"/>
      <sheetName val="FCF"/>
      <sheetName val="Inputs"/>
      <sheetName val="P&amp;L"/>
      <sheetName val="BS"/>
      <sheetName val="parameters"/>
      <sheetName val="REqpt03"/>
      <sheetName val="Orcto"/>
      <sheetName val="Resumo do Consolidado"/>
      <sheetName val="BDG"/>
      <sheetName val="ConsRot"/>
      <sheetName val="Orc"/>
      <sheetName val="Summary"/>
      <sheetName val="Constants"/>
      <sheetName val="POP cost"/>
      <sheetName val="Resultado"/>
      <sheetName val="conssid12-96"/>
      <sheetName val="base_folha"/>
      <sheetName val="Plan2"/>
      <sheetName val="Imobiliz"/>
      <sheetName val="Assum"/>
      <sheetName val="Controls"/>
      <sheetName val="Index"/>
      <sheetName val="1. Instelling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96.xml><?xml version="1.0" encoding="utf-8"?>
<externalLink xmlns="http://schemas.openxmlformats.org/spreadsheetml/2006/main">
  <externalBook xmlns:r="http://schemas.openxmlformats.org/officeDocument/2006/relationships" r:id="rId1">
    <sheetNames>
      <sheetName val="Menu"/>
      <sheetName val="Projeto1"/>
      <sheetName val="Opções"/>
      <sheetName val="Premissas_Proj1"/>
      <sheetName val="Projeto2"/>
      <sheetName val="Premissas_Proj2"/>
      <sheetName val="Projeto3"/>
      <sheetName val="Premissas_Proj3"/>
      <sheetName val="Projeto4"/>
      <sheetName val="Premissas_Proj4"/>
      <sheetName val="Projeto5"/>
      <sheetName val="Premissas_Proj5"/>
      <sheetName val="Projeto6"/>
      <sheetName val="Premissas_Proj6"/>
      <sheetName val="Projeto7"/>
      <sheetName val="Premissas_Proj7"/>
      <sheetName val="Projeto8"/>
      <sheetName val="Premissas_Proj8"/>
      <sheetName val="Projeto9"/>
      <sheetName val="Premissas_Proj9"/>
      <sheetName val="Projeto10"/>
      <sheetName val="Premissas_Proj10"/>
      <sheetName val="Projeto11"/>
      <sheetName val="Premissas_Proj11"/>
      <sheetName val="Projeto12"/>
      <sheetName val="Premissas_Proj12"/>
      <sheetName val="Projeto13"/>
      <sheetName val="Premissas_Proj13"/>
      <sheetName val="Projeto14"/>
      <sheetName val="Premissas_Proj14"/>
      <sheetName val="Projeto15"/>
      <sheetName val="Premissas_Proj15"/>
      <sheetName val="Projeto16"/>
      <sheetName val="Premissas_Proj16"/>
      <sheetName val="Projeto17"/>
      <sheetName val="Premissas_Proj17"/>
      <sheetName val="Projeto18"/>
      <sheetName val="Premissas_Proj18"/>
      <sheetName val="Projeto19"/>
      <sheetName val="Premissas_Proj19"/>
      <sheetName val="Projeto20"/>
      <sheetName val="Premissas_Proj20"/>
      <sheetName val="Projeto21"/>
      <sheetName val="Premissas_Proj21"/>
      <sheetName val="Projeto22"/>
      <sheetName val="Premissas_Proj22"/>
      <sheetName val="Projeto23"/>
      <sheetName val="Premissas_Proj23"/>
      <sheetName val="Projeto24"/>
      <sheetName val="Premissas_Proj24"/>
      <sheetName val="Projeto25"/>
      <sheetName val="Premissas_Proj25"/>
      <sheetName val="Projeto26"/>
      <sheetName val="Premissas_Proj26"/>
      <sheetName val="Projeto27"/>
      <sheetName val="Premissas_Proj27"/>
      <sheetName val="Projeto28"/>
      <sheetName val="Premissas_Proj28"/>
      <sheetName val="Projeto29"/>
      <sheetName val="Premissas_Proj29"/>
      <sheetName val="Projeto30"/>
      <sheetName val="Premissas_Proj30-1"/>
      <sheetName val="Premissas_Proj30-2"/>
      <sheetName val="Premissas_Proj30-3"/>
      <sheetName val="Projeto31"/>
      <sheetName val="Premissas_Proj31"/>
      <sheetName val="Consolidado"/>
      <sheetName val="orçamento"/>
      <sheetName val="P&amp;L"/>
      <sheetName val="Parameters"/>
      <sheetName val="Dados"/>
      <sheetName val="Base Data"/>
      <sheetName val="RetrieveParameters"/>
      <sheetName val="Names"/>
      <sheetName val="1.P&amp;L"/>
      <sheetName val="Buy Out Overview"/>
      <sheetName val="Overige"/>
      <sheetName val="Assump. "/>
      <sheetName val="Orcto"/>
      <sheetName val="Resultado"/>
      <sheetName val="Controls"/>
      <sheetName val="Resumo do Consolidado"/>
      <sheetName val="P&amp;L consolidated"/>
      <sheetName val="DCF Assumptions"/>
      <sheetName val="PV Calcs"/>
      <sheetName val="Cargo CC Set"/>
      <sheetName val="Atual"/>
      <sheetName val="Ope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Set>
  </externalBook>
</externalLink>
</file>

<file path=xl/externalLinks/externalLink97.xml><?xml version="1.0" encoding="utf-8"?>
<externalLink xmlns="http://schemas.openxmlformats.org/spreadsheetml/2006/main">
  <externalBook xmlns:r="http://schemas.openxmlformats.org/officeDocument/2006/relationships" r:id="rId1">
    <sheetNames>
      <sheetName val="Title_Comb"/>
      <sheetName val="Summary_Comb"/>
      <sheetName val="FCF_Comb"/>
      <sheetName val="P&amp;L_Comb"/>
      <sheetName val="BS_Comb"/>
      <sheetName val="CF_Comb"/>
      <sheetName val="Sheet1"/>
      <sheetName val="Refinancing"/>
      <sheetName val="Title_PCM"/>
      <sheetName val="Summary_PCM"/>
      <sheetName val="WACC_PCM"/>
      <sheetName val="FCF_PCM"/>
      <sheetName val="P&amp;L_PCM"/>
      <sheetName val="BS_PCM"/>
      <sheetName val="P&amp;L_News"/>
      <sheetName val="Drivers_News"/>
      <sheetName val="P&amp;L_GenBooks"/>
      <sheetName val="Drivers_GenBooks"/>
      <sheetName val="CF_PCM"/>
      <sheetName val="Drivers"/>
      <sheetName val="Title_V"/>
      <sheetName val="Summary_V"/>
      <sheetName val="WACC_V"/>
      <sheetName val="FCF_V"/>
      <sheetName val="P&amp;L_V"/>
      <sheetName val="BS_V"/>
      <sheetName val="CF_V"/>
      <sheetName val="Scenarios"/>
      <sheetName val="Market overview"/>
      <sheetName val="Disposals"/>
      <sheetName val="Synergies"/>
      <sheetName val="Title_SP"/>
      <sheetName val="P&amp;L_M (IM)"/>
      <sheetName val="P&amp;L_SP"/>
      <sheetName val="BS_SP"/>
      <sheetName val="CF_SP"/>
      <sheetName val="Title_03B"/>
      <sheetName val="P&amp;L 03"/>
      <sheetName val="BS 03"/>
      <sheetName val="CF 03"/>
      <sheetName val="Title_TM"/>
      <sheetName val="FCF_TM"/>
      <sheetName val="P&amp;L_TM"/>
      <sheetName val="BS _TM"/>
      <sheetName val="P&amp;L_TM+M"/>
      <sheetName val="Opções"/>
      <sheetName val="orçamento"/>
      <sheetName val="Inputs"/>
      <sheetName val="FluxoCaixaIndexado"/>
      <sheetName val="Market_overview"/>
      <sheetName val="P&amp;L_M_(IM)"/>
      <sheetName val="P&amp;L_03"/>
      <sheetName val="BS_03"/>
      <sheetName val="CF_03"/>
      <sheetName val="BS__TM"/>
      <sheetName val="Market_overview1"/>
      <sheetName val="P&amp;L_M_(IM)1"/>
      <sheetName val="P&amp;L_031"/>
      <sheetName val="BS_031"/>
      <sheetName val="CF_031"/>
      <sheetName val="BS__TM1"/>
      <sheetName val="P&amp;L"/>
      <sheetName val="Parameters"/>
      <sheetName val="Controls"/>
      <sheetName val="Market_overview2"/>
      <sheetName val="P&amp;L_M_(IM)2"/>
      <sheetName val="P&amp;L_032"/>
      <sheetName val="BS_032"/>
      <sheetName val="CF_032"/>
      <sheetName val="BS__TM2"/>
      <sheetName val="Base Data"/>
      <sheetName val="Capa"/>
      <sheetName val="BRADESCO - 2ª"/>
      <sheetName val="BRADESCO - SAMPCO (2)"/>
      <sheetName val="ING US$10MM"/>
      <sheetName val="ITAÚ US$ 23MM"/>
      <sheetName val="ITAÚ"/>
      <sheetName val="OCTAGON"/>
      <sheetName val="RABOBANK US$ 20MM"/>
      <sheetName val="RABOBANK US$ 40MM"/>
      <sheetName val="SAFRA - US$10"/>
      <sheetName val="SAFRA - US$5"/>
      <sheetName val="SAFRA - US$5 (2)"/>
      <sheetName val="eco-fin"/>
      <sheetName val="conssid12-96"/>
      <sheetName val="fluxo de caixa"/>
      <sheetName val="Assump. "/>
      <sheetName val="Plan1"/>
      <sheetName val="Resumo do Consolidado"/>
      <sheetName val="Control"/>
      <sheetName val="Receitas"/>
      <sheetName val="QuQuant"/>
      <sheetName val="Waardering PCM_150503"/>
      <sheetName val="PLANILH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sheetData sheetId="51"/>
      <sheetData sheetId="52"/>
      <sheetData sheetId="53"/>
      <sheetData sheetId="54"/>
      <sheetData sheetId="55"/>
      <sheetData sheetId="56"/>
      <sheetData sheetId="57"/>
      <sheetData sheetId="58"/>
      <sheetData sheetId="59"/>
      <sheetData sheetId="60"/>
      <sheetData sheetId="61" refreshError="1"/>
      <sheetData sheetId="62" refreshError="1"/>
      <sheetData sheetId="63" refreshError="1"/>
      <sheetData sheetId="64"/>
      <sheetData sheetId="65"/>
      <sheetData sheetId="66"/>
      <sheetData sheetId="67"/>
      <sheetData sheetId="68"/>
      <sheetData sheetId="69"/>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Set>
  </externalBook>
</externalLink>
</file>

<file path=xl/externalLinks/externalLink98.xml><?xml version="1.0" encoding="utf-8"?>
<externalLink xmlns="http://schemas.openxmlformats.org/spreadsheetml/2006/main">
  <externalBook xmlns:r="http://schemas.openxmlformats.org/officeDocument/2006/relationships" r:id="rId1">
    <sheetNames>
      <sheetName val="Cover"/>
      <sheetName val="Assumptions"/>
      <sheetName val="Group"/>
      <sheetName val="Central"/>
      <sheetName val="Big"/>
      <sheetName val="Med"/>
      <sheetName val="Small"/>
      <sheetName val="Start Up"/>
      <sheetName val="Note"/>
      <sheetName val="Show Detail 25-08"/>
      <sheetName val="Consumer Detail 25-08"/>
      <sheetName val="Ad spend"/>
      <sheetName val="Market Data"/>
      <sheetName val="Sheet1"/>
      <sheetName val="WACC_PCM"/>
      <sheetName val="RESGER"/>
      <sheetName val="Receita"/>
      <sheetName val="Opções"/>
      <sheetName val="Base Info"/>
      <sheetName val="Orcto"/>
      <sheetName val="Sheet2"/>
      <sheetName val="Start_Up"/>
      <sheetName val="Show_Detail_25-08"/>
      <sheetName val="Consumer_Detail_25-08"/>
      <sheetName val="Ad_spend"/>
      <sheetName val="Market_Data"/>
      <sheetName val="Base_Info"/>
      <sheetName val="Start_Up1"/>
      <sheetName val="Show_Detail_25-081"/>
      <sheetName val="Consumer_Detail_25-081"/>
      <sheetName val="Ad_spend1"/>
      <sheetName val="Market_Data1"/>
      <sheetName val="Base_Info1"/>
      <sheetName val="Inputs"/>
      <sheetName val="FluxoCaixaIndexado"/>
      <sheetName val="Company data"/>
      <sheetName val="Start_Up2"/>
      <sheetName val="Show_Detail_25-082"/>
      <sheetName val="Consumer_Detail_25-082"/>
      <sheetName val="Ad_spend2"/>
      <sheetName val="Market_Data2"/>
      <sheetName val="Base_Info2"/>
      <sheetName val="Parameters"/>
      <sheetName val="PAVIMENTAÇÃO"/>
      <sheetName val="orçamento"/>
      <sheetName val="         Title              "/>
      <sheetName val="Atual"/>
      <sheetName val="Controls"/>
      <sheetName val="Plan2"/>
      <sheetName val="Overige"/>
      <sheetName val="Dad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sheetData sheetId="23"/>
      <sheetData sheetId="24"/>
      <sheetData sheetId="25"/>
      <sheetData sheetId="26"/>
      <sheetData sheetId="27"/>
      <sheetData sheetId="28"/>
      <sheetData sheetId="29"/>
      <sheetData sheetId="30"/>
      <sheetData sheetId="31"/>
      <sheetData sheetId="32"/>
      <sheetData sheetId="33" refreshError="1"/>
      <sheetData sheetId="34" refreshError="1"/>
      <sheetData sheetId="35" refreshError="1"/>
      <sheetData sheetId="36"/>
      <sheetData sheetId="37"/>
      <sheetData sheetId="38"/>
      <sheetData sheetId="39"/>
      <sheetData sheetId="40"/>
      <sheetData sheetId="4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Set>
  </externalBook>
</externalLink>
</file>

<file path=xl/externalLinks/externalLink99.xml><?xml version="1.0" encoding="utf-8"?>
<externalLink xmlns="http://schemas.openxmlformats.org/spreadsheetml/2006/main">
  <externalBook xmlns:r="http://schemas.openxmlformats.org/officeDocument/2006/relationships" r:id="rId1">
    <sheetNames>
      <sheetName val="Predio_02_andares"/>
      <sheetName val="Cronograma"/>
      <sheetName val="Subtotais das categorias"/>
      <sheetName val="Grafico"/>
      <sheetName val="Resumo do Consolidado"/>
      <sheetName val="Orçamento Real"/>
      <sheetName val="SCO0504"/>
      <sheetName val="planilha geral modificada"/>
      <sheetName val="EMOP0108"/>
      <sheetName val="planilha_m. maneta"/>
      <sheetName val="RESUMO-GERAL-INSUMOS"/>
      <sheetName val="planilha_ipiiba"/>
      <sheetName val="Composição"/>
      <sheetName val="b-pav"/>
      <sheetName val="Dados"/>
      <sheetName val="Subtotais_das_categorias"/>
      <sheetName val="Resumo_do_Consolidado"/>
      <sheetName val="Orçamento_Real"/>
      <sheetName val="450"/>
      <sheetName val="pro-08"/>
      <sheetName val="Subtotais_das_categorias1"/>
      <sheetName val="Subtotais_das_categorias2"/>
      <sheetName val="Subtotais_das_categorias3"/>
      <sheetName val="_file____c__meus_20documentos_s"/>
      <sheetName val="Subtotais_das_categorias5"/>
      <sheetName val="Subtotais_das_categorias4"/>
      <sheetName val="Subtotais_das_categorias6"/>
      <sheetName val="Subtotais_das_categorias7"/>
      <sheetName val="Subtotais_das_categorias8"/>
      <sheetName val="Subtotais_das_categorias9"/>
      <sheetName val="Subtotais_das_categorias10"/>
      <sheetName val="Subtotais_das_categorias11"/>
      <sheetName val="12.1"/>
      <sheetName val="tabela DER julho97"/>
      <sheetName val="MENU"/>
      <sheetName val="BDI"/>
      <sheetName val="CRONO"/>
      <sheetName val="Orçamento"/>
      <sheetName val="QCI"/>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sheetData sheetId="17"/>
      <sheetData sheetId="18" refreshError="1"/>
      <sheetData sheetId="19" refreshError="1"/>
      <sheetData sheetId="20"/>
      <sheetData sheetId="21"/>
      <sheetData sheetId="22"/>
      <sheetData sheetId="23" refreshError="1"/>
      <sheetData sheetId="24"/>
      <sheetData sheetId="25"/>
      <sheetData sheetId="26"/>
      <sheetData sheetId="27"/>
      <sheetData sheetId="28"/>
      <sheetData sheetId="29"/>
      <sheetData sheetId="30"/>
      <sheetData sheetId="31"/>
      <sheetData sheetId="32" refreshError="1"/>
      <sheetData sheetId="33" refreshError="1"/>
      <sheetData sheetId="34" refreshError="1"/>
      <sheetData sheetId="35" refreshError="1"/>
      <sheetData sheetId="36" refreshError="1"/>
      <sheetData sheetId="37" refreshError="1"/>
      <sheetData sheetId="38" refreshError="1"/>
    </sheetDataSet>
  </externalBook>
</externalLink>
</file>

<file path=xl/externalLinks/externalLink100.xml><?xml version="1.0" encoding="utf-8"?>
<externalLink xmlns="http://schemas.openxmlformats.org/spreadsheetml/2006/main">
  <externalBook xmlns:r="http://schemas.openxmlformats.org/officeDocument/2006/relationships" r:id="rId1">
    <sheetNames>
      <sheetName val="qorcamentodnerL1"/>
      <sheetName val="qorcamentodnerL2"/>
    </sheetNames>
    <sheetDataSet>
      <sheetData sheetId="0"/>
      <sheetData sheetId="1" refreshError="1"/>
    </sheetDataSet>
  </externalBook>
</externalLink>
</file>

<file path=xl/externalLinks/externalLink101.xml><?xml version="1.0" encoding="utf-8"?>
<externalLink xmlns="http://schemas.openxmlformats.org/spreadsheetml/2006/main">
  <externalBook xmlns:r="http://schemas.openxmlformats.org/officeDocument/2006/relationships" r:id="rId1">
    <sheetNames>
      <sheetName val="Curva ABC (2)"/>
      <sheetName val="Capa"/>
      <sheetName val="Memorial"/>
      <sheetName val="Anotações"/>
      <sheetName val="Resumo"/>
      <sheetName val="Orçamento"/>
      <sheetName val="Planilha1"/>
      <sheetName val="Curva ABC"/>
      <sheetName val="Cronograma"/>
      <sheetName val="Composições"/>
      <sheetName val="BDI"/>
      <sheetName val="MC-Drenagem"/>
      <sheetName val="Cotação"/>
      <sheetName val="MC-Terrap."/>
      <sheetName val="DRENO PROFUNDO"/>
      <sheetName val="MC-Dem.-Rem."/>
      <sheetName val="MC-Dre-Conc."/>
      <sheetName val="MC-Dre-PEAD"/>
      <sheetName val="MC-CBUQ"/>
      <sheetName val="MC-PreMoldado"/>
      <sheetName val="MC-Acessibilidade"/>
      <sheetName val="MC-Sinalização"/>
      <sheetName val="TABELA NBR"/>
      <sheetName val="Planilha2"/>
      <sheetName val="Procura_CPU"/>
      <sheetName val="Imagens"/>
      <sheetName val="Banco_Servico"/>
      <sheetName val="Banco_Insumo"/>
      <sheetName val="Curva_Servico"/>
      <sheetName val="Curva_Insum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02.xml><?xml version="1.0" encoding="utf-8"?>
<externalLink xmlns="http://schemas.openxmlformats.org/spreadsheetml/2006/main">
  <externalBook xmlns:r="http://schemas.openxmlformats.org/officeDocument/2006/relationships" r:id="rId1">
    <sheetNames>
      <sheetName val="import"/>
      <sheetName val="01IMPORT"/>
    </sheetNames>
    <definedNames>
      <definedName name="BANCO_1_INSUMO" refersTo="=#REF!"/>
      <definedName name="BANCO_1_SERVICO" refersTo="=#REF!"/>
      <definedName name="BANCO_10_SERVICO" refersTo="=#REF!"/>
      <definedName name="BANCO_2_INSUMO" refersTo="=#REF!"/>
      <definedName name="BANCO_2_SERVICO" refersTo="=#REF!"/>
      <definedName name="BANCO_3_INSUMO" refersTo="=#REF!"/>
      <definedName name="BANCO_3_SERVICO" refersTo="=#REF!"/>
      <definedName name="BANCO_4_INSUMO" refersTo="=#REF!"/>
      <definedName name="BANCO_4_SERVICO" refersTo="=#REF!"/>
      <definedName name="BANCO_5_SERVICO" refersTo="=#REF!"/>
      <definedName name="BANCO_6_SERVICO" refersTo="=#REF!"/>
      <definedName name="BANCO_7_SERVICO" refersTo="=#REF!"/>
      <definedName name="BANCO_8_SERVICO" refersTo="=#REF!"/>
      <definedName name="BANCO_9_SERVICO" refersTo="=#REF!"/>
      <definedName name="COMPOSIÇÕES" refersTo="=#REF!"/>
      <definedName name="COTACAO" refersTo="=#REF!"/>
      <definedName name="EMBASA_INSUMO" refersTo="=#REF!"/>
      <definedName name="IOPES_SERVICO" refersTo="=#REF!"/>
      <definedName name="NOME_BI_1" refersTo="=#REF!"/>
      <definedName name="NOME_BI_2" refersTo="=#REF!"/>
      <definedName name="NOME_BI_3" refersTo="=#REF!"/>
      <definedName name="NOME_BI_4" refersTo="=#REF!"/>
      <definedName name="NOME_BS_1" refersTo="=#REF!"/>
      <definedName name="NOME_BS_10" refersTo="=#REF!"/>
      <definedName name="NOME_BS_2" refersTo="=#REF!"/>
      <definedName name="NOME_BS_3" refersTo="=#REF!"/>
      <definedName name="NOME_BS_4" refersTo="=#REF!"/>
      <definedName name="NOME_BS_5" refersTo="=#REF!"/>
      <definedName name="NOME_BS_6" refersTo="=#REF!"/>
      <definedName name="NOME_BS_7" refersTo="=#REF!"/>
      <definedName name="NOME_BS_8" refersTo="=#REF!"/>
      <definedName name="NOME_BS_9" refersTo="=#REF!"/>
      <definedName name="PROCURA_PREÇO_COMP_SER" refersTo="=#REF!"/>
      <definedName name="SETOP_INSUMO" refersTo="=#REF!"/>
      <definedName name="SETOP_SERVICO" refersTo="=#REF!"/>
      <definedName name="SINAPI_INSUMO" refersTo="=#REF!"/>
      <definedName name="SINAPI_SERVICO" refersTo="=#REF!"/>
      <definedName name="SUDECAP_INSUMO" refersTo="=#REF!"/>
      <definedName name="SUDECAP_SERVICO" refersTo="=#REF!"/>
      <definedName name="TCPO_INSUMO" refersTo="=#REF!"/>
      <definedName name="TCPO_SERVICO" refersTo="=#REF!"/>
    </definedNames>
    <sheetDataSet>
      <sheetData sheetId="0"/>
      <sheetData sheetId="1" refreshError="1"/>
    </sheetDataSet>
  </externalBook>
</externalLink>
</file>

<file path=xl/externalLinks/externalLink103.xml><?xml version="1.0" encoding="utf-8"?>
<externalLink xmlns="http://schemas.openxmlformats.org/spreadsheetml/2006/main">
  <externalBook xmlns:r="http://schemas.openxmlformats.org/officeDocument/2006/relationships" r:id="rId1">
    <sheetNames>
      <sheetName val="RESUMO"/>
      <sheetName val="Planilha1"/>
      <sheetName val="ORÇAMENTO"/>
      <sheetName val="1- ADM DA OBRA E CANTEIRO"/>
      <sheetName val="2- SOLO GRAMPEADO"/>
      <sheetName val="RESUMO DE AÇO"/>
      <sheetName val="RESUMO VIGAS"/>
      <sheetName val="PARETO COM CURVA ABC"/>
      <sheetName val="CRONOGRAMA FIS. E FIN."/>
      <sheetName val="COMPOSIÇÕES DIVERSAS "/>
      <sheetName val="APURAÇÃO DO REAJUSTE"/>
      <sheetName val="COMPOSIÇÃO DO BDI (2)"/>
      <sheetName val="COMPOSIÇÃO - ADMINISTRAÇÃO"/>
      <sheetName val="MAPA DE COTAÇÃO"/>
      <sheetName val="ITENS DE ELÉTRICAS REAJUSTADOS"/>
      <sheetName val="PARETO INSTALAÇÕES ELÉTRICAS"/>
      <sheetName val="LISTA DE FORNECEDORES"/>
      <sheetName val="SINAPI- NÃO DESONERADO-COM 20%"/>
      <sheetName val="SINAPI-DESONERADO-SEM 20%"/>
      <sheetName val="SINAP - INSUMO NÃO DESONERADO"/>
      <sheetName val="SINAPI - INSUMO - DESONERADO"/>
      <sheetName val="OUTROS BANCO DE PREÇOS"/>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sheetData sheetId="10" refreshError="1"/>
      <sheetData sheetId="11" refreshError="1"/>
      <sheetData sheetId="12"/>
      <sheetData sheetId="13"/>
      <sheetData sheetId="14" refreshError="1"/>
      <sheetData sheetId="15" refreshError="1"/>
      <sheetData sheetId="16" refreshError="1"/>
      <sheetData sheetId="17"/>
      <sheetData sheetId="18" refreshError="1"/>
      <sheetData sheetId="19"/>
      <sheetData sheetId="20" refreshError="1"/>
      <sheetData sheetId="21"/>
    </sheetDataSet>
  </externalBook>
</externalLink>
</file>

<file path=xl/externalLinks/externalLink104.xml><?xml version="1.0" encoding="utf-8"?>
<externalLink xmlns="http://schemas.openxmlformats.org/spreadsheetml/2006/main">
  <externalBook xmlns:r="http://schemas.openxmlformats.org/officeDocument/2006/relationships" r:id="rId1">
    <sheetNames>
      <sheetName val="Questions"/>
      <sheetName val="Cover"/>
      <sheetName val="Cap"/>
      <sheetName val="LBO"/>
      <sheetName val="Proj"/>
      <sheetName val="JV"/>
      <sheetName val="Mins"/>
      <sheetName val="Inputs"/>
      <sheetName val="Depreciation"/>
      <sheetName val="Paper prices"/>
      <sheetName val="IFRS"/>
      <sheetName val="LT Data"/>
      <sheetName val="Ad YoY Trend"/>
      <sheetName val="Assumptions"/>
      <sheetName val="Receita"/>
      <sheetName val="WACC_PCM"/>
      <sheetName val="Plan2"/>
      <sheetName val="Oper"/>
      <sheetName val="Paper_prices"/>
      <sheetName val="LT_Data"/>
      <sheetName val="Ad_YoY_Trend"/>
      <sheetName val="Paper_prices1"/>
      <sheetName val="LT_Data1"/>
      <sheetName val="Ad_YoY_Trend1"/>
      <sheetName val="Orcto"/>
      <sheetName val="Sheet2"/>
      <sheetName val="Karibu v5"/>
      <sheetName val="Paper_prices2"/>
      <sheetName val="LT_Data2"/>
      <sheetName val="Ad_YoY_Trend2"/>
      <sheetName val="FluxoCaixaIndexado"/>
      <sheetName val="planilha_3 linha "/>
      <sheetName val="planilha_colubande"/>
      <sheetName val="Predio_02_andares"/>
      <sheetName val="         Title              "/>
      <sheetName val="base_folha"/>
      <sheetName val="Control Panel"/>
      <sheetName val="RetrieveParameters"/>
      <sheetName val="Names"/>
      <sheetName val="P&amp;L"/>
      <sheetName val="Resultad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sheetData sheetId="20"/>
      <sheetData sheetId="21"/>
      <sheetData sheetId="22"/>
      <sheetData sheetId="23"/>
      <sheetData sheetId="24" refreshError="1"/>
      <sheetData sheetId="25" refreshError="1"/>
      <sheetData sheetId="26" refreshError="1"/>
      <sheetData sheetId="27"/>
      <sheetData sheetId="28"/>
      <sheetData sheetId="29"/>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105.xml><?xml version="1.0" encoding="utf-8"?>
<externalLink xmlns="http://schemas.openxmlformats.org/spreadsheetml/2006/main">
  <externalBook xmlns:r="http://schemas.openxmlformats.org/officeDocument/2006/relationships" r:id="rId1">
    <sheetNames>
      <sheetName val="Ctrl"/>
      <sheetName val="TS"/>
      <sheetName val="Covenants"/>
      <sheetName val="Consol BS"/>
      <sheetName val="Consol CF"/>
      <sheetName val="Consol P&amp;L"/>
      <sheetName val="Debt"/>
      <sheetName val="Wegener"/>
      <sheetName val="Tax"/>
      <sheetName val="Minority"/>
      <sheetName val="Group"/>
      <sheetName val="Exit"/>
      <sheetName val="Eliminations"/>
      <sheetName val="ESM pres."/>
      <sheetName val="Pres.2"/>
      <sheetName val="Skim"/>
      <sheetName val="Risk Rater"/>
      <sheetName val="Div2"/>
      <sheetName val="Div3"/>
      <sheetName val="Div4"/>
      <sheetName val="Div5"/>
      <sheetName val="Div6"/>
      <sheetName val="Div7"/>
      <sheetName val="Cover"/>
      <sheetName val="RP-101.2.1."/>
      <sheetName val="RP_101_2_1_"/>
      <sheetName val="SUBCONTRATOS"/>
      <sheetName val="Assumptions"/>
      <sheetName val="Overige"/>
      <sheetName val="Summary_T"/>
      <sheetName val="Consol_BS"/>
      <sheetName val="Consol_CF"/>
      <sheetName val="Consol_P&amp;L"/>
      <sheetName val="ESM_pres_"/>
      <sheetName val="Pres_2"/>
      <sheetName val="Risk_Rater"/>
      <sheetName val="RP-101_2_1_"/>
      <sheetName val="Consol_BS1"/>
      <sheetName val="Consol_CF1"/>
      <sheetName val="Consol_P&amp;L1"/>
      <sheetName val="ESM_pres_1"/>
      <sheetName val="Pres_21"/>
      <sheetName val="Risk_Rater1"/>
      <sheetName val="RP-101_2_1_1"/>
      <sheetName val="Plan2"/>
      <sheetName val="Oper"/>
      <sheetName val="RealOut02"/>
      <sheetName val="Consol_BS2"/>
      <sheetName val="Consol_CF2"/>
      <sheetName val="Consol_P&amp;L2"/>
      <sheetName val="ESM_pres_2"/>
      <sheetName val="Pres_22"/>
      <sheetName val="Risk_Rater2"/>
      <sheetName val="RP-101_2_1_2"/>
      <sheetName val="Sheet2"/>
      <sheetName val="planilha_colubande"/>
      <sheetName val="Dados"/>
      <sheetName val="FCF"/>
      <sheetName val="Inputs"/>
      <sheetName val="P&amp;L"/>
      <sheetName val="BS"/>
      <sheetName val="quadro ii "/>
      <sheetName val="parameters"/>
      <sheetName val="Wegener Nov 05 LBOv5 new"/>
      <sheetName val="RetrieveParameters"/>
      <sheetName val="Names"/>
      <sheetName val="Base data"/>
      <sheetName val="planilha_3 linha "/>
      <sheetName val="Resumo"/>
      <sheetName val="Assump.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refreshError="1"/>
      <sheetData sheetId="45" refreshError="1"/>
      <sheetData sheetId="46" refreshError="1"/>
      <sheetData sheetId="47"/>
      <sheetData sheetId="48"/>
      <sheetData sheetId="49"/>
      <sheetData sheetId="50"/>
      <sheetData sheetId="51"/>
      <sheetData sheetId="52"/>
      <sheetData sheetId="53"/>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Set>
  </externalBook>
</externalLink>
</file>

<file path=xl/externalLinks/externalLink106.xml><?xml version="1.0" encoding="utf-8"?>
<externalLink xmlns="http://schemas.openxmlformats.org/spreadsheetml/2006/main">
  <externalBook xmlns:r="http://schemas.openxmlformats.org/officeDocument/2006/relationships" r:id="rId1">
    <sheetNames>
      <sheetName val="Index"/>
      <sheetName val="2.1"/>
      <sheetName val="3.10"/>
      <sheetName val="3.11"/>
      <sheetName val="3.12"/>
      <sheetName val="3.20"/>
      <sheetName val="3.25"/>
      <sheetName val="3.3"/>
      <sheetName val="3.7"/>
      <sheetName val="3.85"/>
      <sheetName val="3.9"/>
      <sheetName val="4.2"/>
      <sheetName val="1. Instellingen"/>
      <sheetName val="Controllers"/>
      <sheetName val="Ctrl"/>
      <sheetName val="SUBCONTRATOS"/>
      <sheetName val="Capa"/>
      <sheetName val="Cenarios"/>
      <sheetName val="2_1"/>
      <sheetName val="3_10"/>
      <sheetName val="3_11"/>
      <sheetName val="3_12"/>
      <sheetName val="3_20"/>
      <sheetName val="3_25"/>
      <sheetName val="3_3"/>
      <sheetName val="3_7"/>
      <sheetName val="3_85"/>
      <sheetName val="3_9"/>
      <sheetName val="4_2"/>
      <sheetName val="1__Instellingen"/>
      <sheetName val="2_11"/>
      <sheetName val="3_101"/>
      <sheetName val="3_111"/>
      <sheetName val="3_121"/>
      <sheetName val="3_201"/>
      <sheetName val="3_251"/>
      <sheetName val="3_31"/>
      <sheetName val="3_71"/>
      <sheetName val="3_851"/>
      <sheetName val="3_91"/>
      <sheetName val="4_21"/>
      <sheetName val="1__Instellingen1"/>
      <sheetName val="Overige"/>
      <sheetName val="Summary_T"/>
      <sheetName val="BDG"/>
      <sheetName val="ConsRot"/>
      <sheetName val="Orc"/>
      <sheetName val="2_12"/>
      <sheetName val="3_102"/>
      <sheetName val="3_112"/>
      <sheetName val="3_122"/>
      <sheetName val="3_202"/>
      <sheetName val="3_252"/>
      <sheetName val="3_32"/>
      <sheetName val="3_72"/>
      <sheetName val="3_852"/>
      <sheetName val="3_92"/>
      <sheetName val="4_22"/>
      <sheetName val="1__Instellingen2"/>
      <sheetName val="Oper"/>
      <sheetName val="PlanilhaFinal"/>
      <sheetName val="Resumo"/>
      <sheetName val="Premissas"/>
      <sheetName val="Cargo CC Set"/>
      <sheetName val="Controls"/>
      <sheetName val="Resp"/>
      <sheetName val="REqpt03"/>
      <sheetName val="Orcto"/>
      <sheetName val="RealOut02"/>
      <sheetName val="BU TV &amp; Ancillary"/>
      <sheetName val="planilha geral modificada"/>
      <sheetName val="Bijlage 1Halfjaarbericht"/>
      <sheetName val="Analise de Risco"/>
      <sheetName val="RESGER"/>
      <sheetName val="QuQuant"/>
      <sheetName val="alphaville"/>
      <sheetName val="Dados"/>
      <sheetName val="Assump. "/>
      <sheetName val="bradesco - 2ª"/>
      <sheetName val="bradesco - sampco (2)"/>
      <sheetName val="ing us$10mm"/>
      <sheetName val="itaú us$ 23mm"/>
      <sheetName val="itaú"/>
      <sheetName val="octagon"/>
      <sheetName val="rabobank us$ 20mm"/>
      <sheetName val="rabobank us$ 40mm"/>
      <sheetName val="safra - us$10"/>
      <sheetName val="safra - us$5"/>
      <sheetName val="safra - us$5 (2)"/>
      <sheetName val="DI4"/>
      <sheetName val="RetrieveParameters"/>
      <sheetName val="Names"/>
      <sheetName val="anterior"/>
      <sheetName val="forecast"/>
      <sheetName val="orçamento"/>
      <sheetName val="atual"/>
      <sheetName val="FCF"/>
      <sheetName val="Inpu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efreshError="1"/>
      <sheetData sheetId="15" refreshError="1"/>
      <sheetData sheetId="16" refreshError="1"/>
      <sheetData sheetId="17" refreshError="1"/>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 sheetId="43" refreshError="1"/>
      <sheetData sheetId="44" refreshError="1"/>
      <sheetData sheetId="45" refreshError="1"/>
      <sheetData sheetId="46" refreshError="1"/>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sheetData sheetId="77"/>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Set>
  </externalBook>
</externalLink>
</file>

<file path=xl/externalLinks/externalLink107.xml><?xml version="1.0" encoding="utf-8"?>
<externalLink xmlns="http://schemas.openxmlformats.org/spreadsheetml/2006/main">
  <externalBook xmlns:r="http://schemas.openxmlformats.org/officeDocument/2006/relationships" r:id="rId1">
    <sheetNames>
      <sheetName val="Qtde"/>
      <sheetName val="QTDE PESSOAL"/>
      <sheetName val="Valor"/>
      <sheetName val="confer Tav"/>
      <sheetName val="PJ"/>
      <sheetName val="Plan1"/>
      <sheetName val="2013"/>
      <sheetName val="2014"/>
      <sheetName val="2015"/>
      <sheetName val="2016 e 2017"/>
      <sheetName val="áreas"/>
      <sheetName val="áreas (2)"/>
      <sheetName val="Consolidado"/>
      <sheetName val="Cons PRES"/>
      <sheetName val="Pres"/>
      <sheetName val="Com"/>
      <sheetName val="JUR"/>
      <sheetName val="OUV"/>
      <sheetName val="ATSOCIAL"/>
      <sheetName val="DIREXEC"/>
      <sheetName val="ConsADM"/>
      <sheetName val="DIRAM"/>
      <sheetName val="GADM"/>
      <sheetName val="CONTROL"/>
      <sheetName val="AEGEA"/>
      <sheetName val="RH"/>
      <sheetName val="FIN"/>
      <sheetName val="ADM"/>
      <sheetName val="TI"/>
      <sheetName val="Cons Eng"/>
      <sheetName val="ENG"/>
      <sheetName val="QUAL"/>
      <sheetName val="CSR"/>
      <sheetName val="CONS COML"/>
      <sheetName val="GCOM"/>
      <sheetName val="ADMCOM"/>
      <sheetName val="JUIZ"/>
      <sheetName val="ATCLIN"/>
      <sheetName val="CALLC"/>
      <sheetName val="FAT"/>
      <sheetName val="COBR"/>
      <sheetName val="CADAS"/>
      <sheetName val="SETOR"/>
      <sheetName val="VIA"/>
      <sheetName val="VEN"/>
      <sheetName val="LEIT"/>
      <sheetName val="HID"/>
      <sheetName val="Cons OPE"/>
      <sheetName val="GOP"/>
      <sheetName val="ELET"/>
      <sheetName val="MANUT"/>
      <sheetName val="CCO"/>
      <sheetName val="ENERGIA"/>
      <sheetName val="PERDAS"/>
      <sheetName val="MELH"/>
      <sheetName val="ETAS"/>
      <sheetName val="PH"/>
      <sheetName val="LAG"/>
      <sheetName val="ESG"/>
      <sheetName val="LES"/>
      <sheetName val="1. Instellingen"/>
      <sheetName val="BACKUP PLAN ORÇAMENTO"/>
      <sheetName val="Ctrl"/>
      <sheetName val="orçamento"/>
      <sheetName val="CAPEX CUSTO"/>
      <sheetName val="O x R"/>
      <sheetName val="QTDE_PESSOAL"/>
      <sheetName val="confer_Tav"/>
      <sheetName val="2016_e_2017"/>
      <sheetName val="áreas_(2)"/>
      <sheetName val="Cons_PRES"/>
      <sheetName val="Cons_Eng"/>
      <sheetName val="CONS_COML"/>
      <sheetName val="Cons_OPE"/>
      <sheetName val="1__Instellingen"/>
      <sheetName val="BACKUP_PLAN_ORÇAMENTO"/>
      <sheetName val="QTDE_PESSOAL1"/>
      <sheetName val="confer_Tav1"/>
      <sheetName val="2016_e_20171"/>
      <sheetName val="áreas_(2)1"/>
      <sheetName val="Cons_PRES1"/>
      <sheetName val="Cons_Eng1"/>
      <sheetName val="CONS_COML1"/>
      <sheetName val="Cons_OPE1"/>
      <sheetName val="1__Instellingen1"/>
      <sheetName val="BACKUP_PLAN_ORÇAMENTO1"/>
      <sheetName val="Capa"/>
      <sheetName val="Cenarios"/>
      <sheetName val="Assump. "/>
      <sheetName val="QTDE_PESSOAL2"/>
      <sheetName val="confer_Tav2"/>
      <sheetName val="2016_e_20172"/>
      <sheetName val="áreas_(2)2"/>
      <sheetName val="Cons_PRES2"/>
      <sheetName val="Cons_Eng2"/>
      <sheetName val="CONS_COML2"/>
      <sheetName val="Cons_OPE2"/>
      <sheetName val="1__Instellingen2"/>
      <sheetName val="BACKUP_PLAN_ORÇAMENTO2"/>
      <sheetName val="Summary_T"/>
      <sheetName val="Composição"/>
      <sheetName val="Analise de Risco"/>
      <sheetName val="REqpt03"/>
      <sheetName val="AbertInvest"/>
      <sheetName val="Orcto"/>
      <sheetName val="conssid12-96"/>
      <sheetName val="DADOS"/>
      <sheetName val="CPV"/>
      <sheetName val="Planejado"/>
      <sheetName val="Company data"/>
      <sheetName val="Cover"/>
      <sheetName val="Constants"/>
      <sheetName val="POP cost"/>
      <sheetName val="PlanilhaFinal"/>
      <sheetName val="Plan2"/>
      <sheetName val="planilha_3 linha "/>
      <sheetName val="Assumptions"/>
      <sheetName val="Parâmetros"/>
      <sheetName val="ResumoDeCusto"/>
      <sheetName val="Custo e Venda"/>
      <sheetName val="Salmod"/>
      <sheetName val="12-2007 - BACAXA"/>
      <sheetName val="RESGER"/>
      <sheetName val="Teor"/>
      <sheetName val="Equipamentos"/>
      <sheetName val="anterior"/>
      <sheetName val="atual"/>
      <sheetName val="Oper"/>
      <sheetName val="Controls"/>
      <sheetName val="Summa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refreshError="1"/>
      <sheetData sheetId="87" refreshError="1"/>
      <sheetData sheetId="88" refreshError="1"/>
      <sheetData sheetId="89"/>
      <sheetData sheetId="90"/>
      <sheetData sheetId="91"/>
      <sheetData sheetId="92"/>
      <sheetData sheetId="93"/>
      <sheetData sheetId="94"/>
      <sheetData sheetId="95"/>
      <sheetData sheetId="96"/>
      <sheetData sheetId="97"/>
      <sheetData sheetId="98"/>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sheetData sheetId="118"/>
      <sheetData sheetId="119"/>
      <sheetData sheetId="120"/>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Set>
  </externalBook>
</externalLink>
</file>

<file path=xl/externalLinks/externalLink108.xml><?xml version="1.0" encoding="utf-8"?>
<externalLink xmlns="http://schemas.openxmlformats.org/spreadsheetml/2006/main">
  <externalBook xmlns:r="http://schemas.openxmlformats.org/officeDocument/2006/relationships" r:id="rId1">
    <sheetNames>
      <sheetName val="Title"/>
      <sheetName val="Dialog1"/>
      <sheetName val="Dialog5"/>
      <sheetName val="Financial statements"/>
      <sheetName val="Growth assumptions"/>
      <sheetName val="Standard driver"/>
      <sheetName val="Standard page"/>
      <sheetName val="Dialog2"/>
      <sheetName val="Graphs"/>
      <sheetName val="Assumptions and valuation"/>
      <sheetName val="Valuation"/>
      <sheetName val="EVA"/>
      <sheetName val="Guidance notes"/>
      <sheetName val="Module1"/>
      <sheetName val="Dealstructure"/>
      <sheetName val="Newco buy Opcos"/>
      <sheetName val="Detailed list"/>
      <sheetName val="         Title              "/>
      <sheetName val="Opções"/>
      <sheetName val="2013"/>
      <sheetName val="cargaPRU"/>
      <sheetName val="BACKUP PLAN ORÇAMENTO"/>
      <sheetName val="1. Instellingen"/>
      <sheetName val="orçamento"/>
      <sheetName val="Dados"/>
      <sheetName val="Imobiliz"/>
      <sheetName val="Financial_statements"/>
      <sheetName val="Growth_assumptions"/>
      <sheetName val="Standard_driver"/>
      <sheetName val="Standard_page"/>
      <sheetName val="Assumptions_and_valuation"/>
      <sheetName val="Guidance_notes"/>
      <sheetName val="Newco_buy_Opcos"/>
      <sheetName val="Detailed_list"/>
      <sheetName val="_________Title______________"/>
      <sheetName val="BACKUP_PLAN_ORÇAMENTO"/>
      <sheetName val="1__Instellingen"/>
      <sheetName val="Financial_statements1"/>
      <sheetName val="Growth_assumptions1"/>
      <sheetName val="Standard_driver1"/>
      <sheetName val="Standard_page1"/>
      <sheetName val="Assumptions_and_valuation1"/>
      <sheetName val="Guidance_notes1"/>
      <sheetName val="Newco_buy_Opcos1"/>
      <sheetName val="Detailed_list1"/>
      <sheetName val="_________Title______________1"/>
      <sheetName val="BACKUP_PLAN_ORÇAMENTO1"/>
      <sheetName val="1__Instellingen1"/>
      <sheetName val="CAPEX CUSTO"/>
      <sheetName val="O x R"/>
      <sheetName val="eco-fin"/>
      <sheetName val="conssid12-96"/>
      <sheetName val="fluxo de caixa"/>
      <sheetName val="Financial_statements2"/>
      <sheetName val="Growth_assumptions2"/>
      <sheetName val="Standard_driver2"/>
      <sheetName val="Standard_page2"/>
      <sheetName val="Assumptions_and_valuation2"/>
      <sheetName val="Guidance_notes2"/>
      <sheetName val="Newco_buy_Opcos2"/>
      <sheetName val="Detailed_list2"/>
      <sheetName val="_________Title______________2"/>
      <sheetName val="BACKUP_PLAN_ORÇAMENTO2"/>
      <sheetName val="1__Instellingen2"/>
      <sheetName val="Cenarios"/>
      <sheetName val="Resultado"/>
      <sheetName val="FCF"/>
      <sheetName val="Input"/>
      <sheetName val="AbertInvest"/>
      <sheetName val="Company data"/>
      <sheetName val="Cover"/>
      <sheetName val="BDG"/>
      <sheetName val="ConsRot"/>
      <sheetName val="Orc"/>
      <sheetName val="Summary_T"/>
      <sheetName val="Composição"/>
      <sheetName val="TOTALIZADOR"/>
      <sheetName val="Overige"/>
      <sheetName val="DI4"/>
      <sheetName val="Salário de Mão de Obra"/>
      <sheetName val="Teor"/>
      <sheetName val="Equipamentos"/>
      <sheetName val="alphaville"/>
      <sheetName val="Resp"/>
      <sheetName val="DCF model - ingevuld"/>
      <sheetName val="REqpt03"/>
      <sheetName val="Orct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efreshError="1"/>
      <sheetData sheetId="49" refreshError="1"/>
      <sheetData sheetId="50" refreshError="1"/>
      <sheetData sheetId="51" refreshError="1"/>
      <sheetData sheetId="52" refreshError="1"/>
      <sheetData sheetId="53"/>
      <sheetData sheetId="54"/>
      <sheetData sheetId="55"/>
      <sheetData sheetId="56"/>
      <sheetData sheetId="57"/>
      <sheetData sheetId="58"/>
      <sheetData sheetId="59"/>
      <sheetData sheetId="60"/>
      <sheetData sheetId="61"/>
      <sheetData sheetId="62"/>
      <sheetData sheetId="63"/>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Set>
  </externalBook>
</externalLink>
</file>

<file path=xl/externalLinks/externalLink109.xml><?xml version="1.0" encoding="utf-8"?>
<externalLink xmlns="http://schemas.openxmlformats.org/spreadsheetml/2006/main">
  <externalBook xmlns:r="http://schemas.openxmlformats.org/officeDocument/2006/relationships" r:id="rId1">
    <sheetNames>
      <sheetName val="CAPA"/>
      <sheetName val="Premissas"/>
      <sheetName val="Premissas Obras"/>
      <sheetName val="Pessoal"/>
      <sheetName val="FluxoCaixa"/>
      <sheetName val="Patrimonial"/>
      <sheetName val="Resultado"/>
      <sheetName val="Receitas"/>
      <sheetName val="OutrasReceitas"/>
      <sheetName val="Custos"/>
      <sheetName val="Desp"/>
      <sheetName val="Eqpt"/>
      <sheetName val="Obras"/>
      <sheetName val="GEPROJ"/>
      <sheetName val="RP-101.2.1."/>
      <sheetName val="Title"/>
      <sheetName val="cargaPRU"/>
      <sheetName val="Orça_Acessos"/>
      <sheetName val="orçamento"/>
      <sheetName val="P&amp;L consolidated"/>
      <sheetName val="Premissas_Obras"/>
      <sheetName val="RP-101_2_1_"/>
      <sheetName val="Premissas_Obras1"/>
      <sheetName val="RP-101_2_1_1"/>
      <sheetName val="LD-PS-PMC-RMA"/>
      <sheetName val="         Title              "/>
      <sheetName val="Premissas_Obras2"/>
      <sheetName val="RP-101_2_1_2"/>
      <sheetName val="CAPEX CUSTO"/>
      <sheetName val="O x R"/>
      <sheetName val="RE-RA REGRA DE 3"/>
      <sheetName val="Tabela"/>
      <sheetName val="REqpt03"/>
      <sheetName val="Orcto"/>
      <sheetName val="Orcto2003NL"/>
      <sheetName val="Assump. "/>
      <sheetName val="Cenarios"/>
      <sheetName val="RealOut02"/>
      <sheetName val="Controls"/>
      <sheetName val="Dados"/>
      <sheetName val="EMOP0108"/>
      <sheetName val="FICBIOM"/>
      <sheetName val="Sheet2"/>
      <sheetName val="Base data"/>
      <sheetName val="parameters"/>
      <sheetName val="base_folha"/>
      <sheetName val="1.P&amp;L"/>
      <sheetName val="Buy Out Overview"/>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sheetData sheetId="22"/>
      <sheetData sheetId="23"/>
      <sheetData sheetId="24" refreshError="1"/>
      <sheetData sheetId="25" refreshError="1"/>
      <sheetData sheetId="26"/>
      <sheetData sheetId="27"/>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Set>
  </externalBook>
</externalLink>
</file>

<file path=xl/externalLinks/externalLink110.xml><?xml version="1.0" encoding="utf-8"?>
<externalLink xmlns="http://schemas.openxmlformats.org/spreadsheetml/2006/main">
  <externalBook xmlns:r="http://schemas.openxmlformats.org/officeDocument/2006/relationships" r:id="rId1">
    <sheetNames>
      <sheetName val="ÍNDICE"/>
      <sheetName val="CENARIO (1)"/>
      <sheetName val="OPER SEMANA - EMP (2)"/>
      <sheetName val="ENDIV LIQ (3)"/>
      <sheetName val="FLUXO  DIÁRIO"/>
      <sheetName val="FLUXO DE CAIXA SEMANAL"/>
      <sheetName val="FUNDING RESUMO"/>
      <sheetName val="EXPOSIÇÃO (6)"/>
      <sheetName val="EXPORTAÇÃO X COMPROMISSOS (7)"/>
      <sheetName val="DERIVATIVOS (8)"/>
      <sheetName val="DERIVATIVOS - GRÁFICOS"/>
      <sheetName val="DERIVATIVOS ( 8-1 )"/>
      <sheetName val="DERIVATIVOS (8-2)"/>
      <sheetName val="REL. BANCARIO (9)"/>
      <sheetName val="EVOLUÇÃO ENDIV. (10)"/>
      <sheetName val="DISPONIBILIDADE APLICAÇÕES (12)"/>
      <sheetName val="ENDIVID. BANCARIO"/>
      <sheetName val="CONTRATOS (2)"/>
      <sheetName val="RESUMO (2)"/>
      <sheetName val="Receitas"/>
      <sheetName val="Assumptions"/>
      <sheetName val="Title"/>
      <sheetName val="orçamento"/>
      <sheetName val="Orça_Acessos"/>
      <sheetName val="PEM"/>
      <sheetName val="Opções"/>
      <sheetName val="cargaPRU"/>
      <sheetName val="CENARIO_(1)"/>
      <sheetName val="OPER_SEMANA_-_EMP_(2)"/>
      <sheetName val="ENDIV_LIQ_(3)"/>
      <sheetName val="FLUXO__DIÁRIO"/>
      <sheetName val="FLUXO_DE_CAIXA_SEMANAL"/>
      <sheetName val="FUNDING_RESUMO"/>
      <sheetName val="EXPOSIÇÃO_(6)"/>
      <sheetName val="EXPORTAÇÃO_X_COMPROMISSOS_(7)"/>
      <sheetName val="DERIVATIVOS_(8)"/>
      <sheetName val="DERIVATIVOS_-_GRÁFICOS"/>
      <sheetName val="DERIVATIVOS_(_8-1_)"/>
      <sheetName val="DERIVATIVOS_(8-2)"/>
      <sheetName val="REL__BANCARIO_(9)"/>
      <sheetName val="EVOLUÇÃO_ENDIV__(10)"/>
      <sheetName val="DISPONIBILIDADE_APLICAÇÕES_(12)"/>
      <sheetName val="ENDIVID__BANCARIO"/>
      <sheetName val="CONTRATOS_(2)"/>
      <sheetName val="RESUMO_(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1.xml><?xml version="1.0" encoding="utf-8"?>
<externalLink xmlns="http://schemas.openxmlformats.org/spreadsheetml/2006/main">
  <externalBook xmlns:r="http://schemas.openxmlformats.org/officeDocument/2006/relationships" r:id="rId1">
    <sheetNames>
      <sheetName val="FLUXO  DIÁRIO"/>
      <sheetName val="Relat. Diretoria"/>
      <sheetName val="fluxo de caixa"/>
      <sheetName val="Receitas"/>
      <sheetName val="Capa"/>
      <sheetName val="orçamento"/>
      <sheetName val="Control"/>
      <sheetName val="Title"/>
      <sheetName val="FLUXO__DIÁRIO"/>
      <sheetName val="Relat__Diretoria"/>
      <sheetName val="fluxo_de_caixa"/>
      <sheetName val="FLUXO__DIÁRIO1"/>
      <sheetName val="Relat__Diretoria1"/>
      <sheetName val="fluxo_de_caixa1"/>
      <sheetName val="P&amp;L consolidated"/>
      <sheetName val="         Title              "/>
      <sheetName val="FLUXO__DIÁRIO2"/>
      <sheetName val="Relat__Diretoria2"/>
      <sheetName val="fluxo_de_caixa2"/>
      <sheetName val="Dados"/>
      <sheetName val="Imobiliz"/>
      <sheetName val="Resp"/>
      <sheetName val="1.P&amp;L"/>
      <sheetName val="Buy Out Overview"/>
      <sheetName val="FICBIOM"/>
      <sheetName val="Assump. "/>
      <sheetName val="eco-fin"/>
      <sheetName val="conssid12-96"/>
      <sheetName val="BDG"/>
      <sheetName val="ConsRot"/>
      <sheetName val="Orc"/>
      <sheetName val="Control Panel"/>
      <sheetName val="Cover"/>
      <sheetName val="Controls"/>
      <sheetName val="Summary"/>
      <sheetName val="Plan1"/>
      <sheetName val="Oper"/>
      <sheetName val="Orcto"/>
      <sheetName val="DCF Assumptions"/>
      <sheetName val="PV Calcs"/>
      <sheetName val="Base Data"/>
      <sheetName val="RealOut0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112.xml><?xml version="1.0" encoding="utf-8"?>
<externalLink xmlns="http://schemas.openxmlformats.org/spreadsheetml/2006/main">
  <externalBook xmlns:r="http://schemas.openxmlformats.org/officeDocument/2006/relationships" r:id="rId1">
    <sheetNames>
      <sheetName val="Capa"/>
      <sheetName val="QD5B"/>
      <sheetName val="Depreciação"/>
      <sheetName val="Orcto"/>
      <sheetName val="Ctrl"/>
      <sheetName val="relac.parceria "/>
      <sheetName val=".parceria(Fazenda)"/>
      <sheetName val="FLUXO  DIÁRIO"/>
      <sheetName val="Relat. Diretoria"/>
      <sheetName val="Assumptions"/>
      <sheetName val="Plan2"/>
      <sheetName val="relac_parceria_"/>
      <sheetName val="_parceria(Fazenda)"/>
      <sheetName val="FLUXO__DIÁRIO"/>
      <sheetName val="Relat__Diretoria"/>
      <sheetName val="relac_parceria_1"/>
      <sheetName val="_parceria(Fazenda)1"/>
      <sheetName val="FLUXO__DIÁRIO1"/>
      <sheetName val="Relat__Diretoria1"/>
      <sheetName val="Sheet2"/>
      <sheetName val="relac_parceria_2"/>
      <sheetName val="_parceria(Fazenda)2"/>
      <sheetName val="FLUXO__DIÁRIO2"/>
      <sheetName val="Relat__Diretoria2"/>
      <sheetName val="P&amp;L"/>
      <sheetName val="Resumo"/>
      <sheetName val="Receitas"/>
      <sheetName val="Oper"/>
      <sheetName val="Base data"/>
      <sheetName val="RealOut02"/>
      <sheetName val="WACC_PCM"/>
      <sheetName val="FCF"/>
      <sheetName val="Inputs"/>
      <sheetName val="BS"/>
      <sheetName val="Control"/>
      <sheetName val="REqpt03"/>
      <sheetName val="Cover"/>
      <sheetName val="Financ09"/>
      <sheetName val="orçamento"/>
      <sheetName val="BU TV &amp; Ancillary"/>
      <sheetName val="quadro ii "/>
      <sheetName val="Summary_T"/>
      <sheetName val="         Title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sheetData sheetId="14"/>
      <sheetData sheetId="15"/>
      <sheetData sheetId="16"/>
      <sheetData sheetId="17"/>
      <sheetData sheetId="18"/>
      <sheetData sheetId="19" refreshError="1"/>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113.xml><?xml version="1.0" encoding="utf-8"?>
<externalLink xmlns="http://schemas.openxmlformats.org/spreadsheetml/2006/main">
  <externalBook xmlns:r="http://schemas.openxmlformats.org/officeDocument/2006/relationships" r:id="rId1">
    <sheetNames>
      <sheetName val="Title"/>
      <sheetName val="Output"/>
      <sheetName val="Input"/>
      <sheetName val="P&amp;L "/>
      <sheetName val="P&amp;L assumptions"/>
      <sheetName val="BS"/>
      <sheetName val="BSassumptions"/>
      <sheetName val="FCF"/>
      <sheetName val="Title (2)"/>
      <sheetName val="LBO"/>
      <sheetName val="Post1"/>
      <sheetName val="Post2"/>
      <sheetName val="Debt"/>
      <sheetName val="DO NOT PRINT"/>
      <sheetName val="wacc"/>
      <sheetName val="Capa"/>
      <sheetName val="fluxo de caixa"/>
      <sheetName val="Relat. Diretoria"/>
      <sheetName val="cálculo"/>
      <sheetName val="RELATA VÉIO"/>
      <sheetName val="relac.parceria "/>
      <sheetName val=".parceria(Fazenda)"/>
      <sheetName val="orçamento"/>
      <sheetName val="Dados"/>
      <sheetName val="P&amp;L_"/>
      <sheetName val="P&amp;L_assumptions"/>
      <sheetName val="Title_(2)"/>
      <sheetName val="DO_NOT_PRINT"/>
      <sheetName val="fluxo_de_caixa"/>
      <sheetName val="Relat__Diretoria"/>
      <sheetName val="RELATA_VÉIO"/>
      <sheetName val="relac_parceria_"/>
      <sheetName val="_parceria(Fazenda)"/>
      <sheetName val="P&amp;L_1"/>
      <sheetName val="P&amp;L_assumptions1"/>
      <sheetName val="Title_(2)1"/>
      <sheetName val="DO_NOT_PRINT1"/>
      <sheetName val="fluxo_de_caixa1"/>
      <sheetName val="Relat__Diretoria1"/>
      <sheetName val="RELATA_VÉIO1"/>
      <sheetName val="relac_parceria_1"/>
      <sheetName val="_parceria(Fazenda)1"/>
      <sheetName val="Control"/>
      <sheetName val="Inputs"/>
      <sheetName val="P&amp;L"/>
      <sheetName val="P&amp;L_2"/>
      <sheetName val="P&amp;L_assumptions2"/>
      <sheetName val="Title_(2)2"/>
      <sheetName val="DO_NOT_PRINT2"/>
      <sheetName val="fluxo_de_caixa2"/>
      <sheetName val="Relat__Diretoria2"/>
      <sheetName val="RELATA_VÉIO2"/>
      <sheetName val="relac_parceria_2"/>
      <sheetName val="_parceria(Fazenda)2"/>
      <sheetName val="P&amp;L consolidated"/>
      <sheetName val="2013"/>
      <sheetName val="Base Data"/>
      <sheetName val="Controls"/>
      <sheetName val="RetrieveParameters"/>
      <sheetName val="Names"/>
      <sheetName val="DCF Model_Addtek_0211 (007)"/>
      <sheetName val="eco-fin"/>
      <sheetName val="conssid12-96"/>
      <sheetName val="CAPEX CUSTO"/>
      <sheetName val="O x R"/>
      <sheetName val="Assump. "/>
      <sheetName val="parameters"/>
      <sheetName val="RE-RA REGRA DE 3"/>
      <sheetName val="Plan1"/>
      <sheetName val="Orcto"/>
      <sheetName val="anterior"/>
      <sheetName val="forecast"/>
      <sheetName val="Atual"/>
      <sheetName val="Assum"/>
      <sheetName val="BDG"/>
      <sheetName val="ConsRot"/>
      <sheetName val="Or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 sheetId="43" refreshError="1"/>
      <sheetData sheetId="44" refreshError="1"/>
      <sheetData sheetId="45"/>
      <sheetData sheetId="46"/>
      <sheetData sheetId="47"/>
      <sheetData sheetId="48"/>
      <sheetData sheetId="49"/>
      <sheetData sheetId="50"/>
      <sheetData sheetId="51"/>
      <sheetData sheetId="52"/>
      <sheetData sheetId="53"/>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Set>
  </externalBook>
</externalLink>
</file>

<file path=xl/externalLinks/externalLink114.xml><?xml version="1.0" encoding="utf-8"?>
<externalLink xmlns="http://schemas.openxmlformats.org/spreadsheetml/2006/main">
  <externalBook xmlns:r="http://schemas.openxmlformats.org/officeDocument/2006/relationships" r:id="rId1">
    <sheetNames>
      <sheetName val="PROTOCOLO - 29"/>
      <sheetName val="29ª Medição"/>
      <sheetName val="Descontos - 29"/>
      <sheetName val="CAPEX Total"/>
      <sheetName val="Razão"/>
      <sheetName val="Input"/>
      <sheetName val="orçamento"/>
      <sheetName val="Control"/>
      <sheetName val="Dados"/>
      <sheetName val="Base Data"/>
      <sheetName val="P&amp;L"/>
      <sheetName val="Plan1"/>
      <sheetName val="Controls"/>
      <sheetName val="Cenarios"/>
      <sheetName val="Capa"/>
      <sheetName val="REqpt03"/>
      <sheetName val="Orcto"/>
      <sheetName val="Opções"/>
      <sheetName val="RetrieveParameters"/>
      <sheetName val="Names"/>
      <sheetName val="FluxoCaixaIndexado"/>
      <sheetName val="eco-fin"/>
      <sheetName val="conssid12-96"/>
      <sheetName val="fluxo de caixa"/>
      <sheetName val="Assump. "/>
    </sheetNames>
    <sheetDataSet>
      <sheetData sheetId="0"/>
      <sheetData sheetId="1"/>
      <sheetData sheetId="2"/>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4.xml.rels><?xml version="1.0" encoding="UTF-8" standalone="yes"?>
<Relationships xmlns="http://schemas.openxmlformats.org/package/2006/relationships"><Relationship Id="rId4" Type="http://schemas.openxmlformats.org/officeDocument/2006/relationships/hyperlink" Target="mailto:alexandre.nisgoski@cigne.com.br" TargetMode="Externa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hyperlink" Target="https://maps.app.goo.gl/ALs93rBE5F5a2vKWA" TargetMode="Externa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4" Type="http://schemas.openxmlformats.org/officeDocument/2006/relationships/ctrlProp" Target="../ctrlProps/ctrlProp3.xml"/><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comments" Target="../comments2.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tabColor theme="0" tint="-0.149998474074526"/>
  </sheetPr>
  <dimension ref="A1:K176"/>
  <sheetViews>
    <sheetView workbookViewId="0">
      <selection activeCell="B17" sqref="B17"/>
    </sheetView>
  </sheetViews>
  <sheetFormatPr defaultColWidth="9" defaultRowHeight="12.75"/>
  <cols>
    <col min="1" max="1" width="8.88571428571429" style="856"/>
    <col min="2" max="2" width="28.2190476190476" style="857" customWidth="1"/>
    <col min="3" max="10" width="10.7809523809524" style="857" customWidth="1"/>
    <col min="11" max="11" width="13" style="856" customWidth="1"/>
    <col min="12" max="16384" width="8.88571428571429" style="857"/>
  </cols>
  <sheetData>
    <row r="1" s="851" customFormat="1" ht="25.5" spans="1:11">
      <c r="A1" s="858" t="s">
        <v>0</v>
      </c>
      <c r="B1" s="858"/>
      <c r="C1" s="858"/>
      <c r="D1" s="858"/>
      <c r="E1" s="858"/>
      <c r="F1" s="858"/>
      <c r="G1" s="858"/>
      <c r="H1" s="858"/>
      <c r="I1" s="858"/>
      <c r="J1" s="858"/>
      <c r="K1" s="858"/>
    </row>
    <row r="2" s="852" customFormat="1" ht="18" spans="1:11">
      <c r="A2" s="859" t="s">
        <v>1</v>
      </c>
      <c r="B2" s="859"/>
      <c r="C2" s="859"/>
      <c r="D2" s="859"/>
      <c r="E2" s="859"/>
      <c r="F2" s="859"/>
      <c r="G2" s="859"/>
      <c r="H2" s="859"/>
      <c r="I2" s="860"/>
      <c r="J2" s="861" t="s">
        <v>2</v>
      </c>
      <c r="K2" s="861">
        <v>1612</v>
      </c>
    </row>
    <row r="3" spans="1:11">
      <c r="A3" s="862" t="s">
        <v>3</v>
      </c>
      <c r="B3" s="863" t="s">
        <v>4</v>
      </c>
      <c r="C3" s="864" t="s">
        <v>5</v>
      </c>
      <c r="D3" s="864" t="s">
        <v>6</v>
      </c>
      <c r="E3" s="864" t="s">
        <v>7</v>
      </c>
      <c r="F3" s="864" t="s">
        <v>8</v>
      </c>
      <c r="G3" s="864" t="s">
        <v>9</v>
      </c>
      <c r="H3" s="864"/>
      <c r="I3" s="864"/>
      <c r="J3" s="864"/>
      <c r="K3" s="865" t="s">
        <v>10</v>
      </c>
    </row>
    <row r="4" ht="13.2" customHeight="1" spans="1:11">
      <c r="A4" s="866" t="s">
        <v>11</v>
      </c>
      <c r="B4" s="867"/>
      <c r="C4" s="868" t="s">
        <v>12</v>
      </c>
      <c r="D4" s="868">
        <v>46164</v>
      </c>
      <c r="E4" s="868">
        <v>46164</v>
      </c>
      <c r="F4" s="868"/>
      <c r="G4" s="868">
        <v>46112</v>
      </c>
      <c r="H4" s="868"/>
      <c r="I4" s="868"/>
      <c r="J4" s="868"/>
      <c r="K4" s="869"/>
    </row>
    <row r="5" outlineLevel="1" spans="1:11">
      <c r="A5" s="870">
        <v>1</v>
      </c>
      <c r="B5" s="871" t="s">
        <v>13</v>
      </c>
      <c r="C5" s="872">
        <v>2457.4</v>
      </c>
      <c r="D5" s="872">
        <v>1800</v>
      </c>
      <c r="E5" s="872"/>
      <c r="F5" s="872"/>
      <c r="G5" s="872"/>
      <c r="H5" s="872"/>
      <c r="I5" s="872"/>
      <c r="J5" s="872"/>
      <c r="K5" s="873"/>
    </row>
    <row r="6" outlineLevel="1" spans="1:11">
      <c r="A6" s="870">
        <v>2</v>
      </c>
      <c r="B6" s="871" t="s">
        <v>14</v>
      </c>
      <c r="C6" s="872">
        <v>1814</v>
      </c>
      <c r="D6" s="872">
        <v>1800</v>
      </c>
      <c r="E6" s="872"/>
      <c r="F6" s="872"/>
      <c r="G6" s="872">
        <v>2000</v>
      </c>
      <c r="H6" s="872"/>
      <c r="I6" s="872"/>
      <c r="J6" s="872"/>
      <c r="K6" s="873"/>
    </row>
    <row r="7" outlineLevel="1" spans="1:11">
      <c r="A7" s="870">
        <v>3</v>
      </c>
      <c r="B7" s="871" t="s">
        <v>15</v>
      </c>
      <c r="C7" s="872">
        <v>4300</v>
      </c>
      <c r="D7" s="872">
        <v>4500</v>
      </c>
      <c r="E7" s="872"/>
      <c r="F7" s="872"/>
      <c r="G7" s="872">
        <v>5000</v>
      </c>
      <c r="H7" s="872"/>
      <c r="I7" s="872"/>
      <c r="J7" s="872"/>
      <c r="K7" s="873"/>
    </row>
    <row r="8" outlineLevel="1" spans="1:11">
      <c r="A8" s="870">
        <v>4</v>
      </c>
      <c r="B8" s="871" t="s">
        <v>16</v>
      </c>
      <c r="C8" s="872">
        <v>5300</v>
      </c>
      <c r="D8" s="872">
        <v>5058.73</v>
      </c>
      <c r="E8" s="872">
        <v>5058.73</v>
      </c>
      <c r="F8" s="872"/>
      <c r="G8" s="872">
        <v>6200</v>
      </c>
      <c r="H8" s="872"/>
      <c r="I8" s="872"/>
      <c r="J8" s="872"/>
      <c r="K8" s="873"/>
    </row>
    <row r="9" outlineLevel="1" spans="1:11">
      <c r="A9" s="870">
        <v>5</v>
      </c>
      <c r="B9" s="871" t="s">
        <v>17</v>
      </c>
      <c r="C9" s="872">
        <v>2457.4</v>
      </c>
      <c r="D9" s="872">
        <v>2426.5</v>
      </c>
      <c r="E9" s="872">
        <v>2760</v>
      </c>
      <c r="F9" s="872"/>
      <c r="G9" s="872">
        <v>2173</v>
      </c>
      <c r="H9" s="872"/>
      <c r="I9" s="872"/>
      <c r="J9" s="872"/>
      <c r="K9" s="873"/>
    </row>
    <row r="10" outlineLevel="1" spans="1:11">
      <c r="A10" s="870">
        <v>6</v>
      </c>
      <c r="B10" s="871" t="s">
        <v>18</v>
      </c>
      <c r="C10" s="872">
        <f>C9+($K$2*K10)</f>
        <v>3102.2</v>
      </c>
      <c r="D10" s="872">
        <f>D9+($K$2*K10)</f>
        <v>3071.3</v>
      </c>
      <c r="E10" s="872">
        <f>E9+(K2*K10)</f>
        <v>3404.8</v>
      </c>
      <c r="F10" s="872">
        <f t="shared" ref="F10:J10" si="0">F9+($W$2*$W$10)</f>
        <v>0</v>
      </c>
      <c r="G10" s="872">
        <f>G9+($K$2*K10)</f>
        <v>2817.8</v>
      </c>
      <c r="H10" s="872">
        <f t="shared" si="0"/>
        <v>0</v>
      </c>
      <c r="I10" s="872">
        <f t="shared" si="0"/>
        <v>0</v>
      </c>
      <c r="J10" s="872">
        <f t="shared" si="0"/>
        <v>0</v>
      </c>
      <c r="K10" s="873">
        <v>0.4</v>
      </c>
    </row>
    <row r="11" outlineLevel="1" spans="1:11">
      <c r="A11" s="870">
        <v>7</v>
      </c>
      <c r="B11" s="871" t="s">
        <v>19</v>
      </c>
      <c r="C11" s="872">
        <v>3500</v>
      </c>
      <c r="D11" s="872">
        <v>2800</v>
      </c>
      <c r="E11" s="872">
        <v>3820</v>
      </c>
      <c r="F11" s="872"/>
      <c r="G11" s="872">
        <v>2800</v>
      </c>
      <c r="H11" s="872"/>
      <c r="I11" s="872"/>
      <c r="J11" s="872"/>
      <c r="K11" s="873"/>
    </row>
    <row r="12" outlineLevel="1" spans="1:11">
      <c r="A12" s="870">
        <v>8</v>
      </c>
      <c r="B12" s="871" t="s">
        <v>20</v>
      </c>
      <c r="C12" s="872">
        <v>1967.1</v>
      </c>
      <c r="D12" s="872">
        <v>1737.58</v>
      </c>
      <c r="E12" s="872">
        <v>1985</v>
      </c>
      <c r="F12" s="872"/>
      <c r="G12" s="872">
        <v>1771</v>
      </c>
      <c r="H12" s="872"/>
      <c r="I12" s="872"/>
      <c r="J12" s="872"/>
      <c r="K12" s="873"/>
    </row>
    <row r="13" outlineLevel="1" spans="1:11">
      <c r="A13" s="870">
        <v>9</v>
      </c>
      <c r="B13" s="871" t="s">
        <v>21</v>
      </c>
      <c r="C13" s="872">
        <f>C12+($K$2*K13)</f>
        <v>2611.9</v>
      </c>
      <c r="D13" s="872">
        <f>D12+($K$2*K13)</f>
        <v>2382.38</v>
      </c>
      <c r="E13" s="872">
        <f>E12+(K2*K13)</f>
        <v>2629.8</v>
      </c>
      <c r="F13" s="872">
        <f t="shared" ref="F13:J13" si="1">F12+($W$2*$W$13)</f>
        <v>0</v>
      </c>
      <c r="G13" s="872">
        <f>G12+($K$2*K13)</f>
        <v>2415.8</v>
      </c>
      <c r="H13" s="872">
        <f t="shared" si="1"/>
        <v>0</v>
      </c>
      <c r="I13" s="872">
        <f t="shared" si="1"/>
        <v>0</v>
      </c>
      <c r="J13" s="872">
        <f t="shared" si="1"/>
        <v>0</v>
      </c>
      <c r="K13" s="873">
        <v>0.4</v>
      </c>
    </row>
    <row r="14" outlineLevel="1" spans="1:11">
      <c r="A14" s="870">
        <v>10</v>
      </c>
      <c r="B14" s="871" t="s">
        <v>22</v>
      </c>
      <c r="C14" s="872">
        <v>3500</v>
      </c>
      <c r="D14" s="872">
        <v>3000</v>
      </c>
      <c r="E14" s="872">
        <v>3500</v>
      </c>
      <c r="F14" s="872"/>
      <c r="G14" s="872">
        <v>3000</v>
      </c>
      <c r="H14" s="872"/>
      <c r="I14" s="872"/>
      <c r="J14" s="872"/>
      <c r="K14" s="873"/>
    </row>
    <row r="15" outlineLevel="1" spans="1:11">
      <c r="A15" s="870">
        <v>11</v>
      </c>
      <c r="B15" s="871" t="s">
        <v>23</v>
      </c>
      <c r="C15" s="872"/>
      <c r="D15" s="872"/>
      <c r="E15" s="872"/>
      <c r="F15" s="872"/>
      <c r="G15" s="872">
        <v>4300</v>
      </c>
      <c r="H15" s="872"/>
      <c r="I15" s="872"/>
      <c r="J15" s="872"/>
      <c r="K15" s="873"/>
    </row>
    <row r="16" outlineLevel="1" spans="1:11">
      <c r="A16" s="870">
        <v>12</v>
      </c>
      <c r="B16" s="871" t="s">
        <v>24</v>
      </c>
      <c r="C16" s="872"/>
      <c r="D16" s="872"/>
      <c r="E16" s="872"/>
      <c r="F16" s="872"/>
      <c r="G16" s="872">
        <f>G15+($K$2*K16)</f>
        <v>4944.8</v>
      </c>
      <c r="H16" s="872"/>
      <c r="I16" s="872"/>
      <c r="J16" s="872"/>
      <c r="K16" s="873">
        <v>0.4</v>
      </c>
    </row>
    <row r="17" outlineLevel="1" spans="1:11">
      <c r="A17" s="870">
        <v>13</v>
      </c>
      <c r="B17" s="871" t="s">
        <v>25</v>
      </c>
      <c r="C17" s="872">
        <v>6000</v>
      </c>
      <c r="D17" s="872"/>
      <c r="E17" s="872"/>
      <c r="F17" s="872"/>
      <c r="G17" s="872"/>
      <c r="H17" s="872"/>
      <c r="I17" s="872"/>
      <c r="J17" s="872"/>
      <c r="K17" s="873"/>
    </row>
    <row r="18" outlineLevel="1" spans="1:11">
      <c r="A18" s="870">
        <v>14</v>
      </c>
      <c r="B18" s="871"/>
      <c r="C18" s="872"/>
      <c r="D18" s="872"/>
      <c r="E18" s="872"/>
      <c r="F18" s="872"/>
      <c r="G18" s="872"/>
      <c r="H18" s="872"/>
      <c r="I18" s="872"/>
      <c r="J18" s="872"/>
      <c r="K18" s="873"/>
    </row>
    <row r="19" outlineLevel="1" spans="1:11">
      <c r="A19" s="870">
        <v>15</v>
      </c>
      <c r="B19" s="871"/>
      <c r="C19" s="872"/>
      <c r="D19" s="872"/>
      <c r="E19" s="872"/>
      <c r="F19" s="872"/>
      <c r="G19" s="872"/>
      <c r="H19" s="872"/>
      <c r="I19" s="872"/>
      <c r="J19" s="872"/>
      <c r="K19" s="873"/>
    </row>
    <row r="20" outlineLevel="1" spans="1:11">
      <c r="A20" s="870">
        <v>16</v>
      </c>
      <c r="B20" s="871"/>
      <c r="C20" s="872"/>
      <c r="D20" s="872"/>
      <c r="E20" s="872"/>
      <c r="F20" s="872"/>
      <c r="G20" s="872"/>
      <c r="H20" s="872"/>
      <c r="I20" s="872"/>
      <c r="J20" s="872"/>
      <c r="K20" s="873"/>
    </row>
    <row r="21" outlineLevel="1" spans="1:11">
      <c r="A21" s="870">
        <v>17</v>
      </c>
      <c r="B21" s="871"/>
      <c r="C21" s="872"/>
      <c r="D21" s="872"/>
      <c r="E21" s="872"/>
      <c r="F21" s="872"/>
      <c r="G21" s="872"/>
      <c r="H21" s="872"/>
      <c r="I21" s="872"/>
      <c r="J21" s="872"/>
      <c r="K21" s="873"/>
    </row>
    <row r="22" outlineLevel="1" spans="1:11">
      <c r="A22" s="870">
        <v>18</v>
      </c>
      <c r="B22" s="871"/>
      <c r="C22" s="872"/>
      <c r="D22" s="872"/>
      <c r="E22" s="872"/>
      <c r="F22" s="872"/>
      <c r="G22" s="872"/>
      <c r="H22" s="872"/>
      <c r="I22" s="872"/>
      <c r="J22" s="872"/>
      <c r="K22" s="873"/>
    </row>
    <row r="23" outlineLevel="1" spans="1:11">
      <c r="A23" s="870">
        <v>19</v>
      </c>
      <c r="B23" s="871"/>
      <c r="C23" s="872"/>
      <c r="D23" s="872"/>
      <c r="E23" s="872"/>
      <c r="F23" s="872"/>
      <c r="G23" s="872"/>
      <c r="H23" s="872"/>
      <c r="I23" s="872"/>
      <c r="J23" s="872"/>
      <c r="K23" s="873"/>
    </row>
    <row r="24" outlineLevel="1" spans="1:11">
      <c r="A24" s="870">
        <v>20</v>
      </c>
      <c r="B24" s="871"/>
      <c r="C24" s="872"/>
      <c r="D24" s="872"/>
      <c r="E24" s="872"/>
      <c r="F24" s="872"/>
      <c r="G24" s="872"/>
      <c r="H24" s="872"/>
      <c r="I24" s="872"/>
      <c r="J24" s="872"/>
      <c r="K24" s="873"/>
    </row>
    <row r="25" outlineLevel="1" spans="1:11">
      <c r="A25" s="870">
        <v>21</v>
      </c>
      <c r="B25" s="871"/>
      <c r="C25" s="872"/>
      <c r="D25" s="872"/>
      <c r="E25" s="872"/>
      <c r="F25" s="872"/>
      <c r="G25" s="872"/>
      <c r="H25" s="872"/>
      <c r="I25" s="872"/>
      <c r="J25" s="872"/>
      <c r="K25" s="873"/>
    </row>
    <row r="26" outlineLevel="1" spans="1:11">
      <c r="A26" s="870">
        <v>22</v>
      </c>
      <c r="B26" s="871"/>
      <c r="C26" s="872"/>
      <c r="D26" s="872"/>
      <c r="E26" s="872"/>
      <c r="F26" s="872"/>
      <c r="G26" s="872"/>
      <c r="H26" s="872"/>
      <c r="I26" s="872"/>
      <c r="J26" s="872"/>
      <c r="K26" s="873"/>
    </row>
    <row r="27" outlineLevel="1" spans="1:11">
      <c r="A27" s="870">
        <v>23</v>
      </c>
      <c r="B27" s="871"/>
      <c r="C27" s="872"/>
      <c r="D27" s="872"/>
      <c r="E27" s="872"/>
      <c r="F27" s="872"/>
      <c r="G27" s="872"/>
      <c r="H27" s="872"/>
      <c r="I27" s="872"/>
      <c r="J27" s="872"/>
      <c r="K27" s="873"/>
    </row>
    <row r="28" outlineLevel="1" spans="1:11">
      <c r="A28" s="870">
        <v>24</v>
      </c>
      <c r="B28" s="871"/>
      <c r="C28" s="872"/>
      <c r="D28" s="872"/>
      <c r="E28" s="872"/>
      <c r="F28" s="872"/>
      <c r="G28" s="872"/>
      <c r="H28" s="872"/>
      <c r="I28" s="872"/>
      <c r="J28" s="872"/>
      <c r="K28" s="873"/>
    </row>
    <row r="29" outlineLevel="1" spans="1:11">
      <c r="A29" s="870">
        <v>25</v>
      </c>
      <c r="B29" s="871"/>
      <c r="C29" s="872"/>
      <c r="D29" s="872"/>
      <c r="E29" s="872"/>
      <c r="F29" s="872"/>
      <c r="G29" s="872"/>
      <c r="H29" s="872"/>
      <c r="I29" s="872"/>
      <c r="J29" s="872"/>
      <c r="K29" s="873"/>
    </row>
    <row r="30" outlineLevel="1" spans="1:11">
      <c r="A30" s="870">
        <v>26</v>
      </c>
      <c r="B30" s="871"/>
      <c r="C30" s="872"/>
      <c r="D30" s="872"/>
      <c r="E30" s="872"/>
      <c r="F30" s="872"/>
      <c r="G30" s="872"/>
      <c r="H30" s="872"/>
      <c r="I30" s="872"/>
      <c r="J30" s="872"/>
      <c r="K30" s="873"/>
    </row>
    <row r="31" outlineLevel="1" spans="1:11">
      <c r="A31" s="870">
        <v>27</v>
      </c>
      <c r="B31" s="871"/>
      <c r="C31" s="872"/>
      <c r="D31" s="872"/>
      <c r="E31" s="872"/>
      <c r="F31" s="872"/>
      <c r="G31" s="872"/>
      <c r="H31" s="872"/>
      <c r="I31" s="872"/>
      <c r="J31" s="872"/>
      <c r="K31" s="873"/>
    </row>
    <row r="32" outlineLevel="1" spans="1:11">
      <c r="A32" s="870">
        <v>28</v>
      </c>
      <c r="B32" s="871"/>
      <c r="C32" s="872"/>
      <c r="D32" s="872"/>
      <c r="E32" s="872"/>
      <c r="F32" s="872"/>
      <c r="G32" s="872"/>
      <c r="H32" s="872"/>
      <c r="I32" s="872"/>
      <c r="J32" s="872"/>
      <c r="K32" s="873"/>
    </row>
    <row r="33" outlineLevel="1" spans="1:11">
      <c r="A33" s="870">
        <v>29</v>
      </c>
      <c r="B33" s="871"/>
      <c r="C33" s="872"/>
      <c r="D33" s="872"/>
      <c r="E33" s="872"/>
      <c r="F33" s="872"/>
      <c r="G33" s="872"/>
      <c r="H33" s="872"/>
      <c r="I33" s="872"/>
      <c r="J33" s="872"/>
      <c r="K33" s="873"/>
    </row>
    <row r="34" outlineLevel="1" spans="1:11">
      <c r="A34" s="870">
        <v>30</v>
      </c>
      <c r="B34" s="871"/>
      <c r="C34" s="872"/>
      <c r="D34" s="872"/>
      <c r="E34" s="872"/>
      <c r="F34" s="872"/>
      <c r="G34" s="872"/>
      <c r="H34" s="872"/>
      <c r="I34" s="872"/>
      <c r="J34" s="872"/>
      <c r="K34" s="873"/>
    </row>
    <row r="35" outlineLevel="1" spans="1:11">
      <c r="A35" s="870">
        <v>31</v>
      </c>
      <c r="B35" s="871"/>
      <c r="C35" s="872"/>
      <c r="D35" s="872"/>
      <c r="E35" s="872"/>
      <c r="F35" s="872"/>
      <c r="G35" s="872"/>
      <c r="H35" s="872"/>
      <c r="I35" s="872"/>
      <c r="J35" s="872"/>
      <c r="K35" s="873"/>
    </row>
    <row r="36" outlineLevel="1" spans="1:11">
      <c r="A36" s="870">
        <v>32</v>
      </c>
      <c r="B36" s="871"/>
      <c r="C36" s="872"/>
      <c r="D36" s="872"/>
      <c r="E36" s="872"/>
      <c r="F36" s="872"/>
      <c r="G36" s="872"/>
      <c r="H36" s="872"/>
      <c r="I36" s="872"/>
      <c r="J36" s="872"/>
      <c r="K36" s="873"/>
    </row>
    <row r="37" outlineLevel="1" spans="1:11">
      <c r="A37" s="870">
        <v>33</v>
      </c>
      <c r="B37" s="871"/>
      <c r="C37" s="872"/>
      <c r="D37" s="872"/>
      <c r="E37" s="872"/>
      <c r="F37" s="872"/>
      <c r="G37" s="872"/>
      <c r="H37" s="872"/>
      <c r="I37" s="872"/>
      <c r="J37" s="872"/>
      <c r="K37" s="873"/>
    </row>
    <row r="38" outlineLevel="1" spans="1:11">
      <c r="A38" s="870">
        <v>34</v>
      </c>
      <c r="B38" s="871"/>
      <c r="C38" s="872"/>
      <c r="D38" s="872"/>
      <c r="E38" s="872"/>
      <c r="F38" s="872"/>
      <c r="G38" s="872"/>
      <c r="H38" s="872"/>
      <c r="I38" s="872"/>
      <c r="J38" s="872"/>
      <c r="K38" s="873"/>
    </row>
    <row r="39" outlineLevel="1" spans="1:11">
      <c r="A39" s="870">
        <v>35</v>
      </c>
      <c r="B39" s="871"/>
      <c r="C39" s="872"/>
      <c r="D39" s="872"/>
      <c r="E39" s="872"/>
      <c r="F39" s="872"/>
      <c r="G39" s="872"/>
      <c r="H39" s="872"/>
      <c r="I39" s="872"/>
      <c r="J39" s="872"/>
      <c r="K39" s="873"/>
    </row>
    <row r="40" outlineLevel="1" spans="1:11">
      <c r="A40" s="870">
        <v>36</v>
      </c>
      <c r="B40" s="871"/>
      <c r="C40" s="872"/>
      <c r="D40" s="872"/>
      <c r="E40" s="872"/>
      <c r="F40" s="872"/>
      <c r="G40" s="872"/>
      <c r="H40" s="872"/>
      <c r="I40" s="872"/>
      <c r="J40" s="872"/>
      <c r="K40" s="873"/>
    </row>
    <row r="41" outlineLevel="1" spans="1:11">
      <c r="A41" s="870">
        <v>37</v>
      </c>
      <c r="B41" s="871"/>
      <c r="C41" s="872"/>
      <c r="D41" s="872"/>
      <c r="E41" s="872"/>
      <c r="F41" s="872"/>
      <c r="G41" s="872"/>
      <c r="H41" s="872"/>
      <c r="I41" s="872"/>
      <c r="J41" s="872"/>
      <c r="K41" s="873"/>
    </row>
    <row r="42" ht="100.05" customHeight="1"/>
    <row r="43" s="852" customFormat="1" ht="18" spans="1:11">
      <c r="A43" s="859" t="s">
        <v>26</v>
      </c>
      <c r="B43" s="859"/>
      <c r="C43" s="859"/>
      <c r="D43" s="859"/>
      <c r="E43" s="859"/>
      <c r="F43" s="859"/>
      <c r="G43" s="859"/>
      <c r="H43" s="859"/>
      <c r="I43" s="860"/>
      <c r="J43" s="861"/>
      <c r="K43" s="861"/>
    </row>
    <row r="44" spans="1:11">
      <c r="A44" s="874"/>
      <c r="B44" s="866" t="s">
        <v>27</v>
      </c>
      <c r="C44" s="875" t="s">
        <v>5</v>
      </c>
      <c r="D44" s="875" t="s">
        <v>6</v>
      </c>
      <c r="E44" s="875" t="s">
        <v>7</v>
      </c>
      <c r="F44" s="875" t="s">
        <v>8</v>
      </c>
      <c r="G44" s="875" t="s">
        <v>9</v>
      </c>
      <c r="H44" s="875"/>
      <c r="I44" s="875"/>
      <c r="J44" s="875"/>
      <c r="K44" s="874"/>
    </row>
    <row r="45" outlineLevel="1" spans="1:11">
      <c r="A45" s="874">
        <v>1</v>
      </c>
      <c r="B45" s="871" t="s">
        <v>28</v>
      </c>
      <c r="C45" s="872">
        <v>418</v>
      </c>
      <c r="D45" s="872">
        <v>217.8</v>
      </c>
      <c r="E45" s="872">
        <v>231</v>
      </c>
      <c r="F45" s="872"/>
      <c r="G45" s="872">
        <f>9.9*22</f>
        <v>217.8</v>
      </c>
      <c r="H45" s="872"/>
      <c r="I45" s="872"/>
      <c r="J45" s="872"/>
      <c r="K45" s="874"/>
    </row>
    <row r="46" outlineLevel="1" spans="1:11">
      <c r="A46" s="874">
        <v>2</v>
      </c>
      <c r="B46" s="871" t="s">
        <v>29</v>
      </c>
      <c r="C46" s="872">
        <v>50</v>
      </c>
      <c r="D46" s="872">
        <v>50</v>
      </c>
      <c r="E46" s="872">
        <v>50</v>
      </c>
      <c r="F46" s="872"/>
      <c r="G46" s="872">
        <v>50</v>
      </c>
      <c r="H46" s="872"/>
      <c r="I46" s="872"/>
      <c r="J46" s="872"/>
      <c r="K46" s="874"/>
    </row>
    <row r="47" outlineLevel="1" spans="1:11">
      <c r="A47" s="874">
        <v>3</v>
      </c>
      <c r="B47" s="871" t="s">
        <v>30</v>
      </c>
      <c r="C47" s="872"/>
      <c r="D47" s="872">
        <v>744</v>
      </c>
      <c r="E47" s="872">
        <v>744</v>
      </c>
      <c r="F47" s="872"/>
      <c r="G47" s="872">
        <v>0</v>
      </c>
      <c r="H47" s="872"/>
      <c r="I47" s="872"/>
      <c r="J47" s="872"/>
      <c r="K47" s="874"/>
    </row>
    <row r="48" outlineLevel="1" spans="1:11">
      <c r="A48" s="874">
        <v>4</v>
      </c>
      <c r="B48" s="871" t="s">
        <v>31</v>
      </c>
      <c r="C48" s="872"/>
      <c r="D48" s="872">
        <v>450</v>
      </c>
      <c r="E48" s="872">
        <v>400</v>
      </c>
      <c r="F48" s="872"/>
      <c r="G48" s="872">
        <v>400</v>
      </c>
      <c r="H48" s="872"/>
      <c r="I48" s="872"/>
      <c r="J48" s="872"/>
      <c r="K48" s="874"/>
    </row>
    <row r="49" outlineLevel="1" spans="1:11">
      <c r="A49" s="874">
        <v>5</v>
      </c>
      <c r="B49" s="871" t="s">
        <v>32</v>
      </c>
      <c r="C49" s="872">
        <v>18</v>
      </c>
      <c r="D49" s="872"/>
      <c r="E49" s="872"/>
      <c r="F49" s="872"/>
      <c r="G49" s="872">
        <v>12</v>
      </c>
      <c r="H49" s="872"/>
      <c r="I49" s="872"/>
      <c r="J49" s="872"/>
      <c r="K49" s="874"/>
    </row>
    <row r="50" s="853" customFormat="1" outlineLevel="1" spans="1:11">
      <c r="A50" s="876">
        <v>6</v>
      </c>
      <c r="B50" s="871" t="s">
        <v>33</v>
      </c>
      <c r="C50" s="872">
        <v>4.5</v>
      </c>
      <c r="D50" s="872">
        <v>8.5</v>
      </c>
      <c r="E50" s="872">
        <v>8.5</v>
      </c>
      <c r="F50" s="872"/>
      <c r="G50" s="872">
        <v>8.5</v>
      </c>
      <c r="H50" s="877"/>
      <c r="I50" s="877"/>
      <c r="J50" s="877"/>
      <c r="K50" s="876"/>
    </row>
    <row r="51" s="853" customFormat="1" outlineLevel="1" spans="1:11">
      <c r="A51" s="876">
        <v>7</v>
      </c>
      <c r="B51" s="878" t="s">
        <v>34</v>
      </c>
      <c r="C51" s="877">
        <v>500</v>
      </c>
      <c r="D51" s="877">
        <f>2200/3</f>
        <v>733.333333333333</v>
      </c>
      <c r="E51" s="877">
        <f>2200/3</f>
        <v>733.333333333333</v>
      </c>
      <c r="F51" s="877"/>
      <c r="G51" s="877">
        <f>2200/3</f>
        <v>733.333333333333</v>
      </c>
      <c r="H51" s="877"/>
      <c r="I51" s="877"/>
      <c r="J51" s="877"/>
      <c r="K51" s="876"/>
    </row>
    <row r="52" s="853" customFormat="1" outlineLevel="1" spans="1:11">
      <c r="A52" s="876">
        <v>8</v>
      </c>
      <c r="B52" s="878" t="s">
        <v>35</v>
      </c>
      <c r="C52" s="877"/>
      <c r="D52" s="877">
        <v>90</v>
      </c>
      <c r="E52" s="877">
        <v>90</v>
      </c>
      <c r="F52" s="877"/>
      <c r="G52" s="877">
        <v>90</v>
      </c>
      <c r="H52" s="877"/>
      <c r="I52" s="877"/>
      <c r="J52" s="877"/>
      <c r="K52" s="876"/>
    </row>
    <row r="53" s="853" customFormat="1" outlineLevel="1" spans="1:11">
      <c r="A53" s="876">
        <v>9</v>
      </c>
      <c r="B53" s="878"/>
      <c r="C53" s="877"/>
      <c r="D53" s="877"/>
      <c r="E53" s="877"/>
      <c r="F53" s="877"/>
      <c r="G53" s="877"/>
      <c r="H53" s="877"/>
      <c r="I53" s="877"/>
      <c r="J53" s="877"/>
      <c r="K53" s="876"/>
    </row>
    <row r="54" outlineLevel="1" spans="1:11">
      <c r="A54" s="874">
        <v>10</v>
      </c>
      <c r="B54" s="866"/>
      <c r="C54" s="879"/>
      <c r="D54" s="879"/>
      <c r="E54" s="879"/>
      <c r="F54" s="879"/>
      <c r="G54" s="879"/>
      <c r="H54" s="879"/>
      <c r="I54" s="879"/>
      <c r="J54" s="879"/>
      <c r="K54" s="874"/>
    </row>
    <row r="55" outlineLevel="1" spans="1:11">
      <c r="A55" s="874">
        <v>11</v>
      </c>
      <c r="B55" s="866"/>
      <c r="C55" s="879"/>
      <c r="D55" s="879"/>
      <c r="E55" s="879"/>
      <c r="F55" s="879"/>
      <c r="G55" s="879"/>
      <c r="H55" s="879"/>
      <c r="I55" s="879"/>
      <c r="J55" s="879"/>
      <c r="K55" s="874"/>
    </row>
    <row r="56" outlineLevel="1" spans="1:11">
      <c r="A56" s="874">
        <v>12</v>
      </c>
      <c r="B56" s="866"/>
      <c r="C56" s="879"/>
      <c r="D56" s="879"/>
      <c r="E56" s="879"/>
      <c r="F56" s="879"/>
      <c r="G56" s="879"/>
      <c r="H56" s="879"/>
      <c r="I56" s="879"/>
      <c r="J56" s="879"/>
      <c r="K56" s="874"/>
    </row>
    <row r="57" outlineLevel="1" spans="1:11">
      <c r="A57" s="874">
        <v>13</v>
      </c>
      <c r="B57" s="871"/>
      <c r="C57" s="872"/>
      <c r="D57" s="872"/>
      <c r="E57" s="872"/>
      <c r="F57" s="872"/>
      <c r="G57" s="872"/>
      <c r="H57" s="872"/>
      <c r="I57" s="872"/>
      <c r="J57" s="872"/>
      <c r="K57" s="874"/>
    </row>
    <row r="58" outlineLevel="1" spans="1:11">
      <c r="A58" s="874">
        <v>14</v>
      </c>
      <c r="B58" s="871"/>
      <c r="C58" s="872"/>
      <c r="D58" s="872"/>
      <c r="E58" s="872"/>
      <c r="F58" s="872"/>
      <c r="G58" s="872"/>
      <c r="H58" s="872"/>
      <c r="I58" s="872"/>
      <c r="J58" s="872"/>
      <c r="K58" s="874"/>
    </row>
    <row r="59" outlineLevel="1" spans="1:11">
      <c r="A59" s="874">
        <v>15</v>
      </c>
      <c r="B59" s="871"/>
      <c r="C59" s="872"/>
      <c r="D59" s="872"/>
      <c r="E59" s="872"/>
      <c r="F59" s="872"/>
      <c r="G59" s="872"/>
      <c r="H59" s="872"/>
      <c r="I59" s="872"/>
      <c r="J59" s="872"/>
      <c r="K59" s="874"/>
    </row>
    <row r="60" outlineLevel="1" spans="1:11">
      <c r="A60" s="874">
        <v>16</v>
      </c>
      <c r="B60" s="871"/>
      <c r="C60" s="872"/>
      <c r="D60" s="872"/>
      <c r="E60" s="872"/>
      <c r="F60" s="872"/>
      <c r="G60" s="872"/>
      <c r="H60" s="872"/>
      <c r="I60" s="872"/>
      <c r="J60" s="872"/>
      <c r="K60" s="874"/>
    </row>
    <row r="61" outlineLevel="1" spans="1:11">
      <c r="A61" s="874">
        <v>17</v>
      </c>
      <c r="B61" s="871"/>
      <c r="C61" s="872"/>
      <c r="D61" s="872"/>
      <c r="E61" s="872"/>
      <c r="F61" s="872"/>
      <c r="G61" s="872"/>
      <c r="H61" s="872"/>
      <c r="I61" s="872"/>
      <c r="J61" s="872"/>
      <c r="K61" s="874"/>
    </row>
    <row r="62" outlineLevel="1" spans="1:11">
      <c r="A62" s="874">
        <v>18</v>
      </c>
      <c r="B62" s="871"/>
      <c r="C62" s="872"/>
      <c r="D62" s="872"/>
      <c r="E62" s="872"/>
      <c r="F62" s="872"/>
      <c r="G62" s="872"/>
      <c r="H62" s="872"/>
      <c r="I62" s="872"/>
      <c r="J62" s="872"/>
      <c r="K62" s="874"/>
    </row>
    <row r="63" outlineLevel="1" spans="1:11">
      <c r="A63" s="874">
        <v>19</v>
      </c>
      <c r="B63" s="871"/>
      <c r="C63" s="872"/>
      <c r="D63" s="872"/>
      <c r="E63" s="872"/>
      <c r="F63" s="872"/>
      <c r="G63" s="872"/>
      <c r="H63" s="872"/>
      <c r="I63" s="872"/>
      <c r="J63" s="872"/>
      <c r="K63" s="874"/>
    </row>
    <row r="64" outlineLevel="1" spans="1:11">
      <c r="A64" s="874">
        <v>20</v>
      </c>
      <c r="B64" s="871"/>
      <c r="C64" s="872"/>
      <c r="D64" s="872"/>
      <c r="E64" s="872"/>
      <c r="F64" s="872"/>
      <c r="G64" s="872"/>
      <c r="H64" s="872"/>
      <c r="I64" s="872"/>
      <c r="J64" s="872"/>
      <c r="K64" s="874"/>
    </row>
    <row r="65" outlineLevel="1" spans="1:11">
      <c r="A65" s="874">
        <v>21</v>
      </c>
      <c r="B65" s="871"/>
      <c r="C65" s="872"/>
      <c r="D65" s="872"/>
      <c r="E65" s="872"/>
      <c r="F65" s="872"/>
      <c r="G65" s="872"/>
      <c r="H65" s="872"/>
      <c r="I65" s="872"/>
      <c r="J65" s="872"/>
      <c r="K65" s="874"/>
    </row>
    <row r="66" outlineLevel="1" spans="1:11">
      <c r="A66" s="874">
        <v>22</v>
      </c>
      <c r="B66" s="871"/>
      <c r="C66" s="872"/>
      <c r="D66" s="872"/>
      <c r="E66" s="872"/>
      <c r="F66" s="872"/>
      <c r="G66" s="872"/>
      <c r="H66" s="872"/>
      <c r="I66" s="872"/>
      <c r="J66" s="872"/>
      <c r="K66" s="874"/>
    </row>
    <row r="67" ht="100.05" customHeight="1"/>
    <row r="68" s="852" customFormat="1" ht="18" spans="1:11">
      <c r="A68" s="859" t="s">
        <v>36</v>
      </c>
      <c r="B68" s="859"/>
      <c r="C68" s="859"/>
      <c r="D68" s="859"/>
      <c r="E68" s="859"/>
      <c r="F68" s="859"/>
      <c r="G68" s="859"/>
      <c r="H68" s="859"/>
      <c r="I68" s="880" t="s">
        <v>37</v>
      </c>
      <c r="J68" s="881">
        <v>45925</v>
      </c>
      <c r="K68" s="861"/>
    </row>
    <row r="69" s="854" customFormat="1" spans="1:11">
      <c r="A69" s="882" t="s">
        <v>38</v>
      </c>
      <c r="B69" s="883" t="s">
        <v>27</v>
      </c>
      <c r="C69" s="884"/>
      <c r="D69" s="885"/>
      <c r="E69" s="886" t="s">
        <v>39</v>
      </c>
      <c r="F69" s="887" t="s">
        <v>40</v>
      </c>
      <c r="G69" s="887" t="s">
        <v>41</v>
      </c>
      <c r="H69" s="887" t="s">
        <v>42</v>
      </c>
      <c r="I69" s="888"/>
      <c r="J69" s="888"/>
      <c r="K69" s="889"/>
    </row>
    <row r="70" outlineLevel="1" spans="1:11">
      <c r="A70" s="874">
        <v>40043</v>
      </c>
      <c r="B70" s="890" t="s">
        <v>43</v>
      </c>
      <c r="C70" s="891"/>
      <c r="D70" s="892"/>
      <c r="E70" s="893">
        <v>4</v>
      </c>
      <c r="F70" s="894">
        <v>1</v>
      </c>
      <c r="G70" s="895">
        <v>47544</v>
      </c>
      <c r="H70" s="894">
        <v>45.98</v>
      </c>
      <c r="I70" s="896"/>
      <c r="J70" s="896"/>
    </row>
    <row r="71" outlineLevel="1" spans="1:11">
      <c r="A71" s="874">
        <v>42673</v>
      </c>
      <c r="B71" s="890" t="s">
        <v>44</v>
      </c>
      <c r="C71" s="891"/>
      <c r="D71" s="892"/>
      <c r="E71" s="893">
        <v>4</v>
      </c>
      <c r="F71" s="894">
        <v>1</v>
      </c>
      <c r="G71" s="895">
        <v>47505</v>
      </c>
      <c r="H71" s="894">
        <v>54.99</v>
      </c>
      <c r="I71" s="896"/>
      <c r="J71" s="896"/>
    </row>
    <row r="72" outlineLevel="1" spans="1:11">
      <c r="A72" s="874">
        <v>36347</v>
      </c>
      <c r="B72" s="890" t="s">
        <v>45</v>
      </c>
      <c r="C72" s="891"/>
      <c r="D72" s="892"/>
      <c r="E72" s="893">
        <v>1</v>
      </c>
      <c r="F72" s="894">
        <v>1</v>
      </c>
      <c r="G72" s="895">
        <v>47328</v>
      </c>
      <c r="H72" s="894">
        <v>2.59</v>
      </c>
      <c r="I72" s="896"/>
      <c r="J72" s="896"/>
    </row>
    <row r="73" outlineLevel="1" spans="1:11">
      <c r="A73" s="874">
        <v>25368</v>
      </c>
      <c r="B73" s="890" t="s">
        <v>46</v>
      </c>
      <c r="C73" s="891"/>
      <c r="D73" s="892"/>
      <c r="E73" s="893">
        <v>1</v>
      </c>
      <c r="F73" s="894">
        <v>1</v>
      </c>
      <c r="G73" s="895">
        <v>47077</v>
      </c>
      <c r="H73" s="894">
        <v>10.5</v>
      </c>
      <c r="I73" s="896"/>
      <c r="J73" s="896"/>
    </row>
    <row r="74" outlineLevel="1" spans="1:11">
      <c r="A74" s="874">
        <v>46816</v>
      </c>
      <c r="B74" s="890" t="s">
        <v>47</v>
      </c>
      <c r="C74" s="891"/>
      <c r="D74" s="892"/>
      <c r="E74" s="893">
        <v>1</v>
      </c>
      <c r="F74" s="894">
        <v>1</v>
      </c>
      <c r="G74" s="895">
        <v>46323</v>
      </c>
      <c r="H74" s="894">
        <v>12.5</v>
      </c>
      <c r="I74" s="896"/>
      <c r="J74" s="896"/>
    </row>
    <row r="75" outlineLevel="1" spans="1:11">
      <c r="A75" s="874">
        <v>35981</v>
      </c>
      <c r="B75" s="890" t="s">
        <v>48</v>
      </c>
      <c r="C75" s="891"/>
      <c r="D75" s="892"/>
      <c r="E75" s="893">
        <v>2</v>
      </c>
      <c r="F75" s="894">
        <v>1</v>
      </c>
      <c r="G75" s="895">
        <v>47644</v>
      </c>
      <c r="H75" s="894">
        <v>1.26</v>
      </c>
      <c r="I75" s="896"/>
      <c r="J75" s="896"/>
    </row>
    <row r="76" outlineLevel="1" spans="1:11">
      <c r="A76" s="874">
        <v>14235</v>
      </c>
      <c r="B76" s="890" t="s">
        <v>49</v>
      </c>
      <c r="C76" s="891"/>
      <c r="D76" s="892"/>
      <c r="E76" s="893">
        <v>6</v>
      </c>
      <c r="F76" s="894">
        <v>1</v>
      </c>
      <c r="G76" s="895">
        <v>47402</v>
      </c>
      <c r="H76" s="894">
        <v>44.18</v>
      </c>
      <c r="I76" s="896"/>
      <c r="J76" s="896"/>
    </row>
    <row r="77" outlineLevel="1" spans="1:11">
      <c r="A77" s="874">
        <v>39051</v>
      </c>
      <c r="B77" s="890" t="s">
        <v>50</v>
      </c>
      <c r="C77" s="891"/>
      <c r="D77" s="892"/>
      <c r="E77" s="893">
        <v>2</v>
      </c>
      <c r="F77" s="894">
        <v>22</v>
      </c>
      <c r="G77" s="895">
        <v>47342</v>
      </c>
      <c r="H77" s="894">
        <v>0.85</v>
      </c>
      <c r="I77" s="896"/>
      <c r="J77" s="896"/>
    </row>
    <row r="78" outlineLevel="1" spans="1:11">
      <c r="A78" s="874">
        <v>14990</v>
      </c>
      <c r="B78" s="890" t="s">
        <v>51</v>
      </c>
      <c r="C78" s="891"/>
      <c r="D78" s="892"/>
      <c r="E78" s="893">
        <v>2</v>
      </c>
      <c r="F78" s="894">
        <v>1</v>
      </c>
      <c r="G78" s="895">
        <v>46819</v>
      </c>
      <c r="H78" s="894">
        <v>2.99</v>
      </c>
      <c r="I78" s="896"/>
      <c r="J78" s="896"/>
    </row>
    <row r="79" outlineLevel="1" spans="1:11">
      <c r="A79" s="874">
        <v>15298</v>
      </c>
      <c r="B79" s="890" t="s">
        <v>52</v>
      </c>
      <c r="C79" s="891"/>
      <c r="D79" s="892"/>
      <c r="E79" s="893">
        <v>2</v>
      </c>
      <c r="F79" s="894">
        <v>1</v>
      </c>
      <c r="G79" s="895">
        <v>46680</v>
      </c>
      <c r="H79" s="894">
        <v>3.42</v>
      </c>
      <c r="I79" s="896"/>
      <c r="J79" s="896"/>
    </row>
    <row r="80" outlineLevel="1" spans="1:11">
      <c r="A80" s="874">
        <v>29638</v>
      </c>
      <c r="B80" s="890" t="s">
        <v>53</v>
      </c>
      <c r="C80" s="891"/>
      <c r="D80" s="892"/>
      <c r="E80" s="893">
        <v>6</v>
      </c>
      <c r="F80" s="894">
        <v>1</v>
      </c>
      <c r="G80" s="895">
        <v>46674</v>
      </c>
      <c r="H80" s="894">
        <v>20.8</v>
      </c>
      <c r="I80" s="896"/>
      <c r="J80" s="896"/>
    </row>
    <row r="81" outlineLevel="1" spans="1:11">
      <c r="A81" s="874"/>
      <c r="B81" s="890"/>
      <c r="C81" s="891"/>
      <c r="D81" s="892"/>
      <c r="E81" s="897"/>
      <c r="F81" s="896"/>
      <c r="G81" s="896"/>
      <c r="H81" s="896"/>
      <c r="I81" s="896"/>
      <c r="J81" s="896"/>
    </row>
    <row r="82" outlineLevel="1" spans="1:11">
      <c r="A82" s="874"/>
      <c r="B82" s="890"/>
      <c r="C82" s="891"/>
      <c r="D82" s="892"/>
      <c r="E82" s="897"/>
      <c r="F82" s="896"/>
      <c r="G82" s="896"/>
      <c r="H82" s="896"/>
      <c r="I82" s="896"/>
      <c r="J82" s="896"/>
    </row>
    <row r="83" ht="100.05" customHeight="1"/>
    <row r="84" s="852" customFormat="1" ht="18" spans="1:11">
      <c r="A84" s="859" t="s">
        <v>54</v>
      </c>
      <c r="B84" s="859"/>
      <c r="C84" s="859"/>
      <c r="D84" s="859"/>
      <c r="E84" s="859"/>
      <c r="F84" s="859"/>
      <c r="G84" s="859"/>
      <c r="H84" s="859"/>
      <c r="I84" s="880" t="s">
        <v>37</v>
      </c>
      <c r="J84" s="881">
        <v>45925</v>
      </c>
      <c r="K84" s="861"/>
    </row>
    <row r="85" spans="1:11">
      <c r="A85" s="882" t="s">
        <v>55</v>
      </c>
      <c r="B85" s="883" t="s">
        <v>27</v>
      </c>
      <c r="C85" s="884"/>
      <c r="D85" s="885"/>
      <c r="E85" s="886" t="s">
        <v>39</v>
      </c>
      <c r="F85" s="887" t="s">
        <v>40</v>
      </c>
      <c r="G85" s="887" t="s">
        <v>42</v>
      </c>
      <c r="H85" s="887"/>
      <c r="I85" s="888"/>
      <c r="J85" s="888"/>
    </row>
    <row r="86" outlineLevel="1" spans="1:11">
      <c r="A86" s="874" t="s">
        <v>56</v>
      </c>
      <c r="B86" s="896" t="s">
        <v>57</v>
      </c>
      <c r="C86" s="896"/>
      <c r="D86" s="896"/>
      <c r="E86" s="893">
        <v>4</v>
      </c>
      <c r="F86" s="898">
        <v>3</v>
      </c>
      <c r="G86" s="898">
        <v>34.9</v>
      </c>
      <c r="H86" s="896"/>
      <c r="I86" s="896"/>
      <c r="J86" s="896"/>
    </row>
    <row r="87" outlineLevel="1" spans="1:11">
      <c r="A87" s="874" t="s">
        <v>58</v>
      </c>
      <c r="B87" s="896" t="s">
        <v>59</v>
      </c>
      <c r="C87" s="896"/>
      <c r="D87" s="896"/>
      <c r="E87" s="893">
        <v>4</v>
      </c>
      <c r="F87" s="898">
        <v>3</v>
      </c>
      <c r="G87" s="898">
        <v>65.5</v>
      </c>
      <c r="H87" s="896"/>
      <c r="I87" s="896"/>
      <c r="J87" s="896"/>
    </row>
    <row r="88" outlineLevel="1" spans="1:11">
      <c r="A88" s="874"/>
      <c r="B88" s="896"/>
      <c r="C88" s="896"/>
      <c r="D88" s="896"/>
      <c r="E88" s="896"/>
      <c r="F88" s="896"/>
      <c r="G88" s="896"/>
      <c r="H88" s="896"/>
      <c r="I88" s="896"/>
      <c r="J88" s="896"/>
    </row>
    <row r="89" outlineLevel="1" spans="1:11">
      <c r="A89" s="874"/>
      <c r="B89" s="896"/>
      <c r="C89" s="896"/>
      <c r="D89" s="896"/>
      <c r="E89" s="896"/>
      <c r="F89" s="896"/>
      <c r="G89" s="896"/>
      <c r="H89" s="896"/>
      <c r="I89" s="896"/>
      <c r="J89" s="896"/>
    </row>
    <row r="90" outlineLevel="1" spans="1:11">
      <c r="A90" s="874"/>
      <c r="B90" s="896"/>
      <c r="C90" s="896"/>
      <c r="D90" s="896"/>
      <c r="E90" s="896"/>
      <c r="F90" s="896"/>
      <c r="G90" s="896"/>
      <c r="H90" s="896"/>
      <c r="I90" s="896"/>
      <c r="J90" s="896"/>
    </row>
    <row r="91" outlineLevel="1" spans="1:11">
      <c r="A91" s="874"/>
      <c r="B91" s="896"/>
      <c r="C91" s="896"/>
      <c r="D91" s="896"/>
      <c r="E91" s="896"/>
      <c r="F91" s="896"/>
      <c r="G91" s="896"/>
      <c r="H91" s="896"/>
      <c r="I91" s="896"/>
      <c r="J91" s="896"/>
    </row>
    <row r="92" outlineLevel="1" spans="1:11">
      <c r="A92" s="874"/>
      <c r="B92" s="896"/>
      <c r="C92" s="896"/>
      <c r="D92" s="896"/>
      <c r="E92" s="896"/>
      <c r="F92" s="896"/>
      <c r="G92" s="896"/>
      <c r="H92" s="896"/>
      <c r="I92" s="896"/>
      <c r="J92" s="896"/>
    </row>
    <row r="93" ht="100.05" customHeight="1"/>
    <row r="94" s="852" customFormat="1" ht="18" spans="1:11">
      <c r="A94" s="859" t="s">
        <v>60</v>
      </c>
      <c r="B94" s="859"/>
      <c r="C94" s="859"/>
      <c r="D94" s="859"/>
      <c r="E94" s="859"/>
      <c r="F94" s="859"/>
      <c r="G94" s="859"/>
      <c r="H94" s="859"/>
      <c r="I94" s="880" t="s">
        <v>37</v>
      </c>
      <c r="J94" s="881">
        <v>45925</v>
      </c>
      <c r="K94" s="861"/>
    </row>
    <row r="95" spans="1:11">
      <c r="A95" s="882" t="s">
        <v>55</v>
      </c>
      <c r="B95" s="883" t="s">
        <v>27</v>
      </c>
      <c r="C95" s="884"/>
      <c r="D95" s="885"/>
      <c r="E95" s="886" t="s">
        <v>39</v>
      </c>
      <c r="F95" s="887" t="s">
        <v>40</v>
      </c>
      <c r="G95" s="887" t="s">
        <v>42</v>
      </c>
      <c r="H95" s="896"/>
      <c r="I95" s="896"/>
      <c r="J95" s="896"/>
    </row>
    <row r="96" outlineLevel="1" spans="1:11">
      <c r="A96" s="899" t="s">
        <v>61</v>
      </c>
      <c r="B96" s="890" t="s">
        <v>62</v>
      </c>
      <c r="C96" s="891"/>
      <c r="D96" s="892"/>
      <c r="E96" s="893">
        <v>1</v>
      </c>
      <c r="F96" s="898">
        <v>4</v>
      </c>
      <c r="G96" s="898">
        <v>0.8</v>
      </c>
      <c r="H96" s="896"/>
      <c r="I96" s="896"/>
      <c r="J96" s="896"/>
    </row>
    <row r="97" outlineLevel="1" spans="1:11">
      <c r="A97" s="874" t="s">
        <v>63</v>
      </c>
      <c r="B97" s="890" t="s">
        <v>64</v>
      </c>
      <c r="C97" s="891"/>
      <c r="D97" s="892"/>
      <c r="E97" s="893">
        <v>1</v>
      </c>
      <c r="F97" s="898">
        <v>1</v>
      </c>
      <c r="G97" s="898">
        <v>1.5</v>
      </c>
      <c r="H97" s="896"/>
      <c r="I97" s="896"/>
      <c r="J97" s="896"/>
    </row>
    <row r="98" outlineLevel="1" spans="1:11">
      <c r="A98" s="874" t="s">
        <v>65</v>
      </c>
      <c r="B98" s="890" t="s">
        <v>66</v>
      </c>
      <c r="C98" s="891"/>
      <c r="D98" s="892"/>
      <c r="E98" s="893">
        <v>1</v>
      </c>
      <c r="F98" s="898">
        <v>1</v>
      </c>
      <c r="G98" s="898">
        <v>16.3</v>
      </c>
      <c r="H98" s="896"/>
      <c r="I98" s="896"/>
      <c r="J98" s="896"/>
    </row>
    <row r="99" outlineLevel="1" spans="1:11">
      <c r="A99" s="874"/>
      <c r="B99" s="890"/>
      <c r="C99" s="891"/>
      <c r="D99" s="892"/>
      <c r="E99" s="896"/>
      <c r="F99" s="896"/>
      <c r="G99" s="896"/>
      <c r="H99" s="896"/>
      <c r="I99" s="896"/>
      <c r="J99" s="896"/>
    </row>
    <row r="100" ht="100.05" customHeight="1"/>
    <row r="101" s="852" customFormat="1" ht="18" spans="1:11">
      <c r="A101" s="859" t="s">
        <v>67</v>
      </c>
      <c r="B101" s="859"/>
      <c r="C101" s="859"/>
      <c r="D101" s="859"/>
      <c r="E101" s="859"/>
      <c r="F101" s="859"/>
      <c r="G101" s="859"/>
      <c r="H101" s="859"/>
      <c r="I101" s="880" t="s">
        <v>37</v>
      </c>
      <c r="J101" s="881">
        <v>45925</v>
      </c>
      <c r="K101" s="861"/>
    </row>
    <row r="102" spans="1:11">
      <c r="A102" s="882" t="s">
        <v>55</v>
      </c>
      <c r="B102" s="883" t="s">
        <v>27</v>
      </c>
      <c r="C102" s="884"/>
      <c r="D102" s="885"/>
      <c r="E102" s="887" t="s">
        <v>42</v>
      </c>
      <c r="F102" s="887"/>
      <c r="G102" s="887"/>
      <c r="H102" s="896"/>
      <c r="I102" s="896"/>
      <c r="J102" s="896"/>
    </row>
    <row r="103" outlineLevel="1" spans="1:11">
      <c r="A103" s="899">
        <v>1</v>
      </c>
      <c r="B103" s="890" t="s">
        <v>68</v>
      </c>
      <c r="C103" s="891"/>
      <c r="D103" s="892"/>
      <c r="E103" s="894">
        <v>1.15</v>
      </c>
      <c r="F103" s="898"/>
      <c r="G103" s="898"/>
      <c r="H103" s="896"/>
      <c r="I103" s="896"/>
      <c r="J103" s="896"/>
    </row>
    <row r="104" outlineLevel="1" spans="1:11">
      <c r="A104" s="899">
        <v>2</v>
      </c>
      <c r="B104" s="890" t="s">
        <v>69</v>
      </c>
      <c r="C104" s="891"/>
      <c r="D104" s="892"/>
      <c r="E104" s="894">
        <v>25</v>
      </c>
      <c r="F104" s="898"/>
      <c r="G104" s="898"/>
      <c r="H104" s="896"/>
      <c r="I104" s="896"/>
      <c r="J104" s="896"/>
    </row>
    <row r="105" outlineLevel="1" spans="1:11">
      <c r="A105" s="899">
        <v>3</v>
      </c>
      <c r="B105" s="890" t="s">
        <v>70</v>
      </c>
      <c r="C105" s="891"/>
      <c r="D105" s="892"/>
      <c r="E105" s="894">
        <v>0.4699</v>
      </c>
      <c r="F105" s="898"/>
      <c r="G105" s="898"/>
      <c r="H105" s="896"/>
      <c r="I105" s="896"/>
      <c r="J105" s="896"/>
    </row>
    <row r="106" outlineLevel="1" spans="1:11">
      <c r="A106" s="899">
        <v>4</v>
      </c>
      <c r="B106" s="890" t="s">
        <v>71</v>
      </c>
      <c r="C106" s="891"/>
      <c r="D106" s="892"/>
      <c r="E106" s="894">
        <v>21</v>
      </c>
      <c r="F106" s="898"/>
      <c r="G106" s="898"/>
      <c r="H106" s="896"/>
      <c r="I106" s="896"/>
      <c r="J106" s="896"/>
    </row>
    <row r="107" outlineLevel="1" spans="1:11">
      <c r="A107" s="899">
        <v>5</v>
      </c>
      <c r="B107" s="890" t="s">
        <v>72</v>
      </c>
      <c r="C107" s="891"/>
      <c r="D107" s="892"/>
      <c r="E107" s="894">
        <v>11.8</v>
      </c>
      <c r="F107" s="898"/>
      <c r="G107" s="898"/>
      <c r="H107" s="896"/>
      <c r="I107" s="896"/>
      <c r="J107" s="896"/>
    </row>
    <row r="108" outlineLevel="1" spans="1:11">
      <c r="A108" s="899">
        <v>6</v>
      </c>
      <c r="B108" s="890" t="s">
        <v>73</v>
      </c>
      <c r="C108" s="891"/>
      <c r="D108" s="892"/>
      <c r="E108" s="894">
        <v>20.45</v>
      </c>
      <c r="F108" s="898"/>
      <c r="G108" s="898"/>
      <c r="H108" s="896"/>
      <c r="I108" s="896"/>
      <c r="J108" s="896"/>
    </row>
    <row r="109" outlineLevel="1" spans="1:11">
      <c r="A109" s="899">
        <v>7</v>
      </c>
      <c r="B109" s="890" t="s">
        <v>74</v>
      </c>
      <c r="C109" s="891"/>
      <c r="D109" s="892"/>
      <c r="E109" s="894">
        <v>2.88</v>
      </c>
      <c r="F109" s="898"/>
      <c r="G109" s="898"/>
      <c r="H109" s="896"/>
      <c r="I109" s="896"/>
      <c r="J109" s="896"/>
    </row>
    <row r="110" outlineLevel="1" spans="1:11">
      <c r="A110" s="899">
        <v>8</v>
      </c>
      <c r="B110" s="890" t="s">
        <v>75</v>
      </c>
      <c r="C110" s="891"/>
      <c r="D110" s="892"/>
      <c r="E110" s="894">
        <v>3.8</v>
      </c>
      <c r="F110" s="898"/>
      <c r="G110" s="898"/>
      <c r="H110" s="896"/>
      <c r="I110" s="896"/>
      <c r="J110" s="896"/>
    </row>
    <row r="111" outlineLevel="1" spans="1:11">
      <c r="A111" s="899">
        <v>9</v>
      </c>
      <c r="B111" s="890" t="s">
        <v>76</v>
      </c>
      <c r="C111" s="891"/>
      <c r="D111" s="892"/>
      <c r="E111" s="894">
        <v>16</v>
      </c>
      <c r="F111" s="898"/>
      <c r="G111" s="898"/>
      <c r="H111" s="896"/>
      <c r="I111" s="896"/>
      <c r="J111" s="896"/>
    </row>
    <row r="112" outlineLevel="1" spans="1:11">
      <c r="A112" s="899">
        <v>10</v>
      </c>
      <c r="B112" s="890" t="s">
        <v>77</v>
      </c>
      <c r="C112" s="891"/>
      <c r="D112" s="892"/>
      <c r="E112" s="894">
        <v>16</v>
      </c>
      <c r="F112" s="898"/>
      <c r="G112" s="898"/>
      <c r="H112" s="896"/>
      <c r="I112" s="896"/>
      <c r="J112" s="896"/>
    </row>
    <row r="113" outlineLevel="1" spans="1:10">
      <c r="A113" s="899">
        <v>11</v>
      </c>
      <c r="B113" s="890" t="s">
        <v>78</v>
      </c>
      <c r="C113" s="891"/>
      <c r="D113" s="892"/>
      <c r="E113" s="894">
        <v>5</v>
      </c>
      <c r="F113" s="898"/>
      <c r="G113" s="898"/>
      <c r="H113" s="896"/>
      <c r="I113" s="896"/>
      <c r="J113" s="896"/>
    </row>
    <row r="114" outlineLevel="1" spans="1:10">
      <c r="A114" s="899"/>
      <c r="B114" s="890" t="s">
        <v>79</v>
      </c>
      <c r="C114" s="891"/>
      <c r="D114" s="892"/>
      <c r="E114" s="894">
        <v>0.22</v>
      </c>
      <c r="F114" s="898"/>
      <c r="G114" s="898"/>
      <c r="H114" s="896"/>
      <c r="I114" s="896"/>
      <c r="J114" s="896"/>
    </row>
    <row r="115" outlineLevel="1" spans="1:10">
      <c r="A115" s="899"/>
      <c r="B115" s="890" t="s">
        <v>80</v>
      </c>
      <c r="C115" s="891"/>
      <c r="D115" s="892"/>
      <c r="E115" s="894">
        <v>2.36</v>
      </c>
      <c r="F115" s="898"/>
      <c r="G115" s="898"/>
      <c r="H115" s="896"/>
      <c r="I115" s="896"/>
      <c r="J115" s="896"/>
    </row>
    <row r="116" outlineLevel="1" spans="1:10">
      <c r="A116" s="899"/>
      <c r="B116" s="890" t="s">
        <v>81</v>
      </c>
      <c r="C116" s="891"/>
      <c r="D116" s="892"/>
      <c r="E116" s="894">
        <v>4.09</v>
      </c>
      <c r="F116" s="898"/>
      <c r="G116" s="898"/>
      <c r="H116" s="896"/>
      <c r="I116" s="896"/>
      <c r="J116" s="896"/>
    </row>
    <row r="117" outlineLevel="1" spans="1:10">
      <c r="A117" s="899"/>
      <c r="B117" s="890" t="s">
        <v>82</v>
      </c>
      <c r="C117" s="891"/>
      <c r="D117" s="892"/>
      <c r="E117" s="894">
        <v>100</v>
      </c>
      <c r="F117" s="898"/>
      <c r="G117" s="898"/>
      <c r="H117" s="896"/>
      <c r="I117" s="896"/>
      <c r="J117" s="896"/>
    </row>
    <row r="118" outlineLevel="1" spans="1:10">
      <c r="A118" s="899"/>
      <c r="B118" s="890"/>
      <c r="C118" s="891"/>
      <c r="D118" s="892"/>
      <c r="E118" s="894"/>
      <c r="F118" s="898"/>
      <c r="G118" s="898"/>
      <c r="H118" s="896"/>
      <c r="I118" s="896"/>
      <c r="J118" s="896"/>
    </row>
    <row r="119" outlineLevel="1" spans="1:10">
      <c r="A119" s="899"/>
      <c r="B119" s="890"/>
      <c r="C119" s="891"/>
      <c r="D119" s="892"/>
      <c r="E119" s="894"/>
      <c r="F119" s="898"/>
      <c r="G119" s="898"/>
      <c r="H119" s="896"/>
      <c r="I119" s="896"/>
      <c r="J119" s="896"/>
    </row>
    <row r="120" outlineLevel="1" spans="1:10">
      <c r="A120" s="899"/>
      <c r="B120" s="890"/>
      <c r="C120" s="891"/>
      <c r="D120" s="892"/>
      <c r="E120" s="894"/>
      <c r="F120" s="898"/>
      <c r="G120" s="898"/>
      <c r="H120" s="896"/>
      <c r="I120" s="896"/>
      <c r="J120" s="896"/>
    </row>
    <row r="121" outlineLevel="1" spans="1:10">
      <c r="A121" s="899"/>
      <c r="B121" s="890"/>
      <c r="C121" s="891"/>
      <c r="D121" s="892"/>
      <c r="E121" s="894"/>
      <c r="F121" s="898"/>
      <c r="G121" s="898"/>
      <c r="H121" s="896"/>
      <c r="I121" s="896"/>
      <c r="J121" s="896"/>
    </row>
    <row r="122" outlineLevel="1" spans="1:10">
      <c r="A122" s="899"/>
      <c r="B122" s="890"/>
      <c r="C122" s="891"/>
      <c r="D122" s="892"/>
      <c r="E122" s="894"/>
      <c r="F122" s="898"/>
      <c r="G122" s="898"/>
      <c r="H122" s="896"/>
      <c r="I122" s="896"/>
      <c r="J122" s="896"/>
    </row>
    <row r="123" outlineLevel="1" spans="1:10">
      <c r="A123" s="899"/>
      <c r="B123" s="890"/>
      <c r="C123" s="891"/>
      <c r="D123" s="892"/>
      <c r="E123" s="894"/>
      <c r="F123" s="898"/>
      <c r="G123" s="898"/>
      <c r="H123" s="896"/>
      <c r="I123" s="896"/>
      <c r="J123" s="896"/>
    </row>
    <row r="124" outlineLevel="1" spans="1:10">
      <c r="A124" s="874"/>
      <c r="B124" s="890"/>
      <c r="C124" s="891"/>
      <c r="D124" s="892"/>
      <c r="E124" s="898"/>
      <c r="F124" s="896"/>
      <c r="G124" s="896"/>
      <c r="H124" s="896"/>
      <c r="I124" s="896"/>
      <c r="J124" s="896"/>
    </row>
    <row r="125" outlineLevel="1" spans="1:10">
      <c r="A125" s="874"/>
      <c r="B125" s="890"/>
      <c r="C125" s="891"/>
      <c r="D125" s="892"/>
      <c r="E125" s="898"/>
      <c r="F125" s="896"/>
      <c r="G125" s="896"/>
      <c r="H125" s="896"/>
      <c r="I125" s="896"/>
      <c r="J125" s="896"/>
    </row>
    <row r="126" outlineLevel="1" spans="1:10">
      <c r="A126" s="874"/>
      <c r="B126" s="890"/>
      <c r="C126" s="891"/>
      <c r="D126" s="892"/>
      <c r="E126" s="898"/>
      <c r="F126" s="896"/>
      <c r="G126" s="896"/>
      <c r="H126" s="896"/>
      <c r="I126" s="896"/>
      <c r="J126" s="896"/>
    </row>
    <row r="127" outlineLevel="1" spans="1:10">
      <c r="A127" s="874"/>
      <c r="B127" s="890"/>
      <c r="C127" s="891"/>
      <c r="D127" s="892"/>
      <c r="E127" s="898"/>
      <c r="F127" s="896"/>
      <c r="G127" s="896"/>
      <c r="H127" s="896"/>
      <c r="I127" s="896"/>
      <c r="J127" s="896"/>
    </row>
    <row r="128" outlineLevel="1" spans="1:10">
      <c r="A128" s="874"/>
      <c r="B128" s="890"/>
      <c r="C128" s="891"/>
      <c r="D128" s="892"/>
      <c r="E128" s="898"/>
      <c r="F128" s="896"/>
      <c r="G128" s="896"/>
      <c r="H128" s="896"/>
      <c r="I128" s="896"/>
      <c r="J128" s="896"/>
    </row>
    <row r="129" ht="100.05" customHeight="1"/>
    <row r="130" s="852" customFormat="1" ht="18" spans="1:11">
      <c r="A130" s="859" t="s">
        <v>83</v>
      </c>
      <c r="B130" s="859"/>
      <c r="C130" s="859"/>
      <c r="D130" s="859"/>
      <c r="E130" s="859"/>
      <c r="F130" s="859"/>
      <c r="G130" s="859"/>
      <c r="H130" s="859"/>
      <c r="I130" s="880"/>
      <c r="J130" s="881"/>
      <c r="K130" s="861"/>
    </row>
    <row r="131" spans="1:11">
      <c r="A131" s="882" t="s">
        <v>55</v>
      </c>
      <c r="B131" s="883" t="s">
        <v>27</v>
      </c>
      <c r="C131" s="884"/>
      <c r="D131" s="885"/>
      <c r="E131" s="900" t="s">
        <v>84</v>
      </c>
      <c r="F131" s="887" t="s">
        <v>42</v>
      </c>
      <c r="G131" s="887"/>
      <c r="H131" s="896"/>
      <c r="I131" s="896"/>
      <c r="J131" s="896"/>
    </row>
    <row r="132" s="855" customFormat="1" outlineLevel="1" spans="1:11">
      <c r="A132" s="901">
        <v>1</v>
      </c>
      <c r="B132" s="902" t="s">
        <v>85</v>
      </c>
      <c r="C132" s="903"/>
      <c r="D132" s="904"/>
      <c r="E132" s="894"/>
      <c r="F132" s="894">
        <v>20.9</v>
      </c>
      <c r="G132" s="898"/>
      <c r="H132" s="898"/>
      <c r="I132" s="898"/>
      <c r="J132" s="898"/>
      <c r="K132" s="905"/>
    </row>
    <row r="133" s="855" customFormat="1" outlineLevel="1" spans="1:11">
      <c r="A133" s="901">
        <v>2</v>
      </c>
      <c r="B133" s="902" t="s">
        <v>86</v>
      </c>
      <c r="C133" s="903"/>
      <c r="D133" s="904"/>
      <c r="E133" s="894"/>
      <c r="F133" s="894">
        <v>39.9</v>
      </c>
      <c r="G133" s="898"/>
      <c r="H133" s="898"/>
      <c r="I133" s="898"/>
      <c r="J133" s="898"/>
      <c r="K133" s="905"/>
    </row>
    <row r="134" s="855" customFormat="1" outlineLevel="1" spans="1:11">
      <c r="A134" s="901">
        <v>3</v>
      </c>
      <c r="B134" s="902" t="s">
        <v>87</v>
      </c>
      <c r="C134" s="903"/>
      <c r="D134" s="904"/>
      <c r="E134" s="894"/>
      <c r="F134" s="894">
        <v>67</v>
      </c>
      <c r="G134" s="898"/>
      <c r="H134" s="898"/>
      <c r="I134" s="898"/>
      <c r="J134" s="898"/>
      <c r="K134" s="905"/>
    </row>
    <row r="135" s="855" customFormat="1" outlineLevel="1" spans="1:11">
      <c r="A135" s="901">
        <v>4</v>
      </c>
      <c r="B135" s="902" t="s">
        <v>88</v>
      </c>
      <c r="C135" s="903"/>
      <c r="D135" s="904"/>
      <c r="E135" s="894"/>
      <c r="F135" s="894">
        <v>19.9</v>
      </c>
      <c r="G135" s="898"/>
      <c r="H135" s="898"/>
      <c r="I135" s="898"/>
      <c r="J135" s="898"/>
      <c r="K135" s="905"/>
    </row>
    <row r="136" s="855" customFormat="1" outlineLevel="1" spans="1:11">
      <c r="A136" s="901">
        <v>5</v>
      </c>
      <c r="B136" s="902" t="s">
        <v>89</v>
      </c>
      <c r="C136" s="903"/>
      <c r="D136" s="904"/>
      <c r="E136" s="894"/>
      <c r="F136" s="894">
        <v>29.5</v>
      </c>
      <c r="G136" s="898"/>
      <c r="H136" s="898"/>
      <c r="I136" s="898"/>
      <c r="J136" s="898"/>
      <c r="K136" s="905"/>
    </row>
    <row r="137" s="855" customFormat="1" outlineLevel="1" spans="1:11">
      <c r="A137" s="901">
        <v>6</v>
      </c>
      <c r="B137" s="902" t="s">
        <v>90</v>
      </c>
      <c r="C137" s="903"/>
      <c r="D137" s="904"/>
      <c r="E137" s="894"/>
      <c r="F137" s="894">
        <v>39</v>
      </c>
      <c r="G137" s="898"/>
      <c r="H137" s="898"/>
      <c r="I137" s="898"/>
      <c r="J137" s="898"/>
      <c r="K137" s="905"/>
    </row>
    <row r="138" s="855" customFormat="1" outlineLevel="1" spans="1:11">
      <c r="A138" s="901">
        <v>7</v>
      </c>
      <c r="B138" s="902" t="s">
        <v>91</v>
      </c>
      <c r="C138" s="903"/>
      <c r="D138" s="904"/>
      <c r="E138" s="894"/>
      <c r="F138" s="894">
        <v>36.6</v>
      </c>
      <c r="G138" s="898"/>
      <c r="H138" s="898"/>
      <c r="I138" s="898"/>
      <c r="J138" s="898"/>
      <c r="K138" s="905"/>
    </row>
    <row r="139" s="855" customFormat="1" outlineLevel="1" spans="1:11">
      <c r="A139" s="901">
        <v>8</v>
      </c>
      <c r="B139" s="902" t="s">
        <v>92</v>
      </c>
      <c r="C139" s="903"/>
      <c r="D139" s="904"/>
      <c r="E139" s="894"/>
      <c r="F139" s="894">
        <v>2.3</v>
      </c>
      <c r="G139" s="898"/>
      <c r="H139" s="898"/>
      <c r="I139" s="898"/>
      <c r="J139" s="898"/>
      <c r="K139" s="905"/>
    </row>
    <row r="140" s="855" customFormat="1" outlineLevel="1" spans="1:11">
      <c r="A140" s="901">
        <v>9</v>
      </c>
      <c r="B140" s="902" t="s">
        <v>93</v>
      </c>
      <c r="C140" s="903"/>
      <c r="D140" s="904"/>
      <c r="E140" s="894"/>
      <c r="F140" s="894">
        <v>2.62</v>
      </c>
      <c r="G140" s="898"/>
      <c r="H140" s="898"/>
      <c r="I140" s="898"/>
      <c r="J140" s="898"/>
      <c r="K140" s="905"/>
    </row>
    <row r="141" s="855" customFormat="1" outlineLevel="1" spans="1:11">
      <c r="A141" s="901">
        <v>10</v>
      </c>
      <c r="B141" s="902" t="s">
        <v>94</v>
      </c>
      <c r="C141" s="903"/>
      <c r="D141" s="904"/>
      <c r="E141" s="894"/>
      <c r="F141" s="894">
        <v>30</v>
      </c>
      <c r="G141" s="898"/>
      <c r="H141" s="898"/>
      <c r="I141" s="898"/>
      <c r="J141" s="898"/>
      <c r="K141" s="905"/>
    </row>
    <row r="142" s="855" customFormat="1" outlineLevel="1" spans="1:11">
      <c r="A142" s="901">
        <v>11</v>
      </c>
      <c r="B142" s="902" t="s">
        <v>95</v>
      </c>
      <c r="C142" s="903"/>
      <c r="D142" s="904"/>
      <c r="E142" s="894"/>
      <c r="F142" s="894">
        <v>14.3</v>
      </c>
      <c r="G142" s="898"/>
      <c r="H142" s="898"/>
      <c r="I142" s="898"/>
      <c r="J142" s="898"/>
      <c r="K142" s="905"/>
    </row>
    <row r="143" s="855" customFormat="1" outlineLevel="1" spans="1:11">
      <c r="A143" s="901">
        <v>12</v>
      </c>
      <c r="B143" s="906" t="s">
        <v>96</v>
      </c>
      <c r="C143" s="903"/>
      <c r="D143" s="904"/>
      <c r="E143" s="894"/>
      <c r="F143" s="894">
        <v>89.9</v>
      </c>
      <c r="G143" s="898"/>
      <c r="H143" s="898"/>
      <c r="I143" s="898"/>
      <c r="J143" s="898"/>
      <c r="K143" s="905"/>
    </row>
    <row r="144" s="855" customFormat="1" outlineLevel="1" spans="1:11">
      <c r="A144" s="901">
        <v>13</v>
      </c>
      <c r="B144" s="902" t="s">
        <v>97</v>
      </c>
      <c r="C144" s="903"/>
      <c r="D144" s="904"/>
      <c r="E144" s="894"/>
      <c r="F144" s="894">
        <v>89.9</v>
      </c>
      <c r="G144" s="898"/>
      <c r="H144" s="898"/>
      <c r="I144" s="898"/>
      <c r="J144" s="898"/>
      <c r="K144" s="905"/>
    </row>
    <row r="145" s="855" customFormat="1" outlineLevel="1" spans="1:11">
      <c r="A145" s="901">
        <v>14</v>
      </c>
      <c r="B145" s="902" t="s">
        <v>98</v>
      </c>
      <c r="C145" s="903"/>
      <c r="D145" s="904"/>
      <c r="E145" s="894"/>
      <c r="F145" s="894">
        <v>55</v>
      </c>
      <c r="G145" s="898"/>
      <c r="H145" s="898"/>
      <c r="I145" s="898"/>
      <c r="J145" s="898"/>
      <c r="K145" s="905"/>
    </row>
    <row r="146" s="855" customFormat="1" outlineLevel="1" spans="1:11">
      <c r="A146" s="901">
        <v>15</v>
      </c>
      <c r="B146" s="902" t="s">
        <v>99</v>
      </c>
      <c r="C146" s="903"/>
      <c r="D146" s="904"/>
      <c r="E146" s="894"/>
      <c r="F146" s="894">
        <v>40.9</v>
      </c>
      <c r="G146" s="898"/>
      <c r="H146" s="898"/>
      <c r="I146" s="898"/>
      <c r="J146" s="898"/>
      <c r="K146" s="905"/>
    </row>
    <row r="147" s="855" customFormat="1" outlineLevel="1" spans="1:11">
      <c r="A147" s="901">
        <v>16</v>
      </c>
      <c r="B147" s="902" t="s">
        <v>100</v>
      </c>
      <c r="C147" s="903"/>
      <c r="D147" s="904"/>
      <c r="E147" s="894"/>
      <c r="F147" s="894">
        <v>356</v>
      </c>
      <c r="G147" s="898"/>
      <c r="H147" s="898"/>
      <c r="I147" s="898"/>
      <c r="J147" s="898"/>
      <c r="K147" s="905"/>
    </row>
    <row r="148" s="855" customFormat="1" outlineLevel="1" spans="1:11">
      <c r="A148" s="901">
        <v>17</v>
      </c>
      <c r="B148" s="902" t="s">
        <v>101</v>
      </c>
      <c r="C148" s="903"/>
      <c r="D148" s="904"/>
      <c r="E148" s="894"/>
      <c r="F148" s="894">
        <v>47.88</v>
      </c>
      <c r="G148" s="898"/>
      <c r="H148" s="898"/>
      <c r="I148" s="898"/>
      <c r="J148" s="898"/>
      <c r="K148" s="905"/>
    </row>
    <row r="149" s="855" customFormat="1" outlineLevel="1" spans="1:11">
      <c r="A149" s="901">
        <v>18</v>
      </c>
      <c r="B149" s="902" t="s">
        <v>102</v>
      </c>
      <c r="C149" s="903"/>
      <c r="D149" s="904"/>
      <c r="E149" s="894"/>
      <c r="F149" s="894">
        <v>22.4</v>
      </c>
      <c r="G149" s="898"/>
      <c r="H149" s="898"/>
      <c r="I149" s="898"/>
      <c r="J149" s="898"/>
      <c r="K149" s="905"/>
    </row>
    <row r="150" s="855" customFormat="1" outlineLevel="1" spans="1:11">
      <c r="A150" s="901">
        <v>19</v>
      </c>
      <c r="B150" s="902" t="s">
        <v>103</v>
      </c>
      <c r="C150" s="903"/>
      <c r="D150" s="904"/>
      <c r="E150" s="894"/>
      <c r="F150" s="894">
        <v>34</v>
      </c>
      <c r="G150" s="898"/>
      <c r="H150" s="898"/>
      <c r="I150" s="898"/>
      <c r="J150" s="898"/>
      <c r="K150" s="905"/>
    </row>
    <row r="151" s="855" customFormat="1" outlineLevel="1" spans="1:11">
      <c r="A151" s="901">
        <v>20</v>
      </c>
      <c r="B151" s="902" t="s">
        <v>104</v>
      </c>
      <c r="C151" s="903"/>
      <c r="D151" s="904"/>
      <c r="E151" s="894"/>
      <c r="F151" s="894">
        <v>15</v>
      </c>
      <c r="G151" s="898"/>
      <c r="H151" s="898"/>
      <c r="I151" s="898"/>
      <c r="J151" s="898"/>
      <c r="K151" s="905"/>
    </row>
    <row r="152" s="855" customFormat="1" outlineLevel="1" spans="1:11">
      <c r="A152" s="901">
        <v>21</v>
      </c>
      <c r="B152" s="902" t="s">
        <v>105</v>
      </c>
      <c r="C152" s="903"/>
      <c r="D152" s="904"/>
      <c r="E152" s="894"/>
      <c r="F152" s="894">
        <v>7.7</v>
      </c>
      <c r="G152" s="898"/>
      <c r="H152" s="898"/>
      <c r="I152" s="898"/>
      <c r="J152" s="898"/>
      <c r="K152" s="905"/>
    </row>
    <row r="153" s="855" customFormat="1" outlineLevel="1" spans="1:11">
      <c r="A153" s="901">
        <v>22</v>
      </c>
      <c r="B153" s="902" t="s">
        <v>106</v>
      </c>
      <c r="C153" s="903"/>
      <c r="D153" s="904"/>
      <c r="E153" s="894"/>
      <c r="F153" s="894">
        <v>19.99</v>
      </c>
      <c r="G153" s="898"/>
      <c r="H153" s="898"/>
      <c r="I153" s="898"/>
      <c r="J153" s="898"/>
      <c r="K153" s="905"/>
    </row>
    <row r="154" s="855" customFormat="1" outlineLevel="1" spans="1:11">
      <c r="A154" s="901">
        <v>23</v>
      </c>
      <c r="B154" s="902" t="s">
        <v>107</v>
      </c>
      <c r="C154" s="903"/>
      <c r="D154" s="904"/>
      <c r="E154" s="894"/>
      <c r="F154" s="894">
        <v>298</v>
      </c>
      <c r="G154" s="898"/>
      <c r="H154" s="898"/>
      <c r="I154" s="898"/>
      <c r="J154" s="898"/>
      <c r="K154" s="905"/>
    </row>
    <row r="155" s="855" customFormat="1" outlineLevel="1" spans="1:11">
      <c r="A155" s="901">
        <v>24</v>
      </c>
      <c r="B155" s="902" t="s">
        <v>108</v>
      </c>
      <c r="C155" s="903"/>
      <c r="D155" s="904"/>
      <c r="E155" s="894"/>
      <c r="F155" s="894">
        <v>10</v>
      </c>
      <c r="G155" s="898"/>
      <c r="H155" s="898"/>
      <c r="I155" s="898"/>
      <c r="J155" s="898"/>
      <c r="K155" s="905"/>
    </row>
    <row r="156" s="855" customFormat="1" outlineLevel="1" spans="1:11">
      <c r="A156" s="901">
        <v>25</v>
      </c>
      <c r="B156" s="902" t="s">
        <v>109</v>
      </c>
      <c r="C156" s="903"/>
      <c r="D156" s="904"/>
      <c r="E156" s="894"/>
      <c r="F156" s="894">
        <v>10</v>
      </c>
      <c r="G156" s="898"/>
      <c r="H156" s="898"/>
      <c r="I156" s="898"/>
      <c r="J156" s="898"/>
      <c r="K156" s="905"/>
    </row>
    <row r="157" s="855" customFormat="1" outlineLevel="1" spans="1:11">
      <c r="A157" s="901">
        <v>26</v>
      </c>
      <c r="B157" s="902" t="s">
        <v>110</v>
      </c>
      <c r="C157" s="903"/>
      <c r="D157" s="904"/>
      <c r="E157" s="894"/>
      <c r="F157" s="894">
        <v>229.6</v>
      </c>
      <c r="G157" s="898"/>
      <c r="H157" s="898"/>
      <c r="I157" s="898"/>
      <c r="J157" s="898"/>
      <c r="K157" s="905"/>
    </row>
    <row r="158" s="855" customFormat="1" outlineLevel="1" spans="1:11">
      <c r="A158" s="901">
        <v>27</v>
      </c>
      <c r="B158" s="902" t="s">
        <v>111</v>
      </c>
      <c r="C158" s="903"/>
      <c r="D158" s="904"/>
      <c r="E158" s="894" t="s">
        <v>112</v>
      </c>
      <c r="F158" s="894">
        <v>2.2</v>
      </c>
      <c r="G158" s="898"/>
      <c r="H158" s="898"/>
      <c r="I158" s="898"/>
      <c r="J158" s="898"/>
      <c r="K158" s="905"/>
    </row>
    <row r="159" s="855" customFormat="1" outlineLevel="1" spans="1:11">
      <c r="A159" s="901">
        <v>28</v>
      </c>
      <c r="B159" s="902"/>
      <c r="C159" s="903"/>
      <c r="D159" s="904"/>
      <c r="E159" s="894"/>
      <c r="F159" s="894"/>
      <c r="G159" s="898"/>
      <c r="H159" s="898"/>
      <c r="I159" s="898"/>
      <c r="J159" s="898"/>
      <c r="K159" s="905"/>
    </row>
    <row r="160" s="855" customFormat="1" outlineLevel="1" spans="1:11">
      <c r="A160" s="901">
        <v>29</v>
      </c>
      <c r="B160" s="902"/>
      <c r="C160" s="903"/>
      <c r="D160" s="904"/>
      <c r="E160" s="894"/>
      <c r="F160" s="894"/>
      <c r="G160" s="898"/>
      <c r="H160" s="898"/>
      <c r="I160" s="898"/>
      <c r="J160" s="898"/>
      <c r="K160" s="905"/>
    </row>
    <row r="161" s="855" customFormat="1" outlineLevel="1" spans="1:11">
      <c r="A161" s="901">
        <v>30</v>
      </c>
      <c r="B161" s="902"/>
      <c r="C161" s="903"/>
      <c r="D161" s="904"/>
      <c r="E161" s="894"/>
      <c r="F161" s="894"/>
      <c r="G161" s="898"/>
      <c r="H161" s="898"/>
      <c r="I161" s="898"/>
      <c r="J161" s="898"/>
      <c r="K161" s="905"/>
    </row>
    <row r="162" s="855" customFormat="1" outlineLevel="1" spans="1:11">
      <c r="A162" s="901">
        <v>31</v>
      </c>
      <c r="B162" s="902"/>
      <c r="C162" s="903"/>
      <c r="D162" s="904"/>
      <c r="E162" s="894"/>
      <c r="F162" s="894"/>
      <c r="G162" s="898"/>
      <c r="H162" s="898"/>
      <c r="I162" s="898"/>
      <c r="J162" s="898"/>
      <c r="K162" s="905"/>
    </row>
    <row r="163" s="855" customFormat="1" outlineLevel="1" spans="1:11">
      <c r="A163" s="901">
        <v>32</v>
      </c>
      <c r="B163" s="902"/>
      <c r="C163" s="903"/>
      <c r="D163" s="904"/>
      <c r="E163" s="894"/>
      <c r="F163" s="894"/>
      <c r="G163" s="898"/>
      <c r="H163" s="898"/>
      <c r="I163" s="898"/>
      <c r="J163" s="898"/>
      <c r="K163" s="905"/>
    </row>
    <row r="164" s="855" customFormat="1" outlineLevel="1" spans="1:11">
      <c r="A164" s="901">
        <v>33</v>
      </c>
      <c r="B164" s="902"/>
      <c r="C164" s="903"/>
      <c r="D164" s="904"/>
      <c r="E164" s="894"/>
      <c r="F164" s="894"/>
      <c r="G164" s="898"/>
      <c r="H164" s="898"/>
      <c r="I164" s="898"/>
      <c r="J164" s="898"/>
      <c r="K164" s="905"/>
    </row>
    <row r="165" s="855" customFormat="1" outlineLevel="1" spans="1:11">
      <c r="A165" s="901">
        <v>34</v>
      </c>
      <c r="B165" s="902"/>
      <c r="C165" s="903"/>
      <c r="D165" s="904"/>
      <c r="E165" s="894"/>
      <c r="F165" s="894"/>
      <c r="G165" s="898"/>
      <c r="H165" s="898"/>
      <c r="I165" s="898"/>
      <c r="J165" s="898"/>
      <c r="K165" s="905"/>
    </row>
    <row r="166" s="855" customFormat="1" outlineLevel="1" spans="1:11">
      <c r="A166" s="901">
        <v>35</v>
      </c>
      <c r="B166" s="902"/>
      <c r="C166" s="903"/>
      <c r="D166" s="904"/>
      <c r="E166" s="894"/>
      <c r="F166" s="894"/>
      <c r="G166" s="898"/>
      <c r="H166" s="898"/>
      <c r="I166" s="898"/>
      <c r="J166" s="898"/>
      <c r="K166" s="905"/>
    </row>
    <row r="167" s="855" customFormat="1" outlineLevel="1" spans="1:11">
      <c r="A167" s="901">
        <v>36</v>
      </c>
      <c r="B167" s="902"/>
      <c r="C167" s="903"/>
      <c r="D167" s="904"/>
      <c r="E167" s="894"/>
      <c r="F167" s="894"/>
      <c r="G167" s="898"/>
      <c r="H167" s="898"/>
      <c r="I167" s="898"/>
      <c r="J167" s="898"/>
      <c r="K167" s="905"/>
    </row>
    <row r="168" s="855" customFormat="1" outlineLevel="1" spans="1:11">
      <c r="A168" s="901">
        <v>37</v>
      </c>
      <c r="B168" s="902"/>
      <c r="C168" s="903"/>
      <c r="D168" s="904"/>
      <c r="E168" s="894"/>
      <c r="F168" s="894"/>
      <c r="G168" s="898"/>
      <c r="H168" s="898"/>
      <c r="I168" s="898"/>
      <c r="J168" s="898"/>
      <c r="K168" s="905"/>
    </row>
    <row r="169" s="855" customFormat="1" outlineLevel="1" spans="1:11">
      <c r="A169" s="901">
        <v>38</v>
      </c>
      <c r="B169" s="902"/>
      <c r="C169" s="903"/>
      <c r="D169" s="904"/>
      <c r="E169" s="894"/>
      <c r="F169" s="894"/>
      <c r="G169" s="898"/>
      <c r="H169" s="898"/>
      <c r="I169" s="898"/>
      <c r="J169" s="898"/>
      <c r="K169" s="905"/>
    </row>
    <row r="170" s="855" customFormat="1" outlineLevel="1" spans="1:11">
      <c r="A170" s="901">
        <v>39</v>
      </c>
      <c r="B170" s="902"/>
      <c r="C170" s="903"/>
      <c r="D170" s="904"/>
      <c r="E170" s="894"/>
      <c r="F170" s="894"/>
      <c r="G170" s="898"/>
      <c r="H170" s="898"/>
      <c r="I170" s="898"/>
      <c r="J170" s="898"/>
      <c r="K170" s="905"/>
    </row>
    <row r="171" s="855" customFormat="1" outlineLevel="1" spans="1:11">
      <c r="A171" s="901">
        <v>40</v>
      </c>
      <c r="B171" s="902"/>
      <c r="C171" s="903"/>
      <c r="D171" s="904"/>
      <c r="E171" s="894"/>
      <c r="F171" s="894"/>
      <c r="G171" s="898"/>
      <c r="H171" s="898"/>
      <c r="I171" s="898"/>
      <c r="J171" s="898"/>
      <c r="K171" s="905"/>
    </row>
    <row r="172" s="855" customFormat="1" outlineLevel="1" spans="1:11">
      <c r="A172" s="901">
        <v>41</v>
      </c>
      <c r="B172" s="902"/>
      <c r="C172" s="903"/>
      <c r="D172" s="904"/>
      <c r="E172" s="894"/>
      <c r="F172" s="894"/>
      <c r="G172" s="898"/>
      <c r="H172" s="898"/>
      <c r="I172" s="898"/>
      <c r="J172" s="898"/>
      <c r="K172" s="905"/>
    </row>
    <row r="173" s="855" customFormat="1" outlineLevel="1" spans="1:11">
      <c r="A173" s="901">
        <v>42</v>
      </c>
      <c r="B173" s="902"/>
      <c r="C173" s="903"/>
      <c r="D173" s="904"/>
      <c r="E173" s="894"/>
      <c r="F173" s="894"/>
      <c r="G173" s="898"/>
      <c r="H173" s="898"/>
      <c r="I173" s="898"/>
      <c r="J173" s="898"/>
      <c r="K173" s="905"/>
    </row>
    <row r="174" s="855" customFormat="1" outlineLevel="1" spans="1:11">
      <c r="A174" s="901">
        <v>43</v>
      </c>
      <c r="B174" s="902"/>
      <c r="C174" s="903"/>
      <c r="D174" s="904"/>
      <c r="E174" s="894"/>
      <c r="F174" s="894"/>
      <c r="G174" s="898"/>
      <c r="H174" s="898"/>
      <c r="I174" s="898"/>
      <c r="J174" s="898"/>
      <c r="K174" s="905"/>
    </row>
    <row r="175" s="855" customFormat="1" outlineLevel="1" spans="1:11">
      <c r="A175" s="901"/>
      <c r="B175" s="902"/>
      <c r="C175" s="903"/>
      <c r="D175" s="904"/>
      <c r="E175" s="894"/>
      <c r="F175" s="894"/>
      <c r="G175" s="898"/>
      <c r="H175" s="898"/>
      <c r="I175" s="898"/>
      <c r="J175" s="898"/>
      <c r="K175" s="905"/>
    </row>
    <row r="176" s="855" customFormat="1" outlineLevel="1" spans="1:11">
      <c r="A176" s="901"/>
      <c r="B176" s="902"/>
      <c r="C176" s="903"/>
      <c r="D176" s="904"/>
      <c r="E176" s="894"/>
      <c r="F176" s="894"/>
      <c r="G176" s="898"/>
      <c r="H176" s="898"/>
      <c r="I176" s="898"/>
      <c r="J176" s="898"/>
      <c r="K176" s="905"/>
    </row>
  </sheetData>
  <mergeCells count="1">
    <mergeCell ref="A1:K1"/>
  </mergeCells>
  <conditionalFormatting sqref="B132:B174">
    <cfRule type="duplicateValues" dxfId="0" priority="20"/>
  </conditionalFormatting>
  <conditionalFormatting sqref="B154:B155">
    <cfRule type="duplicateValues" dxfId="0" priority="10"/>
  </conditionalFormatting>
  <conditionalFormatting sqref="B156:B157">
    <cfRule type="duplicateValues" dxfId="0" priority="11"/>
  </conditionalFormatting>
  <conditionalFormatting sqref="B158:B159">
    <cfRule type="duplicateValues" dxfId="0" priority="12"/>
  </conditionalFormatting>
  <conditionalFormatting sqref="B160:B161">
    <cfRule type="duplicateValues" dxfId="0" priority="4"/>
  </conditionalFormatting>
  <conditionalFormatting sqref="B162:B163">
    <cfRule type="duplicateValues" dxfId="0" priority="5"/>
  </conditionalFormatting>
  <conditionalFormatting sqref="B164:B165">
    <cfRule type="duplicateValues" dxfId="0" priority="6"/>
  </conditionalFormatting>
  <conditionalFormatting sqref="B166:B167">
    <cfRule type="duplicateValues" dxfId="0" priority="7"/>
  </conditionalFormatting>
  <conditionalFormatting sqref="B168:B169">
    <cfRule type="duplicateValues" dxfId="0" priority="8"/>
  </conditionalFormatting>
  <conditionalFormatting sqref="B170:B171">
    <cfRule type="duplicateValues" dxfId="0" priority="9"/>
  </conditionalFormatting>
  <conditionalFormatting sqref="B172:B173">
    <cfRule type="duplicateValues" dxfId="0" priority="13"/>
  </conditionalFormatting>
  <conditionalFormatting sqref="B175:B176">
    <cfRule type="duplicateValues" dxfId="0" priority="1"/>
    <cfRule type="duplicateValues" dxfId="0" priority="2"/>
  </conditionalFormatting>
  <conditionalFormatting sqref="B174;B132:B153">
    <cfRule type="duplicateValues" dxfId="0" priority="14"/>
  </conditionalFormatting>
  <pageMargins left="0.511811024" right="0.511811024" top="0.787401575" bottom="0.787401575" header="0.31496062" footer="0.31496062"/>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Planilha3">
    <tabColor theme="0" tint="-0.499984740745262"/>
  </sheetPr>
  <dimension ref="A1:I274"/>
  <sheetViews>
    <sheetView showGridLines="0" zoomScale="85" zoomScaleNormal="85" workbookViewId="0">
      <pane ySplit="2" topLeftCell="A3" activePane="bottomLeft" state="frozen"/>
      <selection/>
      <selection pane="bottomLeft" activeCell="E25" sqref="E25"/>
    </sheetView>
  </sheetViews>
  <sheetFormatPr defaultColWidth="9" defaultRowHeight="12.75"/>
  <cols>
    <col min="1" max="1" width="9.55238095238095" style="818" customWidth="1"/>
    <col min="2" max="2" width="41.1047619047619" style="818" customWidth="1"/>
    <col min="3" max="3" width="16.7809523809524" style="819" customWidth="1"/>
    <col min="4" max="4" width="16.7809523809524" style="820" customWidth="1"/>
    <col min="5" max="7" width="16.7809523809524" style="819" customWidth="1"/>
    <col min="8" max="8" width="16.7809523809524" style="821" customWidth="1"/>
    <col min="9" max="9" width="16.7809523809524" style="819" customWidth="1"/>
    <col min="10" max="202" width="8.88571428571429" style="818"/>
    <col min="203" max="203" width="9.55238095238095" style="818" customWidth="1"/>
    <col min="204" max="204" width="57.552380952381" style="818" customWidth="1"/>
    <col min="205" max="205" width="12.8857142857143" style="818" customWidth="1"/>
    <col min="206" max="206" width="12.3333333333333" style="818" customWidth="1"/>
    <col min="207" max="207" width="13.6666666666667" style="818" customWidth="1"/>
    <col min="208" max="208" width="17.3333333333333" style="818" customWidth="1"/>
    <col min="209" max="210" width="14.3333333333333" style="818" customWidth="1"/>
    <col min="211" max="211" width="18.6666666666667" style="818" customWidth="1"/>
    <col min="212" max="212" width="14.4380952380952" style="818" customWidth="1"/>
    <col min="213" max="213" width="17.4380952380952" style="818" customWidth="1"/>
    <col min="214" max="214" width="15.552380952381" style="818" customWidth="1"/>
    <col min="215" max="215" width="16.4380952380952" style="818" customWidth="1"/>
    <col min="216" max="216" width="23.6666666666667" style="818" customWidth="1"/>
    <col min="217" max="217" width="14.1047619047619" style="818" customWidth="1"/>
    <col min="218" max="218" width="17.1047619047619" style="818" customWidth="1"/>
    <col min="219" max="219" width="21.3333333333333" style="818" customWidth="1"/>
    <col min="220" max="220" width="16" style="818" customWidth="1"/>
    <col min="221" max="221" width="22.1047619047619" style="818" customWidth="1"/>
    <col min="222" max="222" width="14.1047619047619" style="818" customWidth="1"/>
    <col min="223" max="223" width="17.4380952380952" style="818" customWidth="1"/>
    <col min="224" max="224" width="21.1047619047619" style="818" customWidth="1"/>
    <col min="225" max="225" width="15.552380952381" style="818" customWidth="1"/>
    <col min="226" max="458" width="8.88571428571429" style="818"/>
    <col min="459" max="459" width="9.55238095238095" style="818" customWidth="1"/>
    <col min="460" max="460" width="57.552380952381" style="818" customWidth="1"/>
    <col min="461" max="461" width="12.8857142857143" style="818" customWidth="1"/>
    <col min="462" max="462" width="12.3333333333333" style="818" customWidth="1"/>
    <col min="463" max="463" width="13.6666666666667" style="818" customWidth="1"/>
    <col min="464" max="464" width="17.3333333333333" style="818" customWidth="1"/>
    <col min="465" max="466" width="14.3333333333333" style="818" customWidth="1"/>
    <col min="467" max="467" width="18.6666666666667" style="818" customWidth="1"/>
    <col min="468" max="468" width="14.4380952380952" style="818" customWidth="1"/>
    <col min="469" max="469" width="17.4380952380952" style="818" customWidth="1"/>
    <col min="470" max="470" width="15.552380952381" style="818" customWidth="1"/>
    <col min="471" max="471" width="16.4380952380952" style="818" customWidth="1"/>
    <col min="472" max="472" width="23.6666666666667" style="818" customWidth="1"/>
    <col min="473" max="473" width="14.1047619047619" style="818" customWidth="1"/>
    <col min="474" max="474" width="17.1047619047619" style="818" customWidth="1"/>
    <col min="475" max="475" width="21.3333333333333" style="818" customWidth="1"/>
    <col min="476" max="476" width="16" style="818" customWidth="1"/>
    <col min="477" max="477" width="22.1047619047619" style="818" customWidth="1"/>
    <col min="478" max="478" width="14.1047619047619" style="818" customWidth="1"/>
    <col min="479" max="479" width="17.4380952380952" style="818" customWidth="1"/>
    <col min="480" max="480" width="21.1047619047619" style="818" customWidth="1"/>
    <col min="481" max="481" width="15.552380952381" style="818" customWidth="1"/>
    <col min="482" max="714" width="8.88571428571429" style="818"/>
    <col min="715" max="715" width="9.55238095238095" style="818" customWidth="1"/>
    <col min="716" max="716" width="57.552380952381" style="818" customWidth="1"/>
    <col min="717" max="717" width="12.8857142857143" style="818" customWidth="1"/>
    <col min="718" max="718" width="12.3333333333333" style="818" customWidth="1"/>
    <col min="719" max="719" width="13.6666666666667" style="818" customWidth="1"/>
    <col min="720" max="720" width="17.3333333333333" style="818" customWidth="1"/>
    <col min="721" max="722" width="14.3333333333333" style="818" customWidth="1"/>
    <col min="723" max="723" width="18.6666666666667" style="818" customWidth="1"/>
    <col min="724" max="724" width="14.4380952380952" style="818" customWidth="1"/>
    <col min="725" max="725" width="17.4380952380952" style="818" customWidth="1"/>
    <col min="726" max="726" width="15.552380952381" style="818" customWidth="1"/>
    <col min="727" max="727" width="16.4380952380952" style="818" customWidth="1"/>
    <col min="728" max="728" width="23.6666666666667" style="818" customWidth="1"/>
    <col min="729" max="729" width="14.1047619047619" style="818" customWidth="1"/>
    <col min="730" max="730" width="17.1047619047619" style="818" customWidth="1"/>
    <col min="731" max="731" width="21.3333333333333" style="818" customWidth="1"/>
    <col min="732" max="732" width="16" style="818" customWidth="1"/>
    <col min="733" max="733" width="22.1047619047619" style="818" customWidth="1"/>
    <col min="734" max="734" width="14.1047619047619" style="818" customWidth="1"/>
    <col min="735" max="735" width="17.4380952380952" style="818" customWidth="1"/>
    <col min="736" max="736" width="21.1047619047619" style="818" customWidth="1"/>
    <col min="737" max="737" width="15.552380952381" style="818" customWidth="1"/>
    <col min="738" max="970" width="8.88571428571429" style="818"/>
    <col min="971" max="971" width="9.55238095238095" style="818" customWidth="1"/>
    <col min="972" max="972" width="57.552380952381" style="818" customWidth="1"/>
    <col min="973" max="973" width="12.8857142857143" style="818" customWidth="1"/>
    <col min="974" max="974" width="12.3333333333333" style="818" customWidth="1"/>
    <col min="975" max="975" width="13.6666666666667" style="818" customWidth="1"/>
    <col min="976" max="976" width="17.3333333333333" style="818" customWidth="1"/>
    <col min="977" max="978" width="14.3333333333333" style="818" customWidth="1"/>
    <col min="979" max="979" width="18.6666666666667" style="818" customWidth="1"/>
    <col min="980" max="980" width="14.4380952380952" style="818" customWidth="1"/>
    <col min="981" max="981" width="17.4380952380952" style="818" customWidth="1"/>
    <col min="982" max="982" width="15.552380952381" style="818" customWidth="1"/>
    <col min="983" max="983" width="16.4380952380952" style="818" customWidth="1"/>
    <col min="984" max="984" width="23.6666666666667" style="818" customWidth="1"/>
    <col min="985" max="985" width="14.1047619047619" style="818" customWidth="1"/>
    <col min="986" max="986" width="17.1047619047619" style="818" customWidth="1"/>
    <col min="987" max="987" width="21.3333333333333" style="818" customWidth="1"/>
    <col min="988" max="988" width="16" style="818" customWidth="1"/>
    <col min="989" max="989" width="22.1047619047619" style="818" customWidth="1"/>
    <col min="990" max="990" width="14.1047619047619" style="818" customWidth="1"/>
    <col min="991" max="991" width="17.4380952380952" style="818" customWidth="1"/>
    <col min="992" max="992" width="21.1047619047619" style="818" customWidth="1"/>
    <col min="993" max="993" width="15.552380952381" style="818" customWidth="1"/>
    <col min="994" max="1226" width="8.88571428571429" style="818"/>
    <col min="1227" max="1227" width="9.55238095238095" style="818" customWidth="1"/>
    <col min="1228" max="1228" width="57.552380952381" style="818" customWidth="1"/>
    <col min="1229" max="1229" width="12.8857142857143" style="818" customWidth="1"/>
    <col min="1230" max="1230" width="12.3333333333333" style="818" customWidth="1"/>
    <col min="1231" max="1231" width="13.6666666666667" style="818" customWidth="1"/>
    <col min="1232" max="1232" width="17.3333333333333" style="818" customWidth="1"/>
    <col min="1233" max="1234" width="14.3333333333333" style="818" customWidth="1"/>
    <col min="1235" max="1235" width="18.6666666666667" style="818" customWidth="1"/>
    <col min="1236" max="1236" width="14.4380952380952" style="818" customWidth="1"/>
    <col min="1237" max="1237" width="17.4380952380952" style="818" customWidth="1"/>
    <col min="1238" max="1238" width="15.552380952381" style="818" customWidth="1"/>
    <col min="1239" max="1239" width="16.4380952380952" style="818" customWidth="1"/>
    <col min="1240" max="1240" width="23.6666666666667" style="818" customWidth="1"/>
    <col min="1241" max="1241" width="14.1047619047619" style="818" customWidth="1"/>
    <col min="1242" max="1242" width="17.1047619047619" style="818" customWidth="1"/>
    <col min="1243" max="1243" width="21.3333333333333" style="818" customWidth="1"/>
    <col min="1244" max="1244" width="16" style="818" customWidth="1"/>
    <col min="1245" max="1245" width="22.1047619047619" style="818" customWidth="1"/>
    <col min="1246" max="1246" width="14.1047619047619" style="818" customWidth="1"/>
    <col min="1247" max="1247" width="17.4380952380952" style="818" customWidth="1"/>
    <col min="1248" max="1248" width="21.1047619047619" style="818" customWidth="1"/>
    <col min="1249" max="1249" width="15.552380952381" style="818" customWidth="1"/>
    <col min="1250" max="1482" width="8.88571428571429" style="818"/>
    <col min="1483" max="1483" width="9.55238095238095" style="818" customWidth="1"/>
    <col min="1484" max="1484" width="57.552380952381" style="818" customWidth="1"/>
    <col min="1485" max="1485" width="12.8857142857143" style="818" customWidth="1"/>
    <col min="1486" max="1486" width="12.3333333333333" style="818" customWidth="1"/>
    <col min="1487" max="1487" width="13.6666666666667" style="818" customWidth="1"/>
    <col min="1488" max="1488" width="17.3333333333333" style="818" customWidth="1"/>
    <col min="1489" max="1490" width="14.3333333333333" style="818" customWidth="1"/>
    <col min="1491" max="1491" width="18.6666666666667" style="818" customWidth="1"/>
    <col min="1492" max="1492" width="14.4380952380952" style="818" customWidth="1"/>
    <col min="1493" max="1493" width="17.4380952380952" style="818" customWidth="1"/>
    <col min="1494" max="1494" width="15.552380952381" style="818" customWidth="1"/>
    <col min="1495" max="1495" width="16.4380952380952" style="818" customWidth="1"/>
    <col min="1496" max="1496" width="23.6666666666667" style="818" customWidth="1"/>
    <col min="1497" max="1497" width="14.1047619047619" style="818" customWidth="1"/>
    <col min="1498" max="1498" width="17.1047619047619" style="818" customWidth="1"/>
    <col min="1499" max="1499" width="21.3333333333333" style="818" customWidth="1"/>
    <col min="1500" max="1500" width="16" style="818" customWidth="1"/>
    <col min="1501" max="1501" width="22.1047619047619" style="818" customWidth="1"/>
    <col min="1502" max="1502" width="14.1047619047619" style="818" customWidth="1"/>
    <col min="1503" max="1503" width="17.4380952380952" style="818" customWidth="1"/>
    <col min="1504" max="1504" width="21.1047619047619" style="818" customWidth="1"/>
    <col min="1505" max="1505" width="15.552380952381" style="818" customWidth="1"/>
    <col min="1506" max="1738" width="8.88571428571429" style="818"/>
    <col min="1739" max="1739" width="9.55238095238095" style="818" customWidth="1"/>
    <col min="1740" max="1740" width="57.552380952381" style="818" customWidth="1"/>
    <col min="1741" max="1741" width="12.8857142857143" style="818" customWidth="1"/>
    <col min="1742" max="1742" width="12.3333333333333" style="818" customWidth="1"/>
    <col min="1743" max="1743" width="13.6666666666667" style="818" customWidth="1"/>
    <col min="1744" max="1744" width="17.3333333333333" style="818" customWidth="1"/>
    <col min="1745" max="1746" width="14.3333333333333" style="818" customWidth="1"/>
    <col min="1747" max="1747" width="18.6666666666667" style="818" customWidth="1"/>
    <col min="1748" max="1748" width="14.4380952380952" style="818" customWidth="1"/>
    <col min="1749" max="1749" width="17.4380952380952" style="818" customWidth="1"/>
    <col min="1750" max="1750" width="15.552380952381" style="818" customWidth="1"/>
    <col min="1751" max="1751" width="16.4380952380952" style="818" customWidth="1"/>
    <col min="1752" max="1752" width="23.6666666666667" style="818" customWidth="1"/>
    <col min="1753" max="1753" width="14.1047619047619" style="818" customWidth="1"/>
    <col min="1754" max="1754" width="17.1047619047619" style="818" customWidth="1"/>
    <col min="1755" max="1755" width="21.3333333333333" style="818" customWidth="1"/>
    <col min="1756" max="1756" width="16" style="818" customWidth="1"/>
    <col min="1757" max="1757" width="22.1047619047619" style="818" customWidth="1"/>
    <col min="1758" max="1758" width="14.1047619047619" style="818" customWidth="1"/>
    <col min="1759" max="1759" width="17.4380952380952" style="818" customWidth="1"/>
    <col min="1760" max="1760" width="21.1047619047619" style="818" customWidth="1"/>
    <col min="1761" max="1761" width="15.552380952381" style="818" customWidth="1"/>
    <col min="1762" max="1994" width="8.88571428571429" style="818"/>
    <col min="1995" max="1995" width="9.55238095238095" style="818" customWidth="1"/>
    <col min="1996" max="1996" width="57.552380952381" style="818" customWidth="1"/>
    <col min="1997" max="1997" width="12.8857142857143" style="818" customWidth="1"/>
    <col min="1998" max="1998" width="12.3333333333333" style="818" customWidth="1"/>
    <col min="1999" max="1999" width="13.6666666666667" style="818" customWidth="1"/>
    <col min="2000" max="2000" width="17.3333333333333" style="818" customWidth="1"/>
    <col min="2001" max="2002" width="14.3333333333333" style="818" customWidth="1"/>
    <col min="2003" max="2003" width="18.6666666666667" style="818" customWidth="1"/>
    <col min="2004" max="2004" width="14.4380952380952" style="818" customWidth="1"/>
    <col min="2005" max="2005" width="17.4380952380952" style="818" customWidth="1"/>
    <col min="2006" max="2006" width="15.552380952381" style="818" customWidth="1"/>
    <col min="2007" max="2007" width="16.4380952380952" style="818" customWidth="1"/>
    <col min="2008" max="2008" width="23.6666666666667" style="818" customWidth="1"/>
    <col min="2009" max="2009" width="14.1047619047619" style="818" customWidth="1"/>
    <col min="2010" max="2010" width="17.1047619047619" style="818" customWidth="1"/>
    <col min="2011" max="2011" width="21.3333333333333" style="818" customWidth="1"/>
    <col min="2012" max="2012" width="16" style="818" customWidth="1"/>
    <col min="2013" max="2013" width="22.1047619047619" style="818" customWidth="1"/>
    <col min="2014" max="2014" width="14.1047619047619" style="818" customWidth="1"/>
    <col min="2015" max="2015" width="17.4380952380952" style="818" customWidth="1"/>
    <col min="2016" max="2016" width="21.1047619047619" style="818" customWidth="1"/>
    <col min="2017" max="2017" width="15.552380952381" style="818" customWidth="1"/>
    <col min="2018" max="2250" width="8.88571428571429" style="818"/>
    <col min="2251" max="2251" width="9.55238095238095" style="818" customWidth="1"/>
    <col min="2252" max="2252" width="57.552380952381" style="818" customWidth="1"/>
    <col min="2253" max="2253" width="12.8857142857143" style="818" customWidth="1"/>
    <col min="2254" max="2254" width="12.3333333333333" style="818" customWidth="1"/>
    <col min="2255" max="2255" width="13.6666666666667" style="818" customWidth="1"/>
    <col min="2256" max="2256" width="17.3333333333333" style="818" customWidth="1"/>
    <col min="2257" max="2258" width="14.3333333333333" style="818" customWidth="1"/>
    <col min="2259" max="2259" width="18.6666666666667" style="818" customWidth="1"/>
    <col min="2260" max="2260" width="14.4380952380952" style="818" customWidth="1"/>
    <col min="2261" max="2261" width="17.4380952380952" style="818" customWidth="1"/>
    <col min="2262" max="2262" width="15.552380952381" style="818" customWidth="1"/>
    <col min="2263" max="2263" width="16.4380952380952" style="818" customWidth="1"/>
    <col min="2264" max="2264" width="23.6666666666667" style="818" customWidth="1"/>
    <col min="2265" max="2265" width="14.1047619047619" style="818" customWidth="1"/>
    <col min="2266" max="2266" width="17.1047619047619" style="818" customWidth="1"/>
    <col min="2267" max="2267" width="21.3333333333333" style="818" customWidth="1"/>
    <col min="2268" max="2268" width="16" style="818" customWidth="1"/>
    <col min="2269" max="2269" width="22.1047619047619" style="818" customWidth="1"/>
    <col min="2270" max="2270" width="14.1047619047619" style="818" customWidth="1"/>
    <col min="2271" max="2271" width="17.4380952380952" style="818" customWidth="1"/>
    <col min="2272" max="2272" width="21.1047619047619" style="818" customWidth="1"/>
    <col min="2273" max="2273" width="15.552380952381" style="818" customWidth="1"/>
    <col min="2274" max="2506" width="8.88571428571429" style="818"/>
    <col min="2507" max="2507" width="9.55238095238095" style="818" customWidth="1"/>
    <col min="2508" max="2508" width="57.552380952381" style="818" customWidth="1"/>
    <col min="2509" max="2509" width="12.8857142857143" style="818" customWidth="1"/>
    <col min="2510" max="2510" width="12.3333333333333" style="818" customWidth="1"/>
    <col min="2511" max="2511" width="13.6666666666667" style="818" customWidth="1"/>
    <col min="2512" max="2512" width="17.3333333333333" style="818" customWidth="1"/>
    <col min="2513" max="2514" width="14.3333333333333" style="818" customWidth="1"/>
    <col min="2515" max="2515" width="18.6666666666667" style="818" customWidth="1"/>
    <col min="2516" max="2516" width="14.4380952380952" style="818" customWidth="1"/>
    <col min="2517" max="2517" width="17.4380952380952" style="818" customWidth="1"/>
    <col min="2518" max="2518" width="15.552380952381" style="818" customWidth="1"/>
    <col min="2519" max="2519" width="16.4380952380952" style="818" customWidth="1"/>
    <col min="2520" max="2520" width="23.6666666666667" style="818" customWidth="1"/>
    <col min="2521" max="2521" width="14.1047619047619" style="818" customWidth="1"/>
    <col min="2522" max="2522" width="17.1047619047619" style="818" customWidth="1"/>
    <col min="2523" max="2523" width="21.3333333333333" style="818" customWidth="1"/>
    <col min="2524" max="2524" width="16" style="818" customWidth="1"/>
    <col min="2525" max="2525" width="22.1047619047619" style="818" customWidth="1"/>
    <col min="2526" max="2526" width="14.1047619047619" style="818" customWidth="1"/>
    <col min="2527" max="2527" width="17.4380952380952" style="818" customWidth="1"/>
    <col min="2528" max="2528" width="21.1047619047619" style="818" customWidth="1"/>
    <col min="2529" max="2529" width="15.552380952381" style="818" customWidth="1"/>
    <col min="2530" max="2762" width="8.88571428571429" style="818"/>
    <col min="2763" max="2763" width="9.55238095238095" style="818" customWidth="1"/>
    <col min="2764" max="2764" width="57.552380952381" style="818" customWidth="1"/>
    <col min="2765" max="2765" width="12.8857142857143" style="818" customWidth="1"/>
    <col min="2766" max="2766" width="12.3333333333333" style="818" customWidth="1"/>
    <col min="2767" max="2767" width="13.6666666666667" style="818" customWidth="1"/>
    <col min="2768" max="2768" width="17.3333333333333" style="818" customWidth="1"/>
    <col min="2769" max="2770" width="14.3333333333333" style="818" customWidth="1"/>
    <col min="2771" max="2771" width="18.6666666666667" style="818" customWidth="1"/>
    <col min="2772" max="2772" width="14.4380952380952" style="818" customWidth="1"/>
    <col min="2773" max="2773" width="17.4380952380952" style="818" customWidth="1"/>
    <col min="2774" max="2774" width="15.552380952381" style="818" customWidth="1"/>
    <col min="2775" max="2775" width="16.4380952380952" style="818" customWidth="1"/>
    <col min="2776" max="2776" width="23.6666666666667" style="818" customWidth="1"/>
    <col min="2777" max="2777" width="14.1047619047619" style="818" customWidth="1"/>
    <col min="2778" max="2778" width="17.1047619047619" style="818" customWidth="1"/>
    <col min="2779" max="2779" width="21.3333333333333" style="818" customWidth="1"/>
    <col min="2780" max="2780" width="16" style="818" customWidth="1"/>
    <col min="2781" max="2781" width="22.1047619047619" style="818" customWidth="1"/>
    <col min="2782" max="2782" width="14.1047619047619" style="818" customWidth="1"/>
    <col min="2783" max="2783" width="17.4380952380952" style="818" customWidth="1"/>
    <col min="2784" max="2784" width="21.1047619047619" style="818" customWidth="1"/>
    <col min="2785" max="2785" width="15.552380952381" style="818" customWidth="1"/>
    <col min="2786" max="3018" width="8.88571428571429" style="818"/>
    <col min="3019" max="3019" width="9.55238095238095" style="818" customWidth="1"/>
    <col min="3020" max="3020" width="57.552380952381" style="818" customWidth="1"/>
    <col min="3021" max="3021" width="12.8857142857143" style="818" customWidth="1"/>
    <col min="3022" max="3022" width="12.3333333333333" style="818" customWidth="1"/>
    <col min="3023" max="3023" width="13.6666666666667" style="818" customWidth="1"/>
    <col min="3024" max="3024" width="17.3333333333333" style="818" customWidth="1"/>
    <col min="3025" max="3026" width="14.3333333333333" style="818" customWidth="1"/>
    <col min="3027" max="3027" width="18.6666666666667" style="818" customWidth="1"/>
    <col min="3028" max="3028" width="14.4380952380952" style="818" customWidth="1"/>
    <col min="3029" max="3029" width="17.4380952380952" style="818" customWidth="1"/>
    <col min="3030" max="3030" width="15.552380952381" style="818" customWidth="1"/>
    <col min="3031" max="3031" width="16.4380952380952" style="818" customWidth="1"/>
    <col min="3032" max="3032" width="23.6666666666667" style="818" customWidth="1"/>
    <col min="3033" max="3033" width="14.1047619047619" style="818" customWidth="1"/>
    <col min="3034" max="3034" width="17.1047619047619" style="818" customWidth="1"/>
    <col min="3035" max="3035" width="21.3333333333333" style="818" customWidth="1"/>
    <col min="3036" max="3036" width="16" style="818" customWidth="1"/>
    <col min="3037" max="3037" width="22.1047619047619" style="818" customWidth="1"/>
    <col min="3038" max="3038" width="14.1047619047619" style="818" customWidth="1"/>
    <col min="3039" max="3039" width="17.4380952380952" style="818" customWidth="1"/>
    <col min="3040" max="3040" width="21.1047619047619" style="818" customWidth="1"/>
    <col min="3041" max="3041" width="15.552380952381" style="818" customWidth="1"/>
    <col min="3042" max="3274" width="8.88571428571429" style="818"/>
    <col min="3275" max="3275" width="9.55238095238095" style="818" customWidth="1"/>
    <col min="3276" max="3276" width="57.552380952381" style="818" customWidth="1"/>
    <col min="3277" max="3277" width="12.8857142857143" style="818" customWidth="1"/>
    <col min="3278" max="3278" width="12.3333333333333" style="818" customWidth="1"/>
    <col min="3279" max="3279" width="13.6666666666667" style="818" customWidth="1"/>
    <col min="3280" max="3280" width="17.3333333333333" style="818" customWidth="1"/>
    <col min="3281" max="3282" width="14.3333333333333" style="818" customWidth="1"/>
    <col min="3283" max="3283" width="18.6666666666667" style="818" customWidth="1"/>
    <col min="3284" max="3284" width="14.4380952380952" style="818" customWidth="1"/>
    <col min="3285" max="3285" width="17.4380952380952" style="818" customWidth="1"/>
    <col min="3286" max="3286" width="15.552380952381" style="818" customWidth="1"/>
    <col min="3287" max="3287" width="16.4380952380952" style="818" customWidth="1"/>
    <col min="3288" max="3288" width="23.6666666666667" style="818" customWidth="1"/>
    <col min="3289" max="3289" width="14.1047619047619" style="818" customWidth="1"/>
    <col min="3290" max="3290" width="17.1047619047619" style="818" customWidth="1"/>
    <col min="3291" max="3291" width="21.3333333333333" style="818" customWidth="1"/>
    <col min="3292" max="3292" width="16" style="818" customWidth="1"/>
    <col min="3293" max="3293" width="22.1047619047619" style="818" customWidth="1"/>
    <col min="3294" max="3294" width="14.1047619047619" style="818" customWidth="1"/>
    <col min="3295" max="3295" width="17.4380952380952" style="818" customWidth="1"/>
    <col min="3296" max="3296" width="21.1047619047619" style="818" customWidth="1"/>
    <col min="3297" max="3297" width="15.552380952381" style="818" customWidth="1"/>
    <col min="3298" max="3530" width="8.88571428571429" style="818"/>
    <col min="3531" max="3531" width="9.55238095238095" style="818" customWidth="1"/>
    <col min="3532" max="3532" width="57.552380952381" style="818" customWidth="1"/>
    <col min="3533" max="3533" width="12.8857142857143" style="818" customWidth="1"/>
    <col min="3534" max="3534" width="12.3333333333333" style="818" customWidth="1"/>
    <col min="3535" max="3535" width="13.6666666666667" style="818" customWidth="1"/>
    <col min="3536" max="3536" width="17.3333333333333" style="818" customWidth="1"/>
    <col min="3537" max="3538" width="14.3333333333333" style="818" customWidth="1"/>
    <col min="3539" max="3539" width="18.6666666666667" style="818" customWidth="1"/>
    <col min="3540" max="3540" width="14.4380952380952" style="818" customWidth="1"/>
    <col min="3541" max="3541" width="17.4380952380952" style="818" customWidth="1"/>
    <col min="3542" max="3542" width="15.552380952381" style="818" customWidth="1"/>
    <col min="3543" max="3543" width="16.4380952380952" style="818" customWidth="1"/>
    <col min="3544" max="3544" width="23.6666666666667" style="818" customWidth="1"/>
    <col min="3545" max="3545" width="14.1047619047619" style="818" customWidth="1"/>
    <col min="3546" max="3546" width="17.1047619047619" style="818" customWidth="1"/>
    <col min="3547" max="3547" width="21.3333333333333" style="818" customWidth="1"/>
    <col min="3548" max="3548" width="16" style="818" customWidth="1"/>
    <col min="3549" max="3549" width="22.1047619047619" style="818" customWidth="1"/>
    <col min="3550" max="3550" width="14.1047619047619" style="818" customWidth="1"/>
    <col min="3551" max="3551" width="17.4380952380952" style="818" customWidth="1"/>
    <col min="3552" max="3552" width="21.1047619047619" style="818" customWidth="1"/>
    <col min="3553" max="3553" width="15.552380952381" style="818" customWidth="1"/>
    <col min="3554" max="3786" width="8.88571428571429" style="818"/>
    <col min="3787" max="3787" width="9.55238095238095" style="818" customWidth="1"/>
    <col min="3788" max="3788" width="57.552380952381" style="818" customWidth="1"/>
    <col min="3789" max="3789" width="12.8857142857143" style="818" customWidth="1"/>
    <col min="3790" max="3790" width="12.3333333333333" style="818" customWidth="1"/>
    <col min="3791" max="3791" width="13.6666666666667" style="818" customWidth="1"/>
    <col min="3792" max="3792" width="17.3333333333333" style="818" customWidth="1"/>
    <col min="3793" max="3794" width="14.3333333333333" style="818" customWidth="1"/>
    <col min="3795" max="3795" width="18.6666666666667" style="818" customWidth="1"/>
    <col min="3796" max="3796" width="14.4380952380952" style="818" customWidth="1"/>
    <col min="3797" max="3797" width="17.4380952380952" style="818" customWidth="1"/>
    <col min="3798" max="3798" width="15.552380952381" style="818" customWidth="1"/>
    <col min="3799" max="3799" width="16.4380952380952" style="818" customWidth="1"/>
    <col min="3800" max="3800" width="23.6666666666667" style="818" customWidth="1"/>
    <col min="3801" max="3801" width="14.1047619047619" style="818" customWidth="1"/>
    <col min="3802" max="3802" width="17.1047619047619" style="818" customWidth="1"/>
    <col min="3803" max="3803" width="21.3333333333333" style="818" customWidth="1"/>
    <col min="3804" max="3804" width="16" style="818" customWidth="1"/>
    <col min="3805" max="3805" width="22.1047619047619" style="818" customWidth="1"/>
    <col min="3806" max="3806" width="14.1047619047619" style="818" customWidth="1"/>
    <col min="3807" max="3807" width="17.4380952380952" style="818" customWidth="1"/>
    <col min="3808" max="3808" width="21.1047619047619" style="818" customWidth="1"/>
    <col min="3809" max="3809" width="15.552380952381" style="818" customWidth="1"/>
    <col min="3810" max="4042" width="8.88571428571429" style="818"/>
    <col min="4043" max="4043" width="9.55238095238095" style="818" customWidth="1"/>
    <col min="4044" max="4044" width="57.552380952381" style="818" customWidth="1"/>
    <col min="4045" max="4045" width="12.8857142857143" style="818" customWidth="1"/>
    <col min="4046" max="4046" width="12.3333333333333" style="818" customWidth="1"/>
    <col min="4047" max="4047" width="13.6666666666667" style="818" customWidth="1"/>
    <col min="4048" max="4048" width="17.3333333333333" style="818" customWidth="1"/>
    <col min="4049" max="4050" width="14.3333333333333" style="818" customWidth="1"/>
    <col min="4051" max="4051" width="18.6666666666667" style="818" customWidth="1"/>
    <col min="4052" max="4052" width="14.4380952380952" style="818" customWidth="1"/>
    <col min="4053" max="4053" width="17.4380952380952" style="818" customWidth="1"/>
    <col min="4054" max="4054" width="15.552380952381" style="818" customWidth="1"/>
    <col min="4055" max="4055" width="16.4380952380952" style="818" customWidth="1"/>
    <col min="4056" max="4056" width="23.6666666666667" style="818" customWidth="1"/>
    <col min="4057" max="4057" width="14.1047619047619" style="818" customWidth="1"/>
    <col min="4058" max="4058" width="17.1047619047619" style="818" customWidth="1"/>
    <col min="4059" max="4059" width="21.3333333333333" style="818" customWidth="1"/>
    <col min="4060" max="4060" width="16" style="818" customWidth="1"/>
    <col min="4061" max="4061" width="22.1047619047619" style="818" customWidth="1"/>
    <col min="4062" max="4062" width="14.1047619047619" style="818" customWidth="1"/>
    <col min="4063" max="4063" width="17.4380952380952" style="818" customWidth="1"/>
    <col min="4064" max="4064" width="21.1047619047619" style="818" customWidth="1"/>
    <col min="4065" max="4065" width="15.552380952381" style="818" customWidth="1"/>
    <col min="4066" max="4298" width="8.88571428571429" style="818"/>
    <col min="4299" max="4299" width="9.55238095238095" style="818" customWidth="1"/>
    <col min="4300" max="4300" width="57.552380952381" style="818" customWidth="1"/>
    <col min="4301" max="4301" width="12.8857142857143" style="818" customWidth="1"/>
    <col min="4302" max="4302" width="12.3333333333333" style="818" customWidth="1"/>
    <col min="4303" max="4303" width="13.6666666666667" style="818" customWidth="1"/>
    <col min="4304" max="4304" width="17.3333333333333" style="818" customWidth="1"/>
    <col min="4305" max="4306" width="14.3333333333333" style="818" customWidth="1"/>
    <col min="4307" max="4307" width="18.6666666666667" style="818" customWidth="1"/>
    <col min="4308" max="4308" width="14.4380952380952" style="818" customWidth="1"/>
    <col min="4309" max="4309" width="17.4380952380952" style="818" customWidth="1"/>
    <col min="4310" max="4310" width="15.552380952381" style="818" customWidth="1"/>
    <col min="4311" max="4311" width="16.4380952380952" style="818" customWidth="1"/>
    <col min="4312" max="4312" width="23.6666666666667" style="818" customWidth="1"/>
    <col min="4313" max="4313" width="14.1047619047619" style="818" customWidth="1"/>
    <col min="4314" max="4314" width="17.1047619047619" style="818" customWidth="1"/>
    <col min="4315" max="4315" width="21.3333333333333" style="818" customWidth="1"/>
    <col min="4316" max="4316" width="16" style="818" customWidth="1"/>
    <col min="4317" max="4317" width="22.1047619047619" style="818" customWidth="1"/>
    <col min="4318" max="4318" width="14.1047619047619" style="818" customWidth="1"/>
    <col min="4319" max="4319" width="17.4380952380952" style="818" customWidth="1"/>
    <col min="4320" max="4320" width="21.1047619047619" style="818" customWidth="1"/>
    <col min="4321" max="4321" width="15.552380952381" style="818" customWidth="1"/>
    <col min="4322" max="4554" width="8.88571428571429" style="818"/>
    <col min="4555" max="4555" width="9.55238095238095" style="818" customWidth="1"/>
    <col min="4556" max="4556" width="57.552380952381" style="818" customWidth="1"/>
    <col min="4557" max="4557" width="12.8857142857143" style="818" customWidth="1"/>
    <col min="4558" max="4558" width="12.3333333333333" style="818" customWidth="1"/>
    <col min="4559" max="4559" width="13.6666666666667" style="818" customWidth="1"/>
    <col min="4560" max="4560" width="17.3333333333333" style="818" customWidth="1"/>
    <col min="4561" max="4562" width="14.3333333333333" style="818" customWidth="1"/>
    <col min="4563" max="4563" width="18.6666666666667" style="818" customWidth="1"/>
    <col min="4564" max="4564" width="14.4380952380952" style="818" customWidth="1"/>
    <col min="4565" max="4565" width="17.4380952380952" style="818" customWidth="1"/>
    <col min="4566" max="4566" width="15.552380952381" style="818" customWidth="1"/>
    <col min="4567" max="4567" width="16.4380952380952" style="818" customWidth="1"/>
    <col min="4568" max="4568" width="23.6666666666667" style="818" customWidth="1"/>
    <col min="4569" max="4569" width="14.1047619047619" style="818" customWidth="1"/>
    <col min="4570" max="4570" width="17.1047619047619" style="818" customWidth="1"/>
    <col min="4571" max="4571" width="21.3333333333333" style="818" customWidth="1"/>
    <col min="4572" max="4572" width="16" style="818" customWidth="1"/>
    <col min="4573" max="4573" width="22.1047619047619" style="818" customWidth="1"/>
    <col min="4574" max="4574" width="14.1047619047619" style="818" customWidth="1"/>
    <col min="4575" max="4575" width="17.4380952380952" style="818" customWidth="1"/>
    <col min="4576" max="4576" width="21.1047619047619" style="818" customWidth="1"/>
    <col min="4577" max="4577" width="15.552380952381" style="818" customWidth="1"/>
    <col min="4578" max="4810" width="8.88571428571429" style="818"/>
    <col min="4811" max="4811" width="9.55238095238095" style="818" customWidth="1"/>
    <col min="4812" max="4812" width="57.552380952381" style="818" customWidth="1"/>
    <col min="4813" max="4813" width="12.8857142857143" style="818" customWidth="1"/>
    <col min="4814" max="4814" width="12.3333333333333" style="818" customWidth="1"/>
    <col min="4815" max="4815" width="13.6666666666667" style="818" customWidth="1"/>
    <col min="4816" max="4816" width="17.3333333333333" style="818" customWidth="1"/>
    <col min="4817" max="4818" width="14.3333333333333" style="818" customWidth="1"/>
    <col min="4819" max="4819" width="18.6666666666667" style="818" customWidth="1"/>
    <col min="4820" max="4820" width="14.4380952380952" style="818" customWidth="1"/>
    <col min="4821" max="4821" width="17.4380952380952" style="818" customWidth="1"/>
    <col min="4822" max="4822" width="15.552380952381" style="818" customWidth="1"/>
    <col min="4823" max="4823" width="16.4380952380952" style="818" customWidth="1"/>
    <col min="4824" max="4824" width="23.6666666666667" style="818" customWidth="1"/>
    <col min="4825" max="4825" width="14.1047619047619" style="818" customWidth="1"/>
    <col min="4826" max="4826" width="17.1047619047619" style="818" customWidth="1"/>
    <col min="4827" max="4827" width="21.3333333333333" style="818" customWidth="1"/>
    <col min="4828" max="4828" width="16" style="818" customWidth="1"/>
    <col min="4829" max="4829" width="22.1047619047619" style="818" customWidth="1"/>
    <col min="4830" max="4830" width="14.1047619047619" style="818" customWidth="1"/>
    <col min="4831" max="4831" width="17.4380952380952" style="818" customWidth="1"/>
    <col min="4832" max="4832" width="21.1047619047619" style="818" customWidth="1"/>
    <col min="4833" max="4833" width="15.552380952381" style="818" customWidth="1"/>
    <col min="4834" max="5066" width="8.88571428571429" style="818"/>
    <col min="5067" max="5067" width="9.55238095238095" style="818" customWidth="1"/>
    <col min="5068" max="5068" width="57.552380952381" style="818" customWidth="1"/>
    <col min="5069" max="5069" width="12.8857142857143" style="818" customWidth="1"/>
    <col min="5070" max="5070" width="12.3333333333333" style="818" customWidth="1"/>
    <col min="5071" max="5071" width="13.6666666666667" style="818" customWidth="1"/>
    <col min="5072" max="5072" width="17.3333333333333" style="818" customWidth="1"/>
    <col min="5073" max="5074" width="14.3333333333333" style="818" customWidth="1"/>
    <col min="5075" max="5075" width="18.6666666666667" style="818" customWidth="1"/>
    <col min="5076" max="5076" width="14.4380952380952" style="818" customWidth="1"/>
    <col min="5077" max="5077" width="17.4380952380952" style="818" customWidth="1"/>
    <col min="5078" max="5078" width="15.552380952381" style="818" customWidth="1"/>
    <col min="5079" max="5079" width="16.4380952380952" style="818" customWidth="1"/>
    <col min="5080" max="5080" width="23.6666666666667" style="818" customWidth="1"/>
    <col min="5081" max="5081" width="14.1047619047619" style="818" customWidth="1"/>
    <col min="5082" max="5082" width="17.1047619047619" style="818" customWidth="1"/>
    <col min="5083" max="5083" width="21.3333333333333" style="818" customWidth="1"/>
    <col min="5084" max="5084" width="16" style="818" customWidth="1"/>
    <col min="5085" max="5085" width="22.1047619047619" style="818" customWidth="1"/>
    <col min="5086" max="5086" width="14.1047619047619" style="818" customWidth="1"/>
    <col min="5087" max="5087" width="17.4380952380952" style="818" customWidth="1"/>
    <col min="5088" max="5088" width="21.1047619047619" style="818" customWidth="1"/>
    <col min="5089" max="5089" width="15.552380952381" style="818" customWidth="1"/>
    <col min="5090" max="5322" width="8.88571428571429" style="818"/>
    <col min="5323" max="5323" width="9.55238095238095" style="818" customWidth="1"/>
    <col min="5324" max="5324" width="57.552380952381" style="818" customWidth="1"/>
    <col min="5325" max="5325" width="12.8857142857143" style="818" customWidth="1"/>
    <col min="5326" max="5326" width="12.3333333333333" style="818" customWidth="1"/>
    <col min="5327" max="5327" width="13.6666666666667" style="818" customWidth="1"/>
    <col min="5328" max="5328" width="17.3333333333333" style="818" customWidth="1"/>
    <col min="5329" max="5330" width="14.3333333333333" style="818" customWidth="1"/>
    <col min="5331" max="5331" width="18.6666666666667" style="818" customWidth="1"/>
    <col min="5332" max="5332" width="14.4380952380952" style="818" customWidth="1"/>
    <col min="5333" max="5333" width="17.4380952380952" style="818" customWidth="1"/>
    <col min="5334" max="5334" width="15.552380952381" style="818" customWidth="1"/>
    <col min="5335" max="5335" width="16.4380952380952" style="818" customWidth="1"/>
    <col min="5336" max="5336" width="23.6666666666667" style="818" customWidth="1"/>
    <col min="5337" max="5337" width="14.1047619047619" style="818" customWidth="1"/>
    <col min="5338" max="5338" width="17.1047619047619" style="818" customWidth="1"/>
    <col min="5339" max="5339" width="21.3333333333333" style="818" customWidth="1"/>
    <col min="5340" max="5340" width="16" style="818" customWidth="1"/>
    <col min="5341" max="5341" width="22.1047619047619" style="818" customWidth="1"/>
    <col min="5342" max="5342" width="14.1047619047619" style="818" customWidth="1"/>
    <col min="5343" max="5343" width="17.4380952380952" style="818" customWidth="1"/>
    <col min="5344" max="5344" width="21.1047619047619" style="818" customWidth="1"/>
    <col min="5345" max="5345" width="15.552380952381" style="818" customWidth="1"/>
    <col min="5346" max="5578" width="8.88571428571429" style="818"/>
    <col min="5579" max="5579" width="9.55238095238095" style="818" customWidth="1"/>
    <col min="5580" max="5580" width="57.552380952381" style="818" customWidth="1"/>
    <col min="5581" max="5581" width="12.8857142857143" style="818" customWidth="1"/>
    <col min="5582" max="5582" width="12.3333333333333" style="818" customWidth="1"/>
    <col min="5583" max="5583" width="13.6666666666667" style="818" customWidth="1"/>
    <col min="5584" max="5584" width="17.3333333333333" style="818" customWidth="1"/>
    <col min="5585" max="5586" width="14.3333333333333" style="818" customWidth="1"/>
    <col min="5587" max="5587" width="18.6666666666667" style="818" customWidth="1"/>
    <col min="5588" max="5588" width="14.4380952380952" style="818" customWidth="1"/>
    <col min="5589" max="5589" width="17.4380952380952" style="818" customWidth="1"/>
    <col min="5590" max="5590" width="15.552380952381" style="818" customWidth="1"/>
    <col min="5591" max="5591" width="16.4380952380952" style="818" customWidth="1"/>
    <col min="5592" max="5592" width="23.6666666666667" style="818" customWidth="1"/>
    <col min="5593" max="5593" width="14.1047619047619" style="818" customWidth="1"/>
    <col min="5594" max="5594" width="17.1047619047619" style="818" customWidth="1"/>
    <col min="5595" max="5595" width="21.3333333333333" style="818" customWidth="1"/>
    <col min="5596" max="5596" width="16" style="818" customWidth="1"/>
    <col min="5597" max="5597" width="22.1047619047619" style="818" customWidth="1"/>
    <col min="5598" max="5598" width="14.1047619047619" style="818" customWidth="1"/>
    <col min="5599" max="5599" width="17.4380952380952" style="818" customWidth="1"/>
    <col min="5600" max="5600" width="21.1047619047619" style="818" customWidth="1"/>
    <col min="5601" max="5601" width="15.552380952381" style="818" customWidth="1"/>
    <col min="5602" max="5834" width="8.88571428571429" style="818"/>
    <col min="5835" max="5835" width="9.55238095238095" style="818" customWidth="1"/>
    <col min="5836" max="5836" width="57.552380952381" style="818" customWidth="1"/>
    <col min="5837" max="5837" width="12.8857142857143" style="818" customWidth="1"/>
    <col min="5838" max="5838" width="12.3333333333333" style="818" customWidth="1"/>
    <col min="5839" max="5839" width="13.6666666666667" style="818" customWidth="1"/>
    <col min="5840" max="5840" width="17.3333333333333" style="818" customWidth="1"/>
    <col min="5841" max="5842" width="14.3333333333333" style="818" customWidth="1"/>
    <col min="5843" max="5843" width="18.6666666666667" style="818" customWidth="1"/>
    <col min="5844" max="5844" width="14.4380952380952" style="818" customWidth="1"/>
    <col min="5845" max="5845" width="17.4380952380952" style="818" customWidth="1"/>
    <col min="5846" max="5846" width="15.552380952381" style="818" customWidth="1"/>
    <col min="5847" max="5847" width="16.4380952380952" style="818" customWidth="1"/>
    <col min="5848" max="5848" width="23.6666666666667" style="818" customWidth="1"/>
    <col min="5849" max="5849" width="14.1047619047619" style="818" customWidth="1"/>
    <col min="5850" max="5850" width="17.1047619047619" style="818" customWidth="1"/>
    <col min="5851" max="5851" width="21.3333333333333" style="818" customWidth="1"/>
    <col min="5852" max="5852" width="16" style="818" customWidth="1"/>
    <col min="5853" max="5853" width="22.1047619047619" style="818" customWidth="1"/>
    <col min="5854" max="5854" width="14.1047619047619" style="818" customWidth="1"/>
    <col min="5855" max="5855" width="17.4380952380952" style="818" customWidth="1"/>
    <col min="5856" max="5856" width="21.1047619047619" style="818" customWidth="1"/>
    <col min="5857" max="5857" width="15.552380952381" style="818" customWidth="1"/>
    <col min="5858" max="6090" width="8.88571428571429" style="818"/>
    <col min="6091" max="6091" width="9.55238095238095" style="818" customWidth="1"/>
    <col min="6092" max="6092" width="57.552380952381" style="818" customWidth="1"/>
    <col min="6093" max="6093" width="12.8857142857143" style="818" customWidth="1"/>
    <col min="6094" max="6094" width="12.3333333333333" style="818" customWidth="1"/>
    <col min="6095" max="6095" width="13.6666666666667" style="818" customWidth="1"/>
    <col min="6096" max="6096" width="17.3333333333333" style="818" customWidth="1"/>
    <col min="6097" max="6098" width="14.3333333333333" style="818" customWidth="1"/>
    <col min="6099" max="6099" width="18.6666666666667" style="818" customWidth="1"/>
    <col min="6100" max="6100" width="14.4380952380952" style="818" customWidth="1"/>
    <col min="6101" max="6101" width="17.4380952380952" style="818" customWidth="1"/>
    <col min="6102" max="6102" width="15.552380952381" style="818" customWidth="1"/>
    <col min="6103" max="6103" width="16.4380952380952" style="818" customWidth="1"/>
    <col min="6104" max="6104" width="23.6666666666667" style="818" customWidth="1"/>
    <col min="6105" max="6105" width="14.1047619047619" style="818" customWidth="1"/>
    <col min="6106" max="6106" width="17.1047619047619" style="818" customWidth="1"/>
    <col min="6107" max="6107" width="21.3333333333333" style="818" customWidth="1"/>
    <col min="6108" max="6108" width="16" style="818" customWidth="1"/>
    <col min="6109" max="6109" width="22.1047619047619" style="818" customWidth="1"/>
    <col min="6110" max="6110" width="14.1047619047619" style="818" customWidth="1"/>
    <col min="6111" max="6111" width="17.4380952380952" style="818" customWidth="1"/>
    <col min="6112" max="6112" width="21.1047619047619" style="818" customWidth="1"/>
    <col min="6113" max="6113" width="15.552380952381" style="818" customWidth="1"/>
    <col min="6114" max="6346" width="8.88571428571429" style="818"/>
    <col min="6347" max="6347" width="9.55238095238095" style="818" customWidth="1"/>
    <col min="6348" max="6348" width="57.552380952381" style="818" customWidth="1"/>
    <col min="6349" max="6349" width="12.8857142857143" style="818" customWidth="1"/>
    <col min="6350" max="6350" width="12.3333333333333" style="818" customWidth="1"/>
    <col min="6351" max="6351" width="13.6666666666667" style="818" customWidth="1"/>
    <col min="6352" max="6352" width="17.3333333333333" style="818" customWidth="1"/>
    <col min="6353" max="6354" width="14.3333333333333" style="818" customWidth="1"/>
    <col min="6355" max="6355" width="18.6666666666667" style="818" customWidth="1"/>
    <col min="6356" max="6356" width="14.4380952380952" style="818" customWidth="1"/>
    <col min="6357" max="6357" width="17.4380952380952" style="818" customWidth="1"/>
    <col min="6358" max="6358" width="15.552380952381" style="818" customWidth="1"/>
    <col min="6359" max="6359" width="16.4380952380952" style="818" customWidth="1"/>
    <col min="6360" max="6360" width="23.6666666666667" style="818" customWidth="1"/>
    <col min="6361" max="6361" width="14.1047619047619" style="818" customWidth="1"/>
    <col min="6362" max="6362" width="17.1047619047619" style="818" customWidth="1"/>
    <col min="6363" max="6363" width="21.3333333333333" style="818" customWidth="1"/>
    <col min="6364" max="6364" width="16" style="818" customWidth="1"/>
    <col min="6365" max="6365" width="22.1047619047619" style="818" customWidth="1"/>
    <col min="6366" max="6366" width="14.1047619047619" style="818" customWidth="1"/>
    <col min="6367" max="6367" width="17.4380952380952" style="818" customWidth="1"/>
    <col min="6368" max="6368" width="21.1047619047619" style="818" customWidth="1"/>
    <col min="6369" max="6369" width="15.552380952381" style="818" customWidth="1"/>
    <col min="6370" max="6602" width="8.88571428571429" style="818"/>
    <col min="6603" max="6603" width="9.55238095238095" style="818" customWidth="1"/>
    <col min="6604" max="6604" width="57.552380952381" style="818" customWidth="1"/>
    <col min="6605" max="6605" width="12.8857142857143" style="818" customWidth="1"/>
    <col min="6606" max="6606" width="12.3333333333333" style="818" customWidth="1"/>
    <col min="6607" max="6607" width="13.6666666666667" style="818" customWidth="1"/>
    <col min="6608" max="6608" width="17.3333333333333" style="818" customWidth="1"/>
    <col min="6609" max="6610" width="14.3333333333333" style="818" customWidth="1"/>
    <col min="6611" max="6611" width="18.6666666666667" style="818" customWidth="1"/>
    <col min="6612" max="6612" width="14.4380952380952" style="818" customWidth="1"/>
    <col min="6613" max="6613" width="17.4380952380952" style="818" customWidth="1"/>
    <col min="6614" max="6614" width="15.552380952381" style="818" customWidth="1"/>
    <col min="6615" max="6615" width="16.4380952380952" style="818" customWidth="1"/>
    <col min="6616" max="6616" width="23.6666666666667" style="818" customWidth="1"/>
    <col min="6617" max="6617" width="14.1047619047619" style="818" customWidth="1"/>
    <col min="6618" max="6618" width="17.1047619047619" style="818" customWidth="1"/>
    <col min="6619" max="6619" width="21.3333333333333" style="818" customWidth="1"/>
    <col min="6620" max="6620" width="16" style="818" customWidth="1"/>
    <col min="6621" max="6621" width="22.1047619047619" style="818" customWidth="1"/>
    <col min="6622" max="6622" width="14.1047619047619" style="818" customWidth="1"/>
    <col min="6623" max="6623" width="17.4380952380952" style="818" customWidth="1"/>
    <col min="6624" max="6624" width="21.1047619047619" style="818" customWidth="1"/>
    <col min="6625" max="6625" width="15.552380952381" style="818" customWidth="1"/>
    <col min="6626" max="6858" width="8.88571428571429" style="818"/>
    <col min="6859" max="6859" width="9.55238095238095" style="818" customWidth="1"/>
    <col min="6860" max="6860" width="57.552380952381" style="818" customWidth="1"/>
    <col min="6861" max="6861" width="12.8857142857143" style="818" customWidth="1"/>
    <col min="6862" max="6862" width="12.3333333333333" style="818" customWidth="1"/>
    <col min="6863" max="6863" width="13.6666666666667" style="818" customWidth="1"/>
    <col min="6864" max="6864" width="17.3333333333333" style="818" customWidth="1"/>
    <col min="6865" max="6866" width="14.3333333333333" style="818" customWidth="1"/>
    <col min="6867" max="6867" width="18.6666666666667" style="818" customWidth="1"/>
    <col min="6868" max="6868" width="14.4380952380952" style="818" customWidth="1"/>
    <col min="6869" max="6869" width="17.4380952380952" style="818" customWidth="1"/>
    <col min="6870" max="6870" width="15.552380952381" style="818" customWidth="1"/>
    <col min="6871" max="6871" width="16.4380952380952" style="818" customWidth="1"/>
    <col min="6872" max="6872" width="23.6666666666667" style="818" customWidth="1"/>
    <col min="6873" max="6873" width="14.1047619047619" style="818" customWidth="1"/>
    <col min="6874" max="6874" width="17.1047619047619" style="818" customWidth="1"/>
    <col min="6875" max="6875" width="21.3333333333333" style="818" customWidth="1"/>
    <col min="6876" max="6876" width="16" style="818" customWidth="1"/>
    <col min="6877" max="6877" width="22.1047619047619" style="818" customWidth="1"/>
    <col min="6878" max="6878" width="14.1047619047619" style="818" customWidth="1"/>
    <col min="6879" max="6879" width="17.4380952380952" style="818" customWidth="1"/>
    <col min="6880" max="6880" width="21.1047619047619" style="818" customWidth="1"/>
    <col min="6881" max="6881" width="15.552380952381" style="818" customWidth="1"/>
    <col min="6882" max="7114" width="8.88571428571429" style="818"/>
    <col min="7115" max="7115" width="9.55238095238095" style="818" customWidth="1"/>
    <col min="7116" max="7116" width="57.552380952381" style="818" customWidth="1"/>
    <col min="7117" max="7117" width="12.8857142857143" style="818" customWidth="1"/>
    <col min="7118" max="7118" width="12.3333333333333" style="818" customWidth="1"/>
    <col min="7119" max="7119" width="13.6666666666667" style="818" customWidth="1"/>
    <col min="7120" max="7120" width="17.3333333333333" style="818" customWidth="1"/>
    <col min="7121" max="7122" width="14.3333333333333" style="818" customWidth="1"/>
    <col min="7123" max="7123" width="18.6666666666667" style="818" customWidth="1"/>
    <col min="7124" max="7124" width="14.4380952380952" style="818" customWidth="1"/>
    <col min="7125" max="7125" width="17.4380952380952" style="818" customWidth="1"/>
    <col min="7126" max="7126" width="15.552380952381" style="818" customWidth="1"/>
    <col min="7127" max="7127" width="16.4380952380952" style="818" customWidth="1"/>
    <col min="7128" max="7128" width="23.6666666666667" style="818" customWidth="1"/>
    <col min="7129" max="7129" width="14.1047619047619" style="818" customWidth="1"/>
    <col min="7130" max="7130" width="17.1047619047619" style="818" customWidth="1"/>
    <col min="7131" max="7131" width="21.3333333333333" style="818" customWidth="1"/>
    <col min="7132" max="7132" width="16" style="818" customWidth="1"/>
    <col min="7133" max="7133" width="22.1047619047619" style="818" customWidth="1"/>
    <col min="7134" max="7134" width="14.1047619047619" style="818" customWidth="1"/>
    <col min="7135" max="7135" width="17.4380952380952" style="818" customWidth="1"/>
    <col min="7136" max="7136" width="21.1047619047619" style="818" customWidth="1"/>
    <col min="7137" max="7137" width="15.552380952381" style="818" customWidth="1"/>
    <col min="7138" max="7370" width="8.88571428571429" style="818"/>
    <col min="7371" max="7371" width="9.55238095238095" style="818" customWidth="1"/>
    <col min="7372" max="7372" width="57.552380952381" style="818" customWidth="1"/>
    <col min="7373" max="7373" width="12.8857142857143" style="818" customWidth="1"/>
    <col min="7374" max="7374" width="12.3333333333333" style="818" customWidth="1"/>
    <col min="7375" max="7375" width="13.6666666666667" style="818" customWidth="1"/>
    <col min="7376" max="7376" width="17.3333333333333" style="818" customWidth="1"/>
    <col min="7377" max="7378" width="14.3333333333333" style="818" customWidth="1"/>
    <col min="7379" max="7379" width="18.6666666666667" style="818" customWidth="1"/>
    <col min="7380" max="7380" width="14.4380952380952" style="818" customWidth="1"/>
    <col min="7381" max="7381" width="17.4380952380952" style="818" customWidth="1"/>
    <col min="7382" max="7382" width="15.552380952381" style="818" customWidth="1"/>
    <col min="7383" max="7383" width="16.4380952380952" style="818" customWidth="1"/>
    <col min="7384" max="7384" width="23.6666666666667" style="818" customWidth="1"/>
    <col min="7385" max="7385" width="14.1047619047619" style="818" customWidth="1"/>
    <col min="7386" max="7386" width="17.1047619047619" style="818" customWidth="1"/>
    <col min="7387" max="7387" width="21.3333333333333" style="818" customWidth="1"/>
    <col min="7388" max="7388" width="16" style="818" customWidth="1"/>
    <col min="7389" max="7389" width="22.1047619047619" style="818" customWidth="1"/>
    <col min="7390" max="7390" width="14.1047619047619" style="818" customWidth="1"/>
    <col min="7391" max="7391" width="17.4380952380952" style="818" customWidth="1"/>
    <col min="7392" max="7392" width="21.1047619047619" style="818" customWidth="1"/>
    <col min="7393" max="7393" width="15.552380952381" style="818" customWidth="1"/>
    <col min="7394" max="7626" width="8.88571428571429" style="818"/>
    <col min="7627" max="7627" width="9.55238095238095" style="818" customWidth="1"/>
    <col min="7628" max="7628" width="57.552380952381" style="818" customWidth="1"/>
    <col min="7629" max="7629" width="12.8857142857143" style="818" customWidth="1"/>
    <col min="7630" max="7630" width="12.3333333333333" style="818" customWidth="1"/>
    <col min="7631" max="7631" width="13.6666666666667" style="818" customWidth="1"/>
    <col min="7632" max="7632" width="17.3333333333333" style="818" customWidth="1"/>
    <col min="7633" max="7634" width="14.3333333333333" style="818" customWidth="1"/>
    <col min="7635" max="7635" width="18.6666666666667" style="818" customWidth="1"/>
    <col min="7636" max="7636" width="14.4380952380952" style="818" customWidth="1"/>
    <col min="7637" max="7637" width="17.4380952380952" style="818" customWidth="1"/>
    <col min="7638" max="7638" width="15.552380952381" style="818" customWidth="1"/>
    <col min="7639" max="7639" width="16.4380952380952" style="818" customWidth="1"/>
    <col min="7640" max="7640" width="23.6666666666667" style="818" customWidth="1"/>
    <col min="7641" max="7641" width="14.1047619047619" style="818" customWidth="1"/>
    <col min="7642" max="7642" width="17.1047619047619" style="818" customWidth="1"/>
    <col min="7643" max="7643" width="21.3333333333333" style="818" customWidth="1"/>
    <col min="7644" max="7644" width="16" style="818" customWidth="1"/>
    <col min="7645" max="7645" width="22.1047619047619" style="818" customWidth="1"/>
    <col min="7646" max="7646" width="14.1047619047619" style="818" customWidth="1"/>
    <col min="7647" max="7647" width="17.4380952380952" style="818" customWidth="1"/>
    <col min="7648" max="7648" width="21.1047619047619" style="818" customWidth="1"/>
    <col min="7649" max="7649" width="15.552380952381" style="818" customWidth="1"/>
    <col min="7650" max="7882" width="8.88571428571429" style="818"/>
    <col min="7883" max="7883" width="9.55238095238095" style="818" customWidth="1"/>
    <col min="7884" max="7884" width="57.552380952381" style="818" customWidth="1"/>
    <col min="7885" max="7885" width="12.8857142857143" style="818" customWidth="1"/>
    <col min="7886" max="7886" width="12.3333333333333" style="818" customWidth="1"/>
    <col min="7887" max="7887" width="13.6666666666667" style="818" customWidth="1"/>
    <col min="7888" max="7888" width="17.3333333333333" style="818" customWidth="1"/>
    <col min="7889" max="7890" width="14.3333333333333" style="818" customWidth="1"/>
    <col min="7891" max="7891" width="18.6666666666667" style="818" customWidth="1"/>
    <col min="7892" max="7892" width="14.4380952380952" style="818" customWidth="1"/>
    <col min="7893" max="7893" width="17.4380952380952" style="818" customWidth="1"/>
    <col min="7894" max="7894" width="15.552380952381" style="818" customWidth="1"/>
    <col min="7895" max="7895" width="16.4380952380952" style="818" customWidth="1"/>
    <col min="7896" max="7896" width="23.6666666666667" style="818" customWidth="1"/>
    <col min="7897" max="7897" width="14.1047619047619" style="818" customWidth="1"/>
    <col min="7898" max="7898" width="17.1047619047619" style="818" customWidth="1"/>
    <col min="7899" max="7899" width="21.3333333333333" style="818" customWidth="1"/>
    <col min="7900" max="7900" width="16" style="818" customWidth="1"/>
    <col min="7901" max="7901" width="22.1047619047619" style="818" customWidth="1"/>
    <col min="7902" max="7902" width="14.1047619047619" style="818" customWidth="1"/>
    <col min="7903" max="7903" width="17.4380952380952" style="818" customWidth="1"/>
    <col min="7904" max="7904" width="21.1047619047619" style="818" customWidth="1"/>
    <col min="7905" max="7905" width="15.552380952381" style="818" customWidth="1"/>
    <col min="7906" max="8138" width="8.88571428571429" style="818"/>
    <col min="8139" max="8139" width="9.55238095238095" style="818" customWidth="1"/>
    <col min="8140" max="8140" width="57.552380952381" style="818" customWidth="1"/>
    <col min="8141" max="8141" width="12.8857142857143" style="818" customWidth="1"/>
    <col min="8142" max="8142" width="12.3333333333333" style="818" customWidth="1"/>
    <col min="8143" max="8143" width="13.6666666666667" style="818" customWidth="1"/>
    <col min="8144" max="8144" width="17.3333333333333" style="818" customWidth="1"/>
    <col min="8145" max="8146" width="14.3333333333333" style="818" customWidth="1"/>
    <col min="8147" max="8147" width="18.6666666666667" style="818" customWidth="1"/>
    <col min="8148" max="8148" width="14.4380952380952" style="818" customWidth="1"/>
    <col min="8149" max="8149" width="17.4380952380952" style="818" customWidth="1"/>
    <col min="8150" max="8150" width="15.552380952381" style="818" customWidth="1"/>
    <col min="8151" max="8151" width="16.4380952380952" style="818" customWidth="1"/>
    <col min="8152" max="8152" width="23.6666666666667" style="818" customWidth="1"/>
    <col min="8153" max="8153" width="14.1047619047619" style="818" customWidth="1"/>
    <col min="8154" max="8154" width="17.1047619047619" style="818" customWidth="1"/>
    <col min="8155" max="8155" width="21.3333333333333" style="818" customWidth="1"/>
    <col min="8156" max="8156" width="16" style="818" customWidth="1"/>
    <col min="8157" max="8157" width="22.1047619047619" style="818" customWidth="1"/>
    <col min="8158" max="8158" width="14.1047619047619" style="818" customWidth="1"/>
    <col min="8159" max="8159" width="17.4380952380952" style="818" customWidth="1"/>
    <col min="8160" max="8160" width="21.1047619047619" style="818" customWidth="1"/>
    <col min="8161" max="8161" width="15.552380952381" style="818" customWidth="1"/>
    <col min="8162" max="8394" width="8.88571428571429" style="818"/>
    <col min="8395" max="8395" width="9.55238095238095" style="818" customWidth="1"/>
    <col min="8396" max="8396" width="57.552380952381" style="818" customWidth="1"/>
    <col min="8397" max="8397" width="12.8857142857143" style="818" customWidth="1"/>
    <col min="8398" max="8398" width="12.3333333333333" style="818" customWidth="1"/>
    <col min="8399" max="8399" width="13.6666666666667" style="818" customWidth="1"/>
    <col min="8400" max="8400" width="17.3333333333333" style="818" customWidth="1"/>
    <col min="8401" max="8402" width="14.3333333333333" style="818" customWidth="1"/>
    <col min="8403" max="8403" width="18.6666666666667" style="818" customWidth="1"/>
    <col min="8404" max="8404" width="14.4380952380952" style="818" customWidth="1"/>
    <col min="8405" max="8405" width="17.4380952380952" style="818" customWidth="1"/>
    <col min="8406" max="8406" width="15.552380952381" style="818" customWidth="1"/>
    <col min="8407" max="8407" width="16.4380952380952" style="818" customWidth="1"/>
    <col min="8408" max="8408" width="23.6666666666667" style="818" customWidth="1"/>
    <col min="8409" max="8409" width="14.1047619047619" style="818" customWidth="1"/>
    <col min="8410" max="8410" width="17.1047619047619" style="818" customWidth="1"/>
    <col min="8411" max="8411" width="21.3333333333333" style="818" customWidth="1"/>
    <col min="8412" max="8412" width="16" style="818" customWidth="1"/>
    <col min="8413" max="8413" width="22.1047619047619" style="818" customWidth="1"/>
    <col min="8414" max="8414" width="14.1047619047619" style="818" customWidth="1"/>
    <col min="8415" max="8415" width="17.4380952380952" style="818" customWidth="1"/>
    <col min="8416" max="8416" width="21.1047619047619" style="818" customWidth="1"/>
    <col min="8417" max="8417" width="15.552380952381" style="818" customWidth="1"/>
    <col min="8418" max="8650" width="8.88571428571429" style="818"/>
    <col min="8651" max="8651" width="9.55238095238095" style="818" customWidth="1"/>
    <col min="8652" max="8652" width="57.552380952381" style="818" customWidth="1"/>
    <col min="8653" max="8653" width="12.8857142857143" style="818" customWidth="1"/>
    <col min="8654" max="8654" width="12.3333333333333" style="818" customWidth="1"/>
    <col min="8655" max="8655" width="13.6666666666667" style="818" customWidth="1"/>
    <col min="8656" max="8656" width="17.3333333333333" style="818" customWidth="1"/>
    <col min="8657" max="8658" width="14.3333333333333" style="818" customWidth="1"/>
    <col min="8659" max="8659" width="18.6666666666667" style="818" customWidth="1"/>
    <col min="8660" max="8660" width="14.4380952380952" style="818" customWidth="1"/>
    <col min="8661" max="8661" width="17.4380952380952" style="818" customWidth="1"/>
    <col min="8662" max="8662" width="15.552380952381" style="818" customWidth="1"/>
    <col min="8663" max="8663" width="16.4380952380952" style="818" customWidth="1"/>
    <col min="8664" max="8664" width="23.6666666666667" style="818" customWidth="1"/>
    <col min="8665" max="8665" width="14.1047619047619" style="818" customWidth="1"/>
    <col min="8666" max="8666" width="17.1047619047619" style="818" customWidth="1"/>
    <col min="8667" max="8667" width="21.3333333333333" style="818" customWidth="1"/>
    <col min="8668" max="8668" width="16" style="818" customWidth="1"/>
    <col min="8669" max="8669" width="22.1047619047619" style="818" customWidth="1"/>
    <col min="8670" max="8670" width="14.1047619047619" style="818" customWidth="1"/>
    <col min="8671" max="8671" width="17.4380952380952" style="818" customWidth="1"/>
    <col min="8672" max="8672" width="21.1047619047619" style="818" customWidth="1"/>
    <col min="8673" max="8673" width="15.552380952381" style="818" customWidth="1"/>
    <col min="8674" max="8906" width="8.88571428571429" style="818"/>
    <col min="8907" max="8907" width="9.55238095238095" style="818" customWidth="1"/>
    <col min="8908" max="8908" width="57.552380952381" style="818" customWidth="1"/>
    <col min="8909" max="8909" width="12.8857142857143" style="818" customWidth="1"/>
    <col min="8910" max="8910" width="12.3333333333333" style="818" customWidth="1"/>
    <col min="8911" max="8911" width="13.6666666666667" style="818" customWidth="1"/>
    <col min="8912" max="8912" width="17.3333333333333" style="818" customWidth="1"/>
    <col min="8913" max="8914" width="14.3333333333333" style="818" customWidth="1"/>
    <col min="8915" max="8915" width="18.6666666666667" style="818" customWidth="1"/>
    <col min="8916" max="8916" width="14.4380952380952" style="818" customWidth="1"/>
    <col min="8917" max="8917" width="17.4380952380952" style="818" customWidth="1"/>
    <col min="8918" max="8918" width="15.552380952381" style="818" customWidth="1"/>
    <col min="8919" max="8919" width="16.4380952380952" style="818" customWidth="1"/>
    <col min="8920" max="8920" width="23.6666666666667" style="818" customWidth="1"/>
    <col min="8921" max="8921" width="14.1047619047619" style="818" customWidth="1"/>
    <col min="8922" max="8922" width="17.1047619047619" style="818" customWidth="1"/>
    <col min="8923" max="8923" width="21.3333333333333" style="818" customWidth="1"/>
    <col min="8924" max="8924" width="16" style="818" customWidth="1"/>
    <col min="8925" max="8925" width="22.1047619047619" style="818" customWidth="1"/>
    <col min="8926" max="8926" width="14.1047619047619" style="818" customWidth="1"/>
    <col min="8927" max="8927" width="17.4380952380952" style="818" customWidth="1"/>
    <col min="8928" max="8928" width="21.1047619047619" style="818" customWidth="1"/>
    <col min="8929" max="8929" width="15.552380952381" style="818" customWidth="1"/>
    <col min="8930" max="9162" width="8.88571428571429" style="818"/>
    <col min="9163" max="9163" width="9.55238095238095" style="818" customWidth="1"/>
    <col min="9164" max="9164" width="57.552380952381" style="818" customWidth="1"/>
    <col min="9165" max="9165" width="12.8857142857143" style="818" customWidth="1"/>
    <col min="9166" max="9166" width="12.3333333333333" style="818" customWidth="1"/>
    <col min="9167" max="9167" width="13.6666666666667" style="818" customWidth="1"/>
    <col min="9168" max="9168" width="17.3333333333333" style="818" customWidth="1"/>
    <col min="9169" max="9170" width="14.3333333333333" style="818" customWidth="1"/>
    <col min="9171" max="9171" width="18.6666666666667" style="818" customWidth="1"/>
    <col min="9172" max="9172" width="14.4380952380952" style="818" customWidth="1"/>
    <col min="9173" max="9173" width="17.4380952380952" style="818" customWidth="1"/>
    <col min="9174" max="9174" width="15.552380952381" style="818" customWidth="1"/>
    <col min="9175" max="9175" width="16.4380952380952" style="818" customWidth="1"/>
    <col min="9176" max="9176" width="23.6666666666667" style="818" customWidth="1"/>
    <col min="9177" max="9177" width="14.1047619047619" style="818" customWidth="1"/>
    <col min="9178" max="9178" width="17.1047619047619" style="818" customWidth="1"/>
    <col min="9179" max="9179" width="21.3333333333333" style="818" customWidth="1"/>
    <col min="9180" max="9180" width="16" style="818" customWidth="1"/>
    <col min="9181" max="9181" width="22.1047619047619" style="818" customWidth="1"/>
    <col min="9182" max="9182" width="14.1047619047619" style="818" customWidth="1"/>
    <col min="9183" max="9183" width="17.4380952380952" style="818" customWidth="1"/>
    <col min="9184" max="9184" width="21.1047619047619" style="818" customWidth="1"/>
    <col min="9185" max="9185" width="15.552380952381" style="818" customWidth="1"/>
    <col min="9186" max="9418" width="8.88571428571429" style="818"/>
    <col min="9419" max="9419" width="9.55238095238095" style="818" customWidth="1"/>
    <col min="9420" max="9420" width="57.552380952381" style="818" customWidth="1"/>
    <col min="9421" max="9421" width="12.8857142857143" style="818" customWidth="1"/>
    <col min="9422" max="9422" width="12.3333333333333" style="818" customWidth="1"/>
    <col min="9423" max="9423" width="13.6666666666667" style="818" customWidth="1"/>
    <col min="9424" max="9424" width="17.3333333333333" style="818" customWidth="1"/>
    <col min="9425" max="9426" width="14.3333333333333" style="818" customWidth="1"/>
    <col min="9427" max="9427" width="18.6666666666667" style="818" customWidth="1"/>
    <col min="9428" max="9428" width="14.4380952380952" style="818" customWidth="1"/>
    <col min="9429" max="9429" width="17.4380952380952" style="818" customWidth="1"/>
    <col min="9430" max="9430" width="15.552380952381" style="818" customWidth="1"/>
    <col min="9431" max="9431" width="16.4380952380952" style="818" customWidth="1"/>
    <col min="9432" max="9432" width="23.6666666666667" style="818" customWidth="1"/>
    <col min="9433" max="9433" width="14.1047619047619" style="818" customWidth="1"/>
    <col min="9434" max="9434" width="17.1047619047619" style="818" customWidth="1"/>
    <col min="9435" max="9435" width="21.3333333333333" style="818" customWidth="1"/>
    <col min="9436" max="9436" width="16" style="818" customWidth="1"/>
    <col min="9437" max="9437" width="22.1047619047619" style="818" customWidth="1"/>
    <col min="9438" max="9438" width="14.1047619047619" style="818" customWidth="1"/>
    <col min="9439" max="9439" width="17.4380952380952" style="818" customWidth="1"/>
    <col min="9440" max="9440" width="21.1047619047619" style="818" customWidth="1"/>
    <col min="9441" max="9441" width="15.552380952381" style="818" customWidth="1"/>
    <col min="9442" max="9674" width="8.88571428571429" style="818"/>
    <col min="9675" max="9675" width="9.55238095238095" style="818" customWidth="1"/>
    <col min="9676" max="9676" width="57.552380952381" style="818" customWidth="1"/>
    <col min="9677" max="9677" width="12.8857142857143" style="818" customWidth="1"/>
    <col min="9678" max="9678" width="12.3333333333333" style="818" customWidth="1"/>
    <col min="9679" max="9679" width="13.6666666666667" style="818" customWidth="1"/>
    <col min="9680" max="9680" width="17.3333333333333" style="818" customWidth="1"/>
    <col min="9681" max="9682" width="14.3333333333333" style="818" customWidth="1"/>
    <col min="9683" max="9683" width="18.6666666666667" style="818" customWidth="1"/>
    <col min="9684" max="9684" width="14.4380952380952" style="818" customWidth="1"/>
    <col min="9685" max="9685" width="17.4380952380952" style="818" customWidth="1"/>
    <col min="9686" max="9686" width="15.552380952381" style="818" customWidth="1"/>
    <col min="9687" max="9687" width="16.4380952380952" style="818" customWidth="1"/>
    <col min="9688" max="9688" width="23.6666666666667" style="818" customWidth="1"/>
    <col min="9689" max="9689" width="14.1047619047619" style="818" customWidth="1"/>
    <col min="9690" max="9690" width="17.1047619047619" style="818" customWidth="1"/>
    <col min="9691" max="9691" width="21.3333333333333" style="818" customWidth="1"/>
    <col min="9692" max="9692" width="16" style="818" customWidth="1"/>
    <col min="9693" max="9693" width="22.1047619047619" style="818" customWidth="1"/>
    <col min="9694" max="9694" width="14.1047619047619" style="818" customWidth="1"/>
    <col min="9695" max="9695" width="17.4380952380952" style="818" customWidth="1"/>
    <col min="9696" max="9696" width="21.1047619047619" style="818" customWidth="1"/>
    <col min="9697" max="9697" width="15.552380952381" style="818" customWidth="1"/>
    <col min="9698" max="9930" width="8.88571428571429" style="818"/>
    <col min="9931" max="9931" width="9.55238095238095" style="818" customWidth="1"/>
    <col min="9932" max="9932" width="57.552380952381" style="818" customWidth="1"/>
    <col min="9933" max="9933" width="12.8857142857143" style="818" customWidth="1"/>
    <col min="9934" max="9934" width="12.3333333333333" style="818" customWidth="1"/>
    <col min="9935" max="9935" width="13.6666666666667" style="818" customWidth="1"/>
    <col min="9936" max="9936" width="17.3333333333333" style="818" customWidth="1"/>
    <col min="9937" max="9938" width="14.3333333333333" style="818" customWidth="1"/>
    <col min="9939" max="9939" width="18.6666666666667" style="818" customWidth="1"/>
    <col min="9940" max="9940" width="14.4380952380952" style="818" customWidth="1"/>
    <col min="9941" max="9941" width="17.4380952380952" style="818" customWidth="1"/>
    <col min="9942" max="9942" width="15.552380952381" style="818" customWidth="1"/>
    <col min="9943" max="9943" width="16.4380952380952" style="818" customWidth="1"/>
    <col min="9944" max="9944" width="23.6666666666667" style="818" customWidth="1"/>
    <col min="9945" max="9945" width="14.1047619047619" style="818" customWidth="1"/>
    <col min="9946" max="9946" width="17.1047619047619" style="818" customWidth="1"/>
    <col min="9947" max="9947" width="21.3333333333333" style="818" customWidth="1"/>
    <col min="9948" max="9948" width="16" style="818" customWidth="1"/>
    <col min="9949" max="9949" width="22.1047619047619" style="818" customWidth="1"/>
    <col min="9950" max="9950" width="14.1047619047619" style="818" customWidth="1"/>
    <col min="9951" max="9951" width="17.4380952380952" style="818" customWidth="1"/>
    <col min="9952" max="9952" width="21.1047619047619" style="818" customWidth="1"/>
    <col min="9953" max="9953" width="15.552380952381" style="818" customWidth="1"/>
    <col min="9954" max="10186" width="8.88571428571429" style="818"/>
    <col min="10187" max="10187" width="9.55238095238095" style="818" customWidth="1"/>
    <col min="10188" max="10188" width="57.552380952381" style="818" customWidth="1"/>
    <col min="10189" max="10189" width="12.8857142857143" style="818" customWidth="1"/>
    <col min="10190" max="10190" width="12.3333333333333" style="818" customWidth="1"/>
    <col min="10191" max="10191" width="13.6666666666667" style="818" customWidth="1"/>
    <col min="10192" max="10192" width="17.3333333333333" style="818" customWidth="1"/>
    <col min="10193" max="10194" width="14.3333333333333" style="818" customWidth="1"/>
    <col min="10195" max="10195" width="18.6666666666667" style="818" customWidth="1"/>
    <col min="10196" max="10196" width="14.4380952380952" style="818" customWidth="1"/>
    <col min="10197" max="10197" width="17.4380952380952" style="818" customWidth="1"/>
    <col min="10198" max="10198" width="15.552380952381" style="818" customWidth="1"/>
    <col min="10199" max="10199" width="16.4380952380952" style="818" customWidth="1"/>
    <col min="10200" max="10200" width="23.6666666666667" style="818" customWidth="1"/>
    <col min="10201" max="10201" width="14.1047619047619" style="818" customWidth="1"/>
    <col min="10202" max="10202" width="17.1047619047619" style="818" customWidth="1"/>
    <col min="10203" max="10203" width="21.3333333333333" style="818" customWidth="1"/>
    <col min="10204" max="10204" width="16" style="818" customWidth="1"/>
    <col min="10205" max="10205" width="22.1047619047619" style="818" customWidth="1"/>
    <col min="10206" max="10206" width="14.1047619047619" style="818" customWidth="1"/>
    <col min="10207" max="10207" width="17.4380952380952" style="818" customWidth="1"/>
    <col min="10208" max="10208" width="21.1047619047619" style="818" customWidth="1"/>
    <col min="10209" max="10209" width="15.552380952381" style="818" customWidth="1"/>
    <col min="10210" max="10442" width="8.88571428571429" style="818"/>
    <col min="10443" max="10443" width="9.55238095238095" style="818" customWidth="1"/>
    <col min="10444" max="10444" width="57.552380952381" style="818" customWidth="1"/>
    <col min="10445" max="10445" width="12.8857142857143" style="818" customWidth="1"/>
    <col min="10446" max="10446" width="12.3333333333333" style="818" customWidth="1"/>
    <col min="10447" max="10447" width="13.6666666666667" style="818" customWidth="1"/>
    <col min="10448" max="10448" width="17.3333333333333" style="818" customWidth="1"/>
    <col min="10449" max="10450" width="14.3333333333333" style="818" customWidth="1"/>
    <col min="10451" max="10451" width="18.6666666666667" style="818" customWidth="1"/>
    <col min="10452" max="10452" width="14.4380952380952" style="818" customWidth="1"/>
    <col min="10453" max="10453" width="17.4380952380952" style="818" customWidth="1"/>
    <col min="10454" max="10454" width="15.552380952381" style="818" customWidth="1"/>
    <col min="10455" max="10455" width="16.4380952380952" style="818" customWidth="1"/>
    <col min="10456" max="10456" width="23.6666666666667" style="818" customWidth="1"/>
    <col min="10457" max="10457" width="14.1047619047619" style="818" customWidth="1"/>
    <col min="10458" max="10458" width="17.1047619047619" style="818" customWidth="1"/>
    <col min="10459" max="10459" width="21.3333333333333" style="818" customWidth="1"/>
    <col min="10460" max="10460" width="16" style="818" customWidth="1"/>
    <col min="10461" max="10461" width="22.1047619047619" style="818" customWidth="1"/>
    <col min="10462" max="10462" width="14.1047619047619" style="818" customWidth="1"/>
    <col min="10463" max="10463" width="17.4380952380952" style="818" customWidth="1"/>
    <col min="10464" max="10464" width="21.1047619047619" style="818" customWidth="1"/>
    <col min="10465" max="10465" width="15.552380952381" style="818" customWidth="1"/>
    <col min="10466" max="10698" width="8.88571428571429" style="818"/>
    <col min="10699" max="10699" width="9.55238095238095" style="818" customWidth="1"/>
    <col min="10700" max="10700" width="57.552380952381" style="818" customWidth="1"/>
    <col min="10701" max="10701" width="12.8857142857143" style="818" customWidth="1"/>
    <col min="10702" max="10702" width="12.3333333333333" style="818" customWidth="1"/>
    <col min="10703" max="10703" width="13.6666666666667" style="818" customWidth="1"/>
    <col min="10704" max="10704" width="17.3333333333333" style="818" customWidth="1"/>
    <col min="10705" max="10706" width="14.3333333333333" style="818" customWidth="1"/>
    <col min="10707" max="10707" width="18.6666666666667" style="818" customWidth="1"/>
    <col min="10708" max="10708" width="14.4380952380952" style="818" customWidth="1"/>
    <col min="10709" max="10709" width="17.4380952380952" style="818" customWidth="1"/>
    <col min="10710" max="10710" width="15.552380952381" style="818" customWidth="1"/>
    <col min="10711" max="10711" width="16.4380952380952" style="818" customWidth="1"/>
    <col min="10712" max="10712" width="23.6666666666667" style="818" customWidth="1"/>
    <col min="10713" max="10713" width="14.1047619047619" style="818" customWidth="1"/>
    <col min="10714" max="10714" width="17.1047619047619" style="818" customWidth="1"/>
    <col min="10715" max="10715" width="21.3333333333333" style="818" customWidth="1"/>
    <col min="10716" max="10716" width="16" style="818" customWidth="1"/>
    <col min="10717" max="10717" width="22.1047619047619" style="818" customWidth="1"/>
    <col min="10718" max="10718" width="14.1047619047619" style="818" customWidth="1"/>
    <col min="10719" max="10719" width="17.4380952380952" style="818" customWidth="1"/>
    <col min="10720" max="10720" width="21.1047619047619" style="818" customWidth="1"/>
    <col min="10721" max="10721" width="15.552380952381" style="818" customWidth="1"/>
    <col min="10722" max="10954" width="8.88571428571429" style="818"/>
    <col min="10955" max="10955" width="9.55238095238095" style="818" customWidth="1"/>
    <col min="10956" max="10956" width="57.552380952381" style="818" customWidth="1"/>
    <col min="10957" max="10957" width="12.8857142857143" style="818" customWidth="1"/>
    <col min="10958" max="10958" width="12.3333333333333" style="818" customWidth="1"/>
    <col min="10959" max="10959" width="13.6666666666667" style="818" customWidth="1"/>
    <col min="10960" max="10960" width="17.3333333333333" style="818" customWidth="1"/>
    <col min="10961" max="10962" width="14.3333333333333" style="818" customWidth="1"/>
    <col min="10963" max="10963" width="18.6666666666667" style="818" customWidth="1"/>
    <col min="10964" max="10964" width="14.4380952380952" style="818" customWidth="1"/>
    <col min="10965" max="10965" width="17.4380952380952" style="818" customWidth="1"/>
    <col min="10966" max="10966" width="15.552380952381" style="818" customWidth="1"/>
    <col min="10967" max="10967" width="16.4380952380952" style="818" customWidth="1"/>
    <col min="10968" max="10968" width="23.6666666666667" style="818" customWidth="1"/>
    <col min="10969" max="10969" width="14.1047619047619" style="818" customWidth="1"/>
    <col min="10970" max="10970" width="17.1047619047619" style="818" customWidth="1"/>
    <col min="10971" max="10971" width="21.3333333333333" style="818" customWidth="1"/>
    <col min="10972" max="10972" width="16" style="818" customWidth="1"/>
    <col min="10973" max="10973" width="22.1047619047619" style="818" customWidth="1"/>
    <col min="10974" max="10974" width="14.1047619047619" style="818" customWidth="1"/>
    <col min="10975" max="10975" width="17.4380952380952" style="818" customWidth="1"/>
    <col min="10976" max="10976" width="21.1047619047619" style="818" customWidth="1"/>
    <col min="10977" max="10977" width="15.552380952381" style="818" customWidth="1"/>
    <col min="10978" max="11210" width="8.88571428571429" style="818"/>
    <col min="11211" max="11211" width="9.55238095238095" style="818" customWidth="1"/>
    <col min="11212" max="11212" width="57.552380952381" style="818" customWidth="1"/>
    <col min="11213" max="11213" width="12.8857142857143" style="818" customWidth="1"/>
    <col min="11214" max="11214" width="12.3333333333333" style="818" customWidth="1"/>
    <col min="11215" max="11215" width="13.6666666666667" style="818" customWidth="1"/>
    <col min="11216" max="11216" width="17.3333333333333" style="818" customWidth="1"/>
    <col min="11217" max="11218" width="14.3333333333333" style="818" customWidth="1"/>
    <col min="11219" max="11219" width="18.6666666666667" style="818" customWidth="1"/>
    <col min="11220" max="11220" width="14.4380952380952" style="818" customWidth="1"/>
    <col min="11221" max="11221" width="17.4380952380952" style="818" customWidth="1"/>
    <col min="11222" max="11222" width="15.552380952381" style="818" customWidth="1"/>
    <col min="11223" max="11223" width="16.4380952380952" style="818" customWidth="1"/>
    <col min="11224" max="11224" width="23.6666666666667" style="818" customWidth="1"/>
    <col min="11225" max="11225" width="14.1047619047619" style="818" customWidth="1"/>
    <col min="11226" max="11226" width="17.1047619047619" style="818" customWidth="1"/>
    <col min="11227" max="11227" width="21.3333333333333" style="818" customWidth="1"/>
    <col min="11228" max="11228" width="16" style="818" customWidth="1"/>
    <col min="11229" max="11229" width="22.1047619047619" style="818" customWidth="1"/>
    <col min="11230" max="11230" width="14.1047619047619" style="818" customWidth="1"/>
    <col min="11231" max="11231" width="17.4380952380952" style="818" customWidth="1"/>
    <col min="11232" max="11232" width="21.1047619047619" style="818" customWidth="1"/>
    <col min="11233" max="11233" width="15.552380952381" style="818" customWidth="1"/>
    <col min="11234" max="11466" width="8.88571428571429" style="818"/>
    <col min="11467" max="11467" width="9.55238095238095" style="818" customWidth="1"/>
    <col min="11468" max="11468" width="57.552380952381" style="818" customWidth="1"/>
    <col min="11469" max="11469" width="12.8857142857143" style="818" customWidth="1"/>
    <col min="11470" max="11470" width="12.3333333333333" style="818" customWidth="1"/>
    <col min="11471" max="11471" width="13.6666666666667" style="818" customWidth="1"/>
    <col min="11472" max="11472" width="17.3333333333333" style="818" customWidth="1"/>
    <col min="11473" max="11474" width="14.3333333333333" style="818" customWidth="1"/>
    <col min="11475" max="11475" width="18.6666666666667" style="818" customWidth="1"/>
    <col min="11476" max="11476" width="14.4380952380952" style="818" customWidth="1"/>
    <col min="11477" max="11477" width="17.4380952380952" style="818" customWidth="1"/>
    <col min="11478" max="11478" width="15.552380952381" style="818" customWidth="1"/>
    <col min="11479" max="11479" width="16.4380952380952" style="818" customWidth="1"/>
    <col min="11480" max="11480" width="23.6666666666667" style="818" customWidth="1"/>
    <col min="11481" max="11481" width="14.1047619047619" style="818" customWidth="1"/>
    <col min="11482" max="11482" width="17.1047619047619" style="818" customWidth="1"/>
    <col min="11483" max="11483" width="21.3333333333333" style="818" customWidth="1"/>
    <col min="11484" max="11484" width="16" style="818" customWidth="1"/>
    <col min="11485" max="11485" width="22.1047619047619" style="818" customWidth="1"/>
    <col min="11486" max="11486" width="14.1047619047619" style="818" customWidth="1"/>
    <col min="11487" max="11487" width="17.4380952380952" style="818" customWidth="1"/>
    <col min="11488" max="11488" width="21.1047619047619" style="818" customWidth="1"/>
    <col min="11489" max="11489" width="15.552380952381" style="818" customWidth="1"/>
    <col min="11490" max="11722" width="8.88571428571429" style="818"/>
    <col min="11723" max="11723" width="9.55238095238095" style="818" customWidth="1"/>
    <col min="11724" max="11724" width="57.552380952381" style="818" customWidth="1"/>
    <col min="11725" max="11725" width="12.8857142857143" style="818" customWidth="1"/>
    <col min="11726" max="11726" width="12.3333333333333" style="818" customWidth="1"/>
    <col min="11727" max="11727" width="13.6666666666667" style="818" customWidth="1"/>
    <col min="11728" max="11728" width="17.3333333333333" style="818" customWidth="1"/>
    <col min="11729" max="11730" width="14.3333333333333" style="818" customWidth="1"/>
    <col min="11731" max="11731" width="18.6666666666667" style="818" customWidth="1"/>
    <col min="11732" max="11732" width="14.4380952380952" style="818" customWidth="1"/>
    <col min="11733" max="11733" width="17.4380952380952" style="818" customWidth="1"/>
    <col min="11734" max="11734" width="15.552380952381" style="818" customWidth="1"/>
    <col min="11735" max="11735" width="16.4380952380952" style="818" customWidth="1"/>
    <col min="11736" max="11736" width="23.6666666666667" style="818" customWidth="1"/>
    <col min="11737" max="11737" width="14.1047619047619" style="818" customWidth="1"/>
    <col min="11738" max="11738" width="17.1047619047619" style="818" customWidth="1"/>
    <col min="11739" max="11739" width="21.3333333333333" style="818" customWidth="1"/>
    <col min="11740" max="11740" width="16" style="818" customWidth="1"/>
    <col min="11741" max="11741" width="22.1047619047619" style="818" customWidth="1"/>
    <col min="11742" max="11742" width="14.1047619047619" style="818" customWidth="1"/>
    <col min="11743" max="11743" width="17.4380952380952" style="818" customWidth="1"/>
    <col min="11744" max="11744" width="21.1047619047619" style="818" customWidth="1"/>
    <col min="11745" max="11745" width="15.552380952381" style="818" customWidth="1"/>
    <col min="11746" max="11978" width="8.88571428571429" style="818"/>
    <col min="11979" max="11979" width="9.55238095238095" style="818" customWidth="1"/>
    <col min="11980" max="11980" width="57.552380952381" style="818" customWidth="1"/>
    <col min="11981" max="11981" width="12.8857142857143" style="818" customWidth="1"/>
    <col min="11982" max="11982" width="12.3333333333333" style="818" customWidth="1"/>
    <col min="11983" max="11983" width="13.6666666666667" style="818" customWidth="1"/>
    <col min="11984" max="11984" width="17.3333333333333" style="818" customWidth="1"/>
    <col min="11985" max="11986" width="14.3333333333333" style="818" customWidth="1"/>
    <col min="11987" max="11987" width="18.6666666666667" style="818" customWidth="1"/>
    <col min="11988" max="11988" width="14.4380952380952" style="818" customWidth="1"/>
    <col min="11989" max="11989" width="17.4380952380952" style="818" customWidth="1"/>
    <col min="11990" max="11990" width="15.552380952381" style="818" customWidth="1"/>
    <col min="11991" max="11991" width="16.4380952380952" style="818" customWidth="1"/>
    <col min="11992" max="11992" width="23.6666666666667" style="818" customWidth="1"/>
    <col min="11993" max="11993" width="14.1047619047619" style="818" customWidth="1"/>
    <col min="11994" max="11994" width="17.1047619047619" style="818" customWidth="1"/>
    <col min="11995" max="11995" width="21.3333333333333" style="818" customWidth="1"/>
    <col min="11996" max="11996" width="16" style="818" customWidth="1"/>
    <col min="11997" max="11997" width="22.1047619047619" style="818" customWidth="1"/>
    <col min="11998" max="11998" width="14.1047619047619" style="818" customWidth="1"/>
    <col min="11999" max="11999" width="17.4380952380952" style="818" customWidth="1"/>
    <col min="12000" max="12000" width="21.1047619047619" style="818" customWidth="1"/>
    <col min="12001" max="12001" width="15.552380952381" style="818" customWidth="1"/>
    <col min="12002" max="12234" width="8.88571428571429" style="818"/>
    <col min="12235" max="12235" width="9.55238095238095" style="818" customWidth="1"/>
    <col min="12236" max="12236" width="57.552380952381" style="818" customWidth="1"/>
    <col min="12237" max="12237" width="12.8857142857143" style="818" customWidth="1"/>
    <col min="12238" max="12238" width="12.3333333333333" style="818" customWidth="1"/>
    <col min="12239" max="12239" width="13.6666666666667" style="818" customWidth="1"/>
    <col min="12240" max="12240" width="17.3333333333333" style="818" customWidth="1"/>
    <col min="12241" max="12242" width="14.3333333333333" style="818" customWidth="1"/>
    <col min="12243" max="12243" width="18.6666666666667" style="818" customWidth="1"/>
    <col min="12244" max="12244" width="14.4380952380952" style="818" customWidth="1"/>
    <col min="12245" max="12245" width="17.4380952380952" style="818" customWidth="1"/>
    <col min="12246" max="12246" width="15.552380952381" style="818" customWidth="1"/>
    <col min="12247" max="12247" width="16.4380952380952" style="818" customWidth="1"/>
    <col min="12248" max="12248" width="23.6666666666667" style="818" customWidth="1"/>
    <col min="12249" max="12249" width="14.1047619047619" style="818" customWidth="1"/>
    <col min="12250" max="12250" width="17.1047619047619" style="818" customWidth="1"/>
    <col min="12251" max="12251" width="21.3333333333333" style="818" customWidth="1"/>
    <col min="12252" max="12252" width="16" style="818" customWidth="1"/>
    <col min="12253" max="12253" width="22.1047619047619" style="818" customWidth="1"/>
    <col min="12254" max="12254" width="14.1047619047619" style="818" customWidth="1"/>
    <col min="12255" max="12255" width="17.4380952380952" style="818" customWidth="1"/>
    <col min="12256" max="12256" width="21.1047619047619" style="818" customWidth="1"/>
    <col min="12257" max="12257" width="15.552380952381" style="818" customWidth="1"/>
    <col min="12258" max="12490" width="8.88571428571429" style="818"/>
    <col min="12491" max="12491" width="9.55238095238095" style="818" customWidth="1"/>
    <col min="12492" max="12492" width="57.552380952381" style="818" customWidth="1"/>
    <col min="12493" max="12493" width="12.8857142857143" style="818" customWidth="1"/>
    <col min="12494" max="12494" width="12.3333333333333" style="818" customWidth="1"/>
    <col min="12495" max="12495" width="13.6666666666667" style="818" customWidth="1"/>
    <col min="12496" max="12496" width="17.3333333333333" style="818" customWidth="1"/>
    <col min="12497" max="12498" width="14.3333333333333" style="818" customWidth="1"/>
    <col min="12499" max="12499" width="18.6666666666667" style="818" customWidth="1"/>
    <col min="12500" max="12500" width="14.4380952380952" style="818" customWidth="1"/>
    <col min="12501" max="12501" width="17.4380952380952" style="818" customWidth="1"/>
    <col min="12502" max="12502" width="15.552380952381" style="818" customWidth="1"/>
    <col min="12503" max="12503" width="16.4380952380952" style="818" customWidth="1"/>
    <col min="12504" max="12504" width="23.6666666666667" style="818" customWidth="1"/>
    <col min="12505" max="12505" width="14.1047619047619" style="818" customWidth="1"/>
    <col min="12506" max="12506" width="17.1047619047619" style="818" customWidth="1"/>
    <col min="12507" max="12507" width="21.3333333333333" style="818" customWidth="1"/>
    <col min="12508" max="12508" width="16" style="818" customWidth="1"/>
    <col min="12509" max="12509" width="22.1047619047619" style="818" customWidth="1"/>
    <col min="12510" max="12510" width="14.1047619047619" style="818" customWidth="1"/>
    <col min="12511" max="12511" width="17.4380952380952" style="818" customWidth="1"/>
    <col min="12512" max="12512" width="21.1047619047619" style="818" customWidth="1"/>
    <col min="12513" max="12513" width="15.552380952381" style="818" customWidth="1"/>
    <col min="12514" max="12746" width="8.88571428571429" style="818"/>
    <col min="12747" max="12747" width="9.55238095238095" style="818" customWidth="1"/>
    <col min="12748" max="12748" width="57.552380952381" style="818" customWidth="1"/>
    <col min="12749" max="12749" width="12.8857142857143" style="818" customWidth="1"/>
    <col min="12750" max="12750" width="12.3333333333333" style="818" customWidth="1"/>
    <col min="12751" max="12751" width="13.6666666666667" style="818" customWidth="1"/>
    <col min="12752" max="12752" width="17.3333333333333" style="818" customWidth="1"/>
    <col min="12753" max="12754" width="14.3333333333333" style="818" customWidth="1"/>
    <col min="12755" max="12755" width="18.6666666666667" style="818" customWidth="1"/>
    <col min="12756" max="12756" width="14.4380952380952" style="818" customWidth="1"/>
    <col min="12757" max="12757" width="17.4380952380952" style="818" customWidth="1"/>
    <col min="12758" max="12758" width="15.552380952381" style="818" customWidth="1"/>
    <col min="12759" max="12759" width="16.4380952380952" style="818" customWidth="1"/>
    <col min="12760" max="12760" width="23.6666666666667" style="818" customWidth="1"/>
    <col min="12761" max="12761" width="14.1047619047619" style="818" customWidth="1"/>
    <col min="12762" max="12762" width="17.1047619047619" style="818" customWidth="1"/>
    <col min="12763" max="12763" width="21.3333333333333" style="818" customWidth="1"/>
    <col min="12764" max="12764" width="16" style="818" customWidth="1"/>
    <col min="12765" max="12765" width="22.1047619047619" style="818" customWidth="1"/>
    <col min="12766" max="12766" width="14.1047619047619" style="818" customWidth="1"/>
    <col min="12767" max="12767" width="17.4380952380952" style="818" customWidth="1"/>
    <col min="12768" max="12768" width="21.1047619047619" style="818" customWidth="1"/>
    <col min="12769" max="12769" width="15.552380952381" style="818" customWidth="1"/>
    <col min="12770" max="13002" width="8.88571428571429" style="818"/>
    <col min="13003" max="13003" width="9.55238095238095" style="818" customWidth="1"/>
    <col min="13004" max="13004" width="57.552380952381" style="818" customWidth="1"/>
    <col min="13005" max="13005" width="12.8857142857143" style="818" customWidth="1"/>
    <col min="13006" max="13006" width="12.3333333333333" style="818" customWidth="1"/>
    <col min="13007" max="13007" width="13.6666666666667" style="818" customWidth="1"/>
    <col min="13008" max="13008" width="17.3333333333333" style="818" customWidth="1"/>
    <col min="13009" max="13010" width="14.3333333333333" style="818" customWidth="1"/>
    <col min="13011" max="13011" width="18.6666666666667" style="818" customWidth="1"/>
    <col min="13012" max="13012" width="14.4380952380952" style="818" customWidth="1"/>
    <col min="13013" max="13013" width="17.4380952380952" style="818" customWidth="1"/>
    <col min="13014" max="13014" width="15.552380952381" style="818" customWidth="1"/>
    <col min="13015" max="13015" width="16.4380952380952" style="818" customWidth="1"/>
    <col min="13016" max="13016" width="23.6666666666667" style="818" customWidth="1"/>
    <col min="13017" max="13017" width="14.1047619047619" style="818" customWidth="1"/>
    <col min="13018" max="13018" width="17.1047619047619" style="818" customWidth="1"/>
    <col min="13019" max="13019" width="21.3333333333333" style="818" customWidth="1"/>
    <col min="13020" max="13020" width="16" style="818" customWidth="1"/>
    <col min="13021" max="13021" width="22.1047619047619" style="818" customWidth="1"/>
    <col min="13022" max="13022" width="14.1047619047619" style="818" customWidth="1"/>
    <col min="13023" max="13023" width="17.4380952380952" style="818" customWidth="1"/>
    <col min="13024" max="13024" width="21.1047619047619" style="818" customWidth="1"/>
    <col min="13025" max="13025" width="15.552380952381" style="818" customWidth="1"/>
    <col min="13026" max="13258" width="8.88571428571429" style="818"/>
    <col min="13259" max="13259" width="9.55238095238095" style="818" customWidth="1"/>
    <col min="13260" max="13260" width="57.552380952381" style="818" customWidth="1"/>
    <col min="13261" max="13261" width="12.8857142857143" style="818" customWidth="1"/>
    <col min="13262" max="13262" width="12.3333333333333" style="818" customWidth="1"/>
    <col min="13263" max="13263" width="13.6666666666667" style="818" customWidth="1"/>
    <col min="13264" max="13264" width="17.3333333333333" style="818" customWidth="1"/>
    <col min="13265" max="13266" width="14.3333333333333" style="818" customWidth="1"/>
    <col min="13267" max="13267" width="18.6666666666667" style="818" customWidth="1"/>
    <col min="13268" max="13268" width="14.4380952380952" style="818" customWidth="1"/>
    <col min="13269" max="13269" width="17.4380952380952" style="818" customWidth="1"/>
    <col min="13270" max="13270" width="15.552380952381" style="818" customWidth="1"/>
    <col min="13271" max="13271" width="16.4380952380952" style="818" customWidth="1"/>
    <col min="13272" max="13272" width="23.6666666666667" style="818" customWidth="1"/>
    <col min="13273" max="13273" width="14.1047619047619" style="818" customWidth="1"/>
    <col min="13274" max="13274" width="17.1047619047619" style="818" customWidth="1"/>
    <col min="13275" max="13275" width="21.3333333333333" style="818" customWidth="1"/>
    <col min="13276" max="13276" width="16" style="818" customWidth="1"/>
    <col min="13277" max="13277" width="22.1047619047619" style="818" customWidth="1"/>
    <col min="13278" max="13278" width="14.1047619047619" style="818" customWidth="1"/>
    <col min="13279" max="13279" width="17.4380952380952" style="818" customWidth="1"/>
    <col min="13280" max="13280" width="21.1047619047619" style="818" customWidth="1"/>
    <col min="13281" max="13281" width="15.552380952381" style="818" customWidth="1"/>
    <col min="13282" max="13514" width="8.88571428571429" style="818"/>
    <col min="13515" max="13515" width="9.55238095238095" style="818" customWidth="1"/>
    <col min="13516" max="13516" width="57.552380952381" style="818" customWidth="1"/>
    <col min="13517" max="13517" width="12.8857142857143" style="818" customWidth="1"/>
    <col min="13518" max="13518" width="12.3333333333333" style="818" customWidth="1"/>
    <col min="13519" max="13519" width="13.6666666666667" style="818" customWidth="1"/>
    <col min="13520" max="13520" width="17.3333333333333" style="818" customWidth="1"/>
    <col min="13521" max="13522" width="14.3333333333333" style="818" customWidth="1"/>
    <col min="13523" max="13523" width="18.6666666666667" style="818" customWidth="1"/>
    <col min="13524" max="13524" width="14.4380952380952" style="818" customWidth="1"/>
    <col min="13525" max="13525" width="17.4380952380952" style="818" customWidth="1"/>
    <col min="13526" max="13526" width="15.552380952381" style="818" customWidth="1"/>
    <col min="13527" max="13527" width="16.4380952380952" style="818" customWidth="1"/>
    <col min="13528" max="13528" width="23.6666666666667" style="818" customWidth="1"/>
    <col min="13529" max="13529" width="14.1047619047619" style="818" customWidth="1"/>
    <col min="13530" max="13530" width="17.1047619047619" style="818" customWidth="1"/>
    <col min="13531" max="13531" width="21.3333333333333" style="818" customWidth="1"/>
    <col min="13532" max="13532" width="16" style="818" customWidth="1"/>
    <col min="13533" max="13533" width="22.1047619047619" style="818" customWidth="1"/>
    <col min="13534" max="13534" width="14.1047619047619" style="818" customWidth="1"/>
    <col min="13535" max="13535" width="17.4380952380952" style="818" customWidth="1"/>
    <col min="13536" max="13536" width="21.1047619047619" style="818" customWidth="1"/>
    <col min="13537" max="13537" width="15.552380952381" style="818" customWidth="1"/>
    <col min="13538" max="13770" width="8.88571428571429" style="818"/>
    <col min="13771" max="13771" width="9.55238095238095" style="818" customWidth="1"/>
    <col min="13772" max="13772" width="57.552380952381" style="818" customWidth="1"/>
    <col min="13773" max="13773" width="12.8857142857143" style="818" customWidth="1"/>
    <col min="13774" max="13774" width="12.3333333333333" style="818" customWidth="1"/>
    <col min="13775" max="13775" width="13.6666666666667" style="818" customWidth="1"/>
    <col min="13776" max="13776" width="17.3333333333333" style="818" customWidth="1"/>
    <col min="13777" max="13778" width="14.3333333333333" style="818" customWidth="1"/>
    <col min="13779" max="13779" width="18.6666666666667" style="818" customWidth="1"/>
    <col min="13780" max="13780" width="14.4380952380952" style="818" customWidth="1"/>
    <col min="13781" max="13781" width="17.4380952380952" style="818" customWidth="1"/>
    <col min="13782" max="13782" width="15.552380952381" style="818" customWidth="1"/>
    <col min="13783" max="13783" width="16.4380952380952" style="818" customWidth="1"/>
    <col min="13784" max="13784" width="23.6666666666667" style="818" customWidth="1"/>
    <col min="13785" max="13785" width="14.1047619047619" style="818" customWidth="1"/>
    <col min="13786" max="13786" width="17.1047619047619" style="818" customWidth="1"/>
    <col min="13787" max="13787" width="21.3333333333333" style="818" customWidth="1"/>
    <col min="13788" max="13788" width="16" style="818" customWidth="1"/>
    <col min="13789" max="13789" width="22.1047619047619" style="818" customWidth="1"/>
    <col min="13790" max="13790" width="14.1047619047619" style="818" customWidth="1"/>
    <col min="13791" max="13791" width="17.4380952380952" style="818" customWidth="1"/>
    <col min="13792" max="13792" width="21.1047619047619" style="818" customWidth="1"/>
    <col min="13793" max="13793" width="15.552380952381" style="818" customWidth="1"/>
    <col min="13794" max="14026" width="8.88571428571429" style="818"/>
    <col min="14027" max="14027" width="9.55238095238095" style="818" customWidth="1"/>
    <col min="14028" max="14028" width="57.552380952381" style="818" customWidth="1"/>
    <col min="14029" max="14029" width="12.8857142857143" style="818" customWidth="1"/>
    <col min="14030" max="14030" width="12.3333333333333" style="818" customWidth="1"/>
    <col min="14031" max="14031" width="13.6666666666667" style="818" customWidth="1"/>
    <col min="14032" max="14032" width="17.3333333333333" style="818" customWidth="1"/>
    <col min="14033" max="14034" width="14.3333333333333" style="818" customWidth="1"/>
    <col min="14035" max="14035" width="18.6666666666667" style="818" customWidth="1"/>
    <col min="14036" max="14036" width="14.4380952380952" style="818" customWidth="1"/>
    <col min="14037" max="14037" width="17.4380952380952" style="818" customWidth="1"/>
    <col min="14038" max="14038" width="15.552380952381" style="818" customWidth="1"/>
    <col min="14039" max="14039" width="16.4380952380952" style="818" customWidth="1"/>
    <col min="14040" max="14040" width="23.6666666666667" style="818" customWidth="1"/>
    <col min="14041" max="14041" width="14.1047619047619" style="818" customWidth="1"/>
    <col min="14042" max="14042" width="17.1047619047619" style="818" customWidth="1"/>
    <col min="14043" max="14043" width="21.3333333333333" style="818" customWidth="1"/>
    <col min="14044" max="14044" width="16" style="818" customWidth="1"/>
    <col min="14045" max="14045" width="22.1047619047619" style="818" customWidth="1"/>
    <col min="14046" max="14046" width="14.1047619047619" style="818" customWidth="1"/>
    <col min="14047" max="14047" width="17.4380952380952" style="818" customWidth="1"/>
    <col min="14048" max="14048" width="21.1047619047619" style="818" customWidth="1"/>
    <col min="14049" max="14049" width="15.552380952381" style="818" customWidth="1"/>
    <col min="14050" max="14282" width="8.88571428571429" style="818"/>
    <col min="14283" max="14283" width="9.55238095238095" style="818" customWidth="1"/>
    <col min="14284" max="14284" width="57.552380952381" style="818" customWidth="1"/>
    <col min="14285" max="14285" width="12.8857142857143" style="818" customWidth="1"/>
    <col min="14286" max="14286" width="12.3333333333333" style="818" customWidth="1"/>
    <col min="14287" max="14287" width="13.6666666666667" style="818" customWidth="1"/>
    <col min="14288" max="14288" width="17.3333333333333" style="818" customWidth="1"/>
    <col min="14289" max="14290" width="14.3333333333333" style="818" customWidth="1"/>
    <col min="14291" max="14291" width="18.6666666666667" style="818" customWidth="1"/>
    <col min="14292" max="14292" width="14.4380952380952" style="818" customWidth="1"/>
    <col min="14293" max="14293" width="17.4380952380952" style="818" customWidth="1"/>
    <col min="14294" max="14294" width="15.552380952381" style="818" customWidth="1"/>
    <col min="14295" max="14295" width="16.4380952380952" style="818" customWidth="1"/>
    <col min="14296" max="14296" width="23.6666666666667" style="818" customWidth="1"/>
    <col min="14297" max="14297" width="14.1047619047619" style="818" customWidth="1"/>
    <col min="14298" max="14298" width="17.1047619047619" style="818" customWidth="1"/>
    <col min="14299" max="14299" width="21.3333333333333" style="818" customWidth="1"/>
    <col min="14300" max="14300" width="16" style="818" customWidth="1"/>
    <col min="14301" max="14301" width="22.1047619047619" style="818" customWidth="1"/>
    <col min="14302" max="14302" width="14.1047619047619" style="818" customWidth="1"/>
    <col min="14303" max="14303" width="17.4380952380952" style="818" customWidth="1"/>
    <col min="14304" max="14304" width="21.1047619047619" style="818" customWidth="1"/>
    <col min="14305" max="14305" width="15.552380952381" style="818" customWidth="1"/>
    <col min="14306" max="14538" width="8.88571428571429" style="818"/>
    <col min="14539" max="14539" width="9.55238095238095" style="818" customWidth="1"/>
    <col min="14540" max="14540" width="57.552380952381" style="818" customWidth="1"/>
    <col min="14541" max="14541" width="12.8857142857143" style="818" customWidth="1"/>
    <col min="14542" max="14542" width="12.3333333333333" style="818" customWidth="1"/>
    <col min="14543" max="14543" width="13.6666666666667" style="818" customWidth="1"/>
    <col min="14544" max="14544" width="17.3333333333333" style="818" customWidth="1"/>
    <col min="14545" max="14546" width="14.3333333333333" style="818" customWidth="1"/>
    <col min="14547" max="14547" width="18.6666666666667" style="818" customWidth="1"/>
    <col min="14548" max="14548" width="14.4380952380952" style="818" customWidth="1"/>
    <col min="14549" max="14549" width="17.4380952380952" style="818" customWidth="1"/>
    <col min="14550" max="14550" width="15.552380952381" style="818" customWidth="1"/>
    <col min="14551" max="14551" width="16.4380952380952" style="818" customWidth="1"/>
    <col min="14552" max="14552" width="23.6666666666667" style="818" customWidth="1"/>
    <col min="14553" max="14553" width="14.1047619047619" style="818" customWidth="1"/>
    <col min="14554" max="14554" width="17.1047619047619" style="818" customWidth="1"/>
    <col min="14555" max="14555" width="21.3333333333333" style="818" customWidth="1"/>
    <col min="14556" max="14556" width="16" style="818" customWidth="1"/>
    <col min="14557" max="14557" width="22.1047619047619" style="818" customWidth="1"/>
    <col min="14558" max="14558" width="14.1047619047619" style="818" customWidth="1"/>
    <col min="14559" max="14559" width="17.4380952380952" style="818" customWidth="1"/>
    <col min="14560" max="14560" width="21.1047619047619" style="818" customWidth="1"/>
    <col min="14561" max="14561" width="15.552380952381" style="818" customWidth="1"/>
    <col min="14562" max="14794" width="8.88571428571429" style="818"/>
    <col min="14795" max="14795" width="9.55238095238095" style="818" customWidth="1"/>
    <col min="14796" max="14796" width="57.552380952381" style="818" customWidth="1"/>
    <col min="14797" max="14797" width="12.8857142857143" style="818" customWidth="1"/>
    <col min="14798" max="14798" width="12.3333333333333" style="818" customWidth="1"/>
    <col min="14799" max="14799" width="13.6666666666667" style="818" customWidth="1"/>
    <col min="14800" max="14800" width="17.3333333333333" style="818" customWidth="1"/>
    <col min="14801" max="14802" width="14.3333333333333" style="818" customWidth="1"/>
    <col min="14803" max="14803" width="18.6666666666667" style="818" customWidth="1"/>
    <col min="14804" max="14804" width="14.4380952380952" style="818" customWidth="1"/>
    <col min="14805" max="14805" width="17.4380952380952" style="818" customWidth="1"/>
    <col min="14806" max="14806" width="15.552380952381" style="818" customWidth="1"/>
    <col min="14807" max="14807" width="16.4380952380952" style="818" customWidth="1"/>
    <col min="14808" max="14808" width="23.6666666666667" style="818" customWidth="1"/>
    <col min="14809" max="14809" width="14.1047619047619" style="818" customWidth="1"/>
    <col min="14810" max="14810" width="17.1047619047619" style="818" customWidth="1"/>
    <col min="14811" max="14811" width="21.3333333333333" style="818" customWidth="1"/>
    <col min="14812" max="14812" width="16" style="818" customWidth="1"/>
    <col min="14813" max="14813" width="22.1047619047619" style="818" customWidth="1"/>
    <col min="14814" max="14814" width="14.1047619047619" style="818" customWidth="1"/>
    <col min="14815" max="14815" width="17.4380952380952" style="818" customWidth="1"/>
    <col min="14816" max="14816" width="21.1047619047619" style="818" customWidth="1"/>
    <col min="14817" max="14817" width="15.552380952381" style="818" customWidth="1"/>
    <col min="14818" max="15050" width="8.88571428571429" style="818"/>
    <col min="15051" max="15051" width="9.55238095238095" style="818" customWidth="1"/>
    <col min="15052" max="15052" width="57.552380952381" style="818" customWidth="1"/>
    <col min="15053" max="15053" width="12.8857142857143" style="818" customWidth="1"/>
    <col min="15054" max="15054" width="12.3333333333333" style="818" customWidth="1"/>
    <col min="15055" max="15055" width="13.6666666666667" style="818" customWidth="1"/>
    <col min="15056" max="15056" width="17.3333333333333" style="818" customWidth="1"/>
    <col min="15057" max="15058" width="14.3333333333333" style="818" customWidth="1"/>
    <col min="15059" max="15059" width="18.6666666666667" style="818" customWidth="1"/>
    <col min="15060" max="15060" width="14.4380952380952" style="818" customWidth="1"/>
    <col min="15061" max="15061" width="17.4380952380952" style="818" customWidth="1"/>
    <col min="15062" max="15062" width="15.552380952381" style="818" customWidth="1"/>
    <col min="15063" max="15063" width="16.4380952380952" style="818" customWidth="1"/>
    <col min="15064" max="15064" width="23.6666666666667" style="818" customWidth="1"/>
    <col min="15065" max="15065" width="14.1047619047619" style="818" customWidth="1"/>
    <col min="15066" max="15066" width="17.1047619047619" style="818" customWidth="1"/>
    <col min="15067" max="15067" width="21.3333333333333" style="818" customWidth="1"/>
    <col min="15068" max="15068" width="16" style="818" customWidth="1"/>
    <col min="15069" max="15069" width="22.1047619047619" style="818" customWidth="1"/>
    <col min="15070" max="15070" width="14.1047619047619" style="818" customWidth="1"/>
    <col min="15071" max="15071" width="17.4380952380952" style="818" customWidth="1"/>
    <col min="15072" max="15072" width="21.1047619047619" style="818" customWidth="1"/>
    <col min="15073" max="15073" width="15.552380952381" style="818" customWidth="1"/>
    <col min="15074" max="15306" width="8.88571428571429" style="818"/>
    <col min="15307" max="15307" width="9.55238095238095" style="818" customWidth="1"/>
    <col min="15308" max="15308" width="57.552380952381" style="818" customWidth="1"/>
    <col min="15309" max="15309" width="12.8857142857143" style="818" customWidth="1"/>
    <col min="15310" max="15310" width="12.3333333333333" style="818" customWidth="1"/>
    <col min="15311" max="15311" width="13.6666666666667" style="818" customWidth="1"/>
    <col min="15312" max="15312" width="17.3333333333333" style="818" customWidth="1"/>
    <col min="15313" max="15314" width="14.3333333333333" style="818" customWidth="1"/>
    <col min="15315" max="15315" width="18.6666666666667" style="818" customWidth="1"/>
    <col min="15316" max="15316" width="14.4380952380952" style="818" customWidth="1"/>
    <col min="15317" max="15317" width="17.4380952380952" style="818" customWidth="1"/>
    <col min="15318" max="15318" width="15.552380952381" style="818" customWidth="1"/>
    <col min="15319" max="15319" width="16.4380952380952" style="818" customWidth="1"/>
    <col min="15320" max="15320" width="23.6666666666667" style="818" customWidth="1"/>
    <col min="15321" max="15321" width="14.1047619047619" style="818" customWidth="1"/>
    <col min="15322" max="15322" width="17.1047619047619" style="818" customWidth="1"/>
    <col min="15323" max="15323" width="21.3333333333333" style="818" customWidth="1"/>
    <col min="15324" max="15324" width="16" style="818" customWidth="1"/>
    <col min="15325" max="15325" width="22.1047619047619" style="818" customWidth="1"/>
    <col min="15326" max="15326" width="14.1047619047619" style="818" customWidth="1"/>
    <col min="15327" max="15327" width="17.4380952380952" style="818" customWidth="1"/>
    <col min="15328" max="15328" width="21.1047619047619" style="818" customWidth="1"/>
    <col min="15329" max="15329" width="15.552380952381" style="818" customWidth="1"/>
    <col min="15330" max="15562" width="8.88571428571429" style="818"/>
    <col min="15563" max="15563" width="9.55238095238095" style="818" customWidth="1"/>
    <col min="15564" max="15564" width="57.552380952381" style="818" customWidth="1"/>
    <col min="15565" max="15565" width="12.8857142857143" style="818" customWidth="1"/>
    <col min="15566" max="15566" width="12.3333333333333" style="818" customWidth="1"/>
    <col min="15567" max="15567" width="13.6666666666667" style="818" customWidth="1"/>
    <col min="15568" max="15568" width="17.3333333333333" style="818" customWidth="1"/>
    <col min="15569" max="15570" width="14.3333333333333" style="818" customWidth="1"/>
    <col min="15571" max="15571" width="18.6666666666667" style="818" customWidth="1"/>
    <col min="15572" max="15572" width="14.4380952380952" style="818" customWidth="1"/>
    <col min="15573" max="15573" width="17.4380952380952" style="818" customWidth="1"/>
    <col min="15574" max="15574" width="15.552380952381" style="818" customWidth="1"/>
    <col min="15575" max="15575" width="16.4380952380952" style="818" customWidth="1"/>
    <col min="15576" max="15576" width="23.6666666666667" style="818" customWidth="1"/>
    <col min="15577" max="15577" width="14.1047619047619" style="818" customWidth="1"/>
    <col min="15578" max="15578" width="17.1047619047619" style="818" customWidth="1"/>
    <col min="15579" max="15579" width="21.3333333333333" style="818" customWidth="1"/>
    <col min="15580" max="15580" width="16" style="818" customWidth="1"/>
    <col min="15581" max="15581" width="22.1047619047619" style="818" customWidth="1"/>
    <col min="15582" max="15582" width="14.1047619047619" style="818" customWidth="1"/>
    <col min="15583" max="15583" width="17.4380952380952" style="818" customWidth="1"/>
    <col min="15584" max="15584" width="21.1047619047619" style="818" customWidth="1"/>
    <col min="15585" max="15585" width="15.552380952381" style="818" customWidth="1"/>
    <col min="15586" max="15818" width="8.88571428571429" style="818"/>
    <col min="15819" max="15819" width="9.55238095238095" style="818" customWidth="1"/>
    <col min="15820" max="15820" width="57.552380952381" style="818" customWidth="1"/>
    <col min="15821" max="15821" width="12.8857142857143" style="818" customWidth="1"/>
    <col min="15822" max="15822" width="12.3333333333333" style="818" customWidth="1"/>
    <col min="15823" max="15823" width="13.6666666666667" style="818" customWidth="1"/>
    <col min="15824" max="15824" width="17.3333333333333" style="818" customWidth="1"/>
    <col min="15825" max="15826" width="14.3333333333333" style="818" customWidth="1"/>
    <col min="15827" max="15827" width="18.6666666666667" style="818" customWidth="1"/>
    <col min="15828" max="15828" width="14.4380952380952" style="818" customWidth="1"/>
    <col min="15829" max="15829" width="17.4380952380952" style="818" customWidth="1"/>
    <col min="15830" max="15830" width="15.552380952381" style="818" customWidth="1"/>
    <col min="15831" max="15831" width="16.4380952380952" style="818" customWidth="1"/>
    <col min="15832" max="15832" width="23.6666666666667" style="818" customWidth="1"/>
    <col min="15833" max="15833" width="14.1047619047619" style="818" customWidth="1"/>
    <col min="15834" max="15834" width="17.1047619047619" style="818" customWidth="1"/>
    <col min="15835" max="15835" width="21.3333333333333" style="818" customWidth="1"/>
    <col min="15836" max="15836" width="16" style="818" customWidth="1"/>
    <col min="15837" max="15837" width="22.1047619047619" style="818" customWidth="1"/>
    <col min="15838" max="15838" width="14.1047619047619" style="818" customWidth="1"/>
    <col min="15839" max="15839" width="17.4380952380952" style="818" customWidth="1"/>
    <col min="15840" max="15840" width="21.1047619047619" style="818" customWidth="1"/>
    <col min="15841" max="15841" width="15.552380952381" style="818" customWidth="1"/>
    <col min="15842" max="16074" width="8.88571428571429" style="818"/>
    <col min="16075" max="16075" width="9.55238095238095" style="818" customWidth="1"/>
    <col min="16076" max="16076" width="57.552380952381" style="818" customWidth="1"/>
    <col min="16077" max="16077" width="12.8857142857143" style="818" customWidth="1"/>
    <col min="16078" max="16078" width="12.3333333333333" style="818" customWidth="1"/>
    <col min="16079" max="16079" width="13.6666666666667" style="818" customWidth="1"/>
    <col min="16080" max="16080" width="17.3333333333333" style="818" customWidth="1"/>
    <col min="16081" max="16082" width="14.3333333333333" style="818" customWidth="1"/>
    <col min="16083" max="16083" width="18.6666666666667" style="818" customWidth="1"/>
    <col min="16084" max="16084" width="14.4380952380952" style="818" customWidth="1"/>
    <col min="16085" max="16085" width="17.4380952380952" style="818" customWidth="1"/>
    <col min="16086" max="16086" width="15.552380952381" style="818" customWidth="1"/>
    <col min="16087" max="16087" width="16.4380952380952" style="818" customWidth="1"/>
    <col min="16088" max="16088" width="23.6666666666667" style="818" customWidth="1"/>
    <col min="16089" max="16089" width="14.1047619047619" style="818" customWidth="1"/>
    <col min="16090" max="16090" width="17.1047619047619" style="818" customWidth="1"/>
    <col min="16091" max="16091" width="21.3333333333333" style="818" customWidth="1"/>
    <col min="16092" max="16092" width="16" style="818" customWidth="1"/>
    <col min="16093" max="16093" width="22.1047619047619" style="818" customWidth="1"/>
    <col min="16094" max="16094" width="14.1047619047619" style="818" customWidth="1"/>
    <col min="16095" max="16095" width="17.4380952380952" style="818" customWidth="1"/>
    <col min="16096" max="16096" width="21.1047619047619" style="818" customWidth="1"/>
    <col min="16097" max="16097" width="15.552380952381" style="818" customWidth="1"/>
    <col min="16098" max="16384" width="8.88571428571429" style="818"/>
  </cols>
  <sheetData>
    <row r="1" s="814" customFormat="1" ht="26.25" spans="1:9">
      <c r="A1" s="822" t="s">
        <v>113</v>
      </c>
      <c r="B1" s="822"/>
      <c r="C1" s="822"/>
      <c r="D1" s="822"/>
      <c r="E1" s="822"/>
      <c r="F1" s="822"/>
      <c r="G1" s="822"/>
      <c r="H1" s="822"/>
      <c r="I1" s="822"/>
    </row>
    <row r="2" s="815" customFormat="1" ht="18" spans="1:9">
      <c r="A2" s="823" t="s">
        <v>114</v>
      </c>
      <c r="B2" s="824"/>
      <c r="C2" s="824"/>
      <c r="D2" s="824"/>
      <c r="E2" s="824"/>
      <c r="F2" s="824"/>
      <c r="G2" s="824"/>
      <c r="H2" s="824"/>
      <c r="I2" s="825"/>
    </row>
    <row r="3" s="816" customFormat="1" ht="38.25" spans="1:9">
      <c r="A3" s="826" t="s">
        <v>115</v>
      </c>
      <c r="B3" s="826" t="s">
        <v>27</v>
      </c>
      <c r="C3" s="827" t="s">
        <v>116</v>
      </c>
      <c r="D3" s="828" t="s">
        <v>117</v>
      </c>
      <c r="E3" s="829" t="s">
        <v>118</v>
      </c>
      <c r="F3" s="829" t="s">
        <v>119</v>
      </c>
      <c r="G3" s="829" t="s">
        <v>28</v>
      </c>
      <c r="H3" s="829" t="s">
        <v>29</v>
      </c>
      <c r="I3" s="829" t="s">
        <v>34</v>
      </c>
    </row>
    <row r="4" s="816" customFormat="1" outlineLevel="1" spans="1:9">
      <c r="A4" s="830">
        <v>1</v>
      </c>
      <c r="B4" s="831" t="s">
        <v>13</v>
      </c>
      <c r="C4" s="832">
        <v>3500</v>
      </c>
      <c r="D4" s="833">
        <v>0.7323</v>
      </c>
      <c r="E4" s="834">
        <f>IF(C4=0,0,C4*(1+D4)+G4+H4)</f>
        <v>6531.05</v>
      </c>
      <c r="F4" s="834">
        <f>IF(C4=0,0,C4*(1+D4)+H4+I4)</f>
        <v>6613.05</v>
      </c>
      <c r="G4" s="832">
        <f>INDEX(BD!$B$45:$K$66,MATCH($G$3,BD!$B$45:$B$66,0),MATCH('CUSTO DIRETO'!$I$3,BD!$B$44:$K$44,0))</f>
        <v>418</v>
      </c>
      <c r="H4" s="832">
        <f>INDEX(BD!$B$45:$K$66,MATCH($H$3,BD!$B$45:$B$66,0),MATCH('CUSTO DIRETO'!$I$3,BD!$B$44:$K$44,0))</f>
        <v>50</v>
      </c>
      <c r="I4" s="832">
        <f>INDEX(BD!$B$45:$K$66,MATCH($I$3,BD!$B$45:$B$66,0),MATCH('CUSTO DIRETO'!$I$3,BD!$B$44:$K$44,0))</f>
        <v>500</v>
      </c>
    </row>
    <row r="5" s="816" customFormat="1" outlineLevel="1" spans="1:9">
      <c r="A5" s="830">
        <v>2</v>
      </c>
      <c r="B5" s="831" t="s">
        <v>14</v>
      </c>
      <c r="C5" s="832">
        <f>INDEX(BD!$A$3:$K$41,MATCH(B5,BD!$B$3:$B$41,0),MATCH('CUSTO DIRETO'!$I$3,BD!$A$3:$K$3,0))</f>
        <v>1814</v>
      </c>
      <c r="D5" s="833">
        <v>0.7323</v>
      </c>
      <c r="E5" s="834">
        <f t="shared" ref="E5:E13" si="0">IF(C5=0,0,C5*(1+D5)+G5+H5)</f>
        <v>3610.3922</v>
      </c>
      <c r="F5" s="834">
        <f t="shared" ref="F5:F13" si="1">IF(C5=0,0,C5*(1+D5)+H5+I5)</f>
        <v>3692.3922</v>
      </c>
      <c r="G5" s="832">
        <f>INDEX(BD!$B$45:$K$66,MATCH($G$3,BD!$B$45:$B$66,0),MATCH('CUSTO DIRETO'!$I$3,BD!$B$44:$K$44,0))</f>
        <v>418</v>
      </c>
      <c r="H5" s="832">
        <f>INDEX(BD!$B$45:$K$66,MATCH($H$3,BD!$B$45:$B$66,0),MATCH('CUSTO DIRETO'!$I$3,BD!$B$44:$K$44,0))</f>
        <v>50</v>
      </c>
      <c r="I5" s="832">
        <f>INDEX(BD!$B$45:$K$66,MATCH($I$3,BD!$B$45:$B$66,0),MATCH('CUSTO DIRETO'!$I$3,BD!$B$44:$K$44,0))</f>
        <v>500</v>
      </c>
    </row>
    <row r="6" s="816" customFormat="1" outlineLevel="1" spans="1:9">
      <c r="A6" s="830">
        <v>3</v>
      </c>
      <c r="B6" s="831" t="s">
        <v>15</v>
      </c>
      <c r="C6" s="832">
        <f>INDEX(BD!$A$3:$K$41,MATCH(B6,BD!$B$3:$B$41,0),MATCH('CUSTO DIRETO'!$I$3,BD!$A$3:$K$3,0))</f>
        <v>4300</v>
      </c>
      <c r="D6" s="833">
        <v>0.7323</v>
      </c>
      <c r="E6" s="834">
        <f t="shared" si="0"/>
        <v>7916.89</v>
      </c>
      <c r="F6" s="834">
        <f t="shared" si="1"/>
        <v>8998.89</v>
      </c>
      <c r="G6" s="832">
        <f>INDEX(BD!$B$45:$K$66,MATCH($G$3,BD!$B$45:$B$66,0),MATCH('CUSTO DIRETO'!$I$3,BD!$B$44:$K$44,0))</f>
        <v>418</v>
      </c>
      <c r="H6" s="832">
        <f>INDEX(BD!$B$45:$K$66,MATCH($H$3,BD!$B$45:$B$66,0),MATCH('CUSTO DIRETO'!$I$3,BD!$B$44:$K$44,0))</f>
        <v>50</v>
      </c>
      <c r="I6" s="835">
        <f>INDEX(BD!$B$45:$K$66,MATCH($I$3,BD!$B$45:$B$66,0),MATCH('CUSTO DIRETO'!$I$3,BD!$B$44:$K$44,0))*(BD!$G$52/30)</f>
        <v>1500</v>
      </c>
    </row>
    <row r="7" s="816" customFormat="1" outlineLevel="1" spans="1:9">
      <c r="A7" s="830">
        <v>4</v>
      </c>
      <c r="B7" s="831" t="s">
        <v>16</v>
      </c>
      <c r="C7" s="832">
        <f>INDEX(BD!$A$3:$K$41,MATCH(B7,BD!$B$3:$B$41,0),MATCH('CUSTO DIRETO'!$I$3,BD!$A$3:$K$3,0))</f>
        <v>5300</v>
      </c>
      <c r="D7" s="833">
        <v>0.7323</v>
      </c>
      <c r="E7" s="834">
        <f t="shared" si="0"/>
        <v>9649.19</v>
      </c>
      <c r="F7" s="834">
        <f t="shared" si="1"/>
        <v>10731.19</v>
      </c>
      <c r="G7" s="832">
        <f>INDEX(BD!$B$45:$K$66,MATCH($G$3,BD!$B$45:$B$66,0),MATCH('CUSTO DIRETO'!$I$3,BD!$B$44:$K$44,0))</f>
        <v>418</v>
      </c>
      <c r="H7" s="832">
        <f>INDEX(BD!$B$45:$K$66,MATCH($H$3,BD!$B$45:$B$66,0),MATCH('CUSTO DIRETO'!$I$3,BD!$B$44:$K$44,0))</f>
        <v>50</v>
      </c>
      <c r="I7" s="835">
        <f>INDEX(BD!$B$45:$K$66,MATCH($I$3,BD!$B$45:$B$66,0),MATCH('CUSTO DIRETO'!$I$3,BD!$B$44:$K$44,0))*(BD!$G$52/30)</f>
        <v>1500</v>
      </c>
    </row>
    <row r="8" s="816" customFormat="1" outlineLevel="1" spans="1:9">
      <c r="A8" s="830">
        <v>5</v>
      </c>
      <c r="B8" s="831" t="s">
        <v>17</v>
      </c>
      <c r="C8" s="832">
        <f>INDEX(BD!$A$3:$K$41,MATCH(B8,BD!$B$3:$B$41,0),MATCH('CUSTO DIRETO'!$I$3,BD!$A$3:$K$3,0))</f>
        <v>2457.4</v>
      </c>
      <c r="D8" s="833">
        <v>0.7323</v>
      </c>
      <c r="E8" s="834">
        <f t="shared" si="0"/>
        <v>4724.95402</v>
      </c>
      <c r="F8" s="834">
        <f t="shared" si="1"/>
        <v>4806.95402</v>
      </c>
      <c r="G8" s="832">
        <f>INDEX(BD!$B$45:$K$66,MATCH($G$3,BD!$B$45:$B$66,0),MATCH('CUSTO DIRETO'!$I$3,BD!$B$44:$K$44,0))</f>
        <v>418</v>
      </c>
      <c r="H8" s="832">
        <f>INDEX(BD!$B$45:$K$66,MATCH($H$3,BD!$B$45:$B$66,0),MATCH('CUSTO DIRETO'!$I$3,BD!$B$44:$K$44,0))</f>
        <v>50</v>
      </c>
      <c r="I8" s="832">
        <f>INDEX(BD!$B$45:$K$66,MATCH($I$3,BD!$B$45:$B$66,0),MATCH('CUSTO DIRETO'!$I$3,BD!$B$44:$K$44,0))</f>
        <v>500</v>
      </c>
    </row>
    <row r="9" s="816" customFormat="1" outlineLevel="1" spans="1:9">
      <c r="A9" s="830">
        <v>6</v>
      </c>
      <c r="B9" s="831" t="s">
        <v>18</v>
      </c>
      <c r="C9" s="832">
        <f>INDEX(BD!$A$3:$K$41,MATCH(B9,BD!$B$3:$B$41,0),MATCH('CUSTO DIRETO'!$I$3,BD!$A$3:$K$3,0))</f>
        <v>3102.2</v>
      </c>
      <c r="D9" s="833">
        <v>0.7323</v>
      </c>
      <c r="E9" s="834">
        <f t="shared" si="0"/>
        <v>5841.94106</v>
      </c>
      <c r="F9" s="834">
        <f t="shared" si="1"/>
        <v>5923.94106</v>
      </c>
      <c r="G9" s="832">
        <f>INDEX(BD!$B$45:$K$66,MATCH($G$3,BD!$B$45:$B$66,0),MATCH('CUSTO DIRETO'!$I$3,BD!$B$44:$K$44,0))</f>
        <v>418</v>
      </c>
      <c r="H9" s="832">
        <f>INDEX(BD!$B$45:$K$66,MATCH($H$3,BD!$B$45:$B$66,0),MATCH('CUSTO DIRETO'!$I$3,BD!$B$44:$K$44,0))</f>
        <v>50</v>
      </c>
      <c r="I9" s="832">
        <f>INDEX(BD!$B$45:$K$66,MATCH($I$3,BD!$B$45:$B$66,0),MATCH('CUSTO DIRETO'!$I$3,BD!$B$44:$K$44,0))</f>
        <v>500</v>
      </c>
    </row>
    <row r="10" s="816" customFormat="1" outlineLevel="1" spans="1:9">
      <c r="A10" s="830">
        <v>7</v>
      </c>
      <c r="B10" s="831" t="s">
        <v>19</v>
      </c>
      <c r="C10" s="832">
        <f>INDEX(BD!$A$3:$K$41,MATCH(B10,BD!$B$3:$B$41,0),MATCH('CUSTO DIRETO'!$I$3,BD!$A$3:$K$3,0))</f>
        <v>3500</v>
      </c>
      <c r="D10" s="833">
        <v>0.7323</v>
      </c>
      <c r="E10" s="834">
        <f t="shared" si="0"/>
        <v>6531.05</v>
      </c>
      <c r="F10" s="834">
        <f t="shared" si="1"/>
        <v>6613.05</v>
      </c>
      <c r="G10" s="832">
        <f>INDEX(BD!$B$45:$K$66,MATCH($G$3,BD!$B$45:$B$66,0),MATCH('CUSTO DIRETO'!$I$3,BD!$B$44:$K$44,0))</f>
        <v>418</v>
      </c>
      <c r="H10" s="832">
        <f>INDEX(BD!$B$45:$K$66,MATCH($H$3,BD!$B$45:$B$66,0),MATCH('CUSTO DIRETO'!$I$3,BD!$B$44:$K$44,0))</f>
        <v>50</v>
      </c>
      <c r="I10" s="832">
        <f>INDEX(BD!$B$45:$K$66,MATCH($I$3,BD!$B$45:$B$66,0),MATCH('CUSTO DIRETO'!$I$3,BD!$B$44:$K$44,0))</f>
        <v>500</v>
      </c>
    </row>
    <row r="11" s="816" customFormat="1" outlineLevel="1" spans="1:9">
      <c r="A11" s="830">
        <v>8</v>
      </c>
      <c r="B11" s="831" t="s">
        <v>20</v>
      </c>
      <c r="C11" s="832">
        <f>INDEX(BD!$A$3:$K$41,MATCH(B11,BD!$B$3:$B$41,0),MATCH('CUSTO DIRETO'!$I$3,BD!$A$3:$K$3,0))</f>
        <v>1967.1</v>
      </c>
      <c r="D11" s="833">
        <v>0.7323</v>
      </c>
      <c r="E11" s="834">
        <f t="shared" si="0"/>
        <v>3875.60733</v>
      </c>
      <c r="F11" s="834">
        <f t="shared" si="1"/>
        <v>3957.60733</v>
      </c>
      <c r="G11" s="832">
        <f>INDEX(BD!$B$45:$K$66,MATCH($G$3,BD!$B$45:$B$66,0),MATCH('CUSTO DIRETO'!$I$3,BD!$B$44:$K$44,0))</f>
        <v>418</v>
      </c>
      <c r="H11" s="832">
        <f>INDEX(BD!$B$45:$K$66,MATCH($H$3,BD!$B$45:$B$66,0),MATCH('CUSTO DIRETO'!$I$3,BD!$B$44:$K$44,0))</f>
        <v>50</v>
      </c>
      <c r="I11" s="832">
        <f>INDEX(BD!$B$45:$K$66,MATCH($I$3,BD!$B$45:$B$66,0),MATCH('CUSTO DIRETO'!$I$3,BD!$B$44:$K$44,0))</f>
        <v>500</v>
      </c>
    </row>
    <row r="12" s="816" customFormat="1" outlineLevel="1" spans="1:9">
      <c r="A12" s="830">
        <v>9</v>
      </c>
      <c r="B12" s="831" t="s">
        <v>21</v>
      </c>
      <c r="C12" s="832">
        <f>INDEX(BD!$A$3:$K$41,MATCH(B12,BD!$B$3:$B$41,0),MATCH('CUSTO DIRETO'!$I$3,BD!$A$3:$K$3,0))</f>
        <v>2611.9</v>
      </c>
      <c r="D12" s="833">
        <v>0.7323</v>
      </c>
      <c r="E12" s="834">
        <f t="shared" si="0"/>
        <v>4992.59437</v>
      </c>
      <c r="F12" s="834">
        <f t="shared" si="1"/>
        <v>5074.59437</v>
      </c>
      <c r="G12" s="832">
        <f>INDEX(BD!$B$45:$K$66,MATCH($G$3,BD!$B$45:$B$66,0),MATCH('CUSTO DIRETO'!$I$3,BD!$B$44:$K$44,0))</f>
        <v>418</v>
      </c>
      <c r="H12" s="832">
        <f>INDEX(BD!$B$45:$K$66,MATCH($H$3,BD!$B$45:$B$66,0),MATCH('CUSTO DIRETO'!$I$3,BD!$B$44:$K$44,0))</f>
        <v>50</v>
      </c>
      <c r="I12" s="832">
        <f>INDEX(BD!$B$45:$K$66,MATCH($I$3,BD!$B$45:$B$66,0),MATCH('CUSTO DIRETO'!$I$3,BD!$B$44:$K$44,0))</f>
        <v>500</v>
      </c>
    </row>
    <row r="13" s="816" customFormat="1" outlineLevel="1" spans="1:9">
      <c r="A13" s="830">
        <v>10</v>
      </c>
      <c r="B13" s="831" t="s">
        <v>22</v>
      </c>
      <c r="C13" s="832">
        <f>INDEX(BD!$A$3:$K$41,MATCH(B13,BD!$B$3:$B$41,0),MATCH('CUSTO DIRETO'!$I$3,BD!$A$3:$K$3,0))</f>
        <v>3500</v>
      </c>
      <c r="D13" s="833">
        <v>0.7323</v>
      </c>
      <c r="E13" s="834">
        <f t="shared" si="0"/>
        <v>6531.05</v>
      </c>
      <c r="F13" s="834">
        <f t="shared" si="1"/>
        <v>6613.05</v>
      </c>
      <c r="G13" s="832">
        <f>INDEX(BD!$B$45:$K$66,MATCH($G$3,BD!$B$45:$B$66,0),MATCH('CUSTO DIRETO'!$I$3,BD!$B$44:$K$44,0))</f>
        <v>418</v>
      </c>
      <c r="H13" s="832">
        <f>INDEX(BD!$B$45:$K$66,MATCH($H$3,BD!$B$45:$B$66,0),MATCH('CUSTO DIRETO'!$I$3,BD!$B$44:$K$44,0))</f>
        <v>50</v>
      </c>
      <c r="I13" s="832">
        <f>INDEX(BD!$B$45:$K$66,MATCH($I$3,BD!$B$45:$B$66,0),MATCH('CUSTO DIRETO'!$I$3,BD!$B$44:$K$44,0))</f>
        <v>500</v>
      </c>
    </row>
    <row r="14" s="816" customFormat="1" outlineLevel="1" spans="1:9">
      <c r="A14" s="830">
        <v>11</v>
      </c>
      <c r="B14" s="830" t="s">
        <v>23</v>
      </c>
      <c r="C14" s="832">
        <f>INDEX(BD!$A$3:$K$41,MATCH(B14,BD!$B$3:$B$41,0),MATCH('CUSTO DIRETO'!$I$3,BD!$A$3:$K$3,0))</f>
        <v>0</v>
      </c>
      <c r="D14" s="833">
        <v>0.7323</v>
      </c>
      <c r="E14" s="834">
        <f t="shared" ref="E14" si="2">IF(C14=0,0,C14*(1+D14)+G14+H14)</f>
        <v>0</v>
      </c>
      <c r="F14" s="834">
        <f t="shared" ref="F14" si="3">IF(C14=0,0,C14*(1+D14)+H14+I14)</f>
        <v>0</v>
      </c>
      <c r="G14" s="832">
        <f>INDEX(BD!$B$45:$K$66,MATCH($G$3,BD!$B$45:$B$66,0),MATCH('CUSTO DIRETO'!$I$3,BD!$B$44:$K$44,0))</f>
        <v>418</v>
      </c>
      <c r="H14" s="832">
        <f>INDEX(BD!$B$45:$K$66,MATCH($H$3,BD!$B$45:$B$66,0),MATCH('CUSTO DIRETO'!$I$3,BD!$B$44:$K$44,0))</f>
        <v>50</v>
      </c>
      <c r="I14" s="835">
        <f>INDEX(BD!$B$45:$K$66,MATCH($I$3,BD!$B$45:$B$66,0),MATCH('CUSTO DIRETO'!$I$3,BD!$B$44:$K$44,0))*(BD!$G$52/30)</f>
        <v>1500</v>
      </c>
    </row>
    <row r="15" s="816" customFormat="1" outlineLevel="1" spans="1:9">
      <c r="A15" s="830">
        <v>12</v>
      </c>
      <c r="B15" s="830" t="s">
        <v>24</v>
      </c>
      <c r="C15" s="832">
        <f>INDEX(BD!$A$3:$K$41,MATCH(B15,BD!$B$3:$B$41,0),MATCH('CUSTO DIRETO'!$I$3,BD!$A$3:$K$3,0))</f>
        <v>0</v>
      </c>
      <c r="D15" s="833">
        <v>0.7323</v>
      </c>
      <c r="E15" s="834">
        <f t="shared" ref="E15" si="4">IF(C15=0,0,C15*(1+D15)+G15+H15)</f>
        <v>0</v>
      </c>
      <c r="F15" s="834">
        <f t="shared" ref="F15" si="5">IF(C15=0,0,C15*(1+D15)+H15+I15)</f>
        <v>0</v>
      </c>
      <c r="G15" s="832">
        <f>INDEX(BD!$B$45:$K$66,MATCH($G$3,BD!$B$45:$B$66,0),MATCH('CUSTO DIRETO'!$I$3,BD!$B$44:$K$44,0))</f>
        <v>418</v>
      </c>
      <c r="H15" s="832">
        <f>INDEX(BD!$B$45:$K$66,MATCH($H$3,BD!$B$45:$B$66,0),MATCH('CUSTO DIRETO'!$I$3,BD!$B$44:$K$44,0))</f>
        <v>50</v>
      </c>
      <c r="I15" s="835">
        <f>INDEX(BD!$B$45:$K$66,MATCH($I$3,BD!$B$45:$B$66,0),MATCH('CUSTO DIRETO'!$I$3,BD!$B$44:$K$44,0))*(BD!$G$52/30)</f>
        <v>1500</v>
      </c>
    </row>
    <row r="16" s="816" customFormat="1" outlineLevel="1" spans="1:9">
      <c r="A16" s="830">
        <v>13</v>
      </c>
      <c r="B16" s="830" t="s">
        <v>25</v>
      </c>
      <c r="C16" s="832">
        <f>INDEX(BD!$A$3:$K$41,MATCH(B16,BD!$B$3:$B$41,0),MATCH('CUSTO DIRETO'!$I$3,BD!$A$3:$K$3,0))</f>
        <v>6000</v>
      </c>
      <c r="D16" s="833">
        <v>0.7323</v>
      </c>
      <c r="E16" s="834">
        <f t="shared" ref="E16" si="6">IF(C16=0,0,C16*(1+D16)+G16+H16)</f>
        <v>10861.8</v>
      </c>
      <c r="F16" s="834">
        <f t="shared" ref="F16" si="7">IF(C16=0,0,C16*(1+D16)+H16+I16)</f>
        <v>10943.8</v>
      </c>
      <c r="G16" s="832">
        <f>INDEX(BD!$B$45:$K$66,MATCH($G$3,BD!$B$45:$B$66,0),MATCH('CUSTO DIRETO'!$I$3,BD!$B$44:$K$44,0))</f>
        <v>418</v>
      </c>
      <c r="H16" s="832">
        <f>INDEX(BD!$B$45:$K$66,MATCH($H$3,BD!$B$45:$B$66,0),MATCH('CUSTO DIRETO'!$I$3,BD!$B$44:$K$44,0))</f>
        <v>50</v>
      </c>
      <c r="I16" s="832">
        <f>INDEX(BD!$B$45:$K$66,MATCH($I$3,BD!$B$45:$B$66,0),MATCH('CUSTO DIRETO'!$I$3,BD!$B$44:$K$44,0))</f>
        <v>500</v>
      </c>
    </row>
    <row r="17" s="816" customFormat="1" outlineLevel="1" spans="1:9">
      <c r="A17" s="830">
        <v>14</v>
      </c>
      <c r="B17" s="830"/>
      <c r="C17" s="832"/>
      <c r="D17" s="833"/>
      <c r="E17" s="834"/>
      <c r="F17" s="834"/>
      <c r="G17" s="832"/>
      <c r="H17" s="832"/>
      <c r="I17" s="832"/>
    </row>
    <row r="18" s="816" customFormat="1" outlineLevel="1" spans="1:9">
      <c r="A18" s="830">
        <v>15</v>
      </c>
      <c r="B18" s="830"/>
      <c r="C18" s="832"/>
      <c r="D18" s="833"/>
      <c r="E18" s="834"/>
      <c r="F18" s="834"/>
      <c r="G18" s="832"/>
      <c r="H18" s="832"/>
      <c r="I18" s="832"/>
    </row>
    <row r="19" s="816" customFormat="1" outlineLevel="1" spans="1:9">
      <c r="A19" s="830">
        <v>16</v>
      </c>
      <c r="B19" s="830"/>
      <c r="C19" s="832"/>
      <c r="D19" s="833"/>
      <c r="E19" s="834"/>
      <c r="F19" s="834"/>
      <c r="G19" s="832"/>
      <c r="H19" s="832"/>
      <c r="I19" s="832"/>
    </row>
    <row r="20" s="816" customFormat="1" outlineLevel="1" spans="1:9">
      <c r="A20" s="830">
        <v>17</v>
      </c>
      <c r="B20" s="830"/>
      <c r="C20" s="832"/>
      <c r="D20" s="833"/>
      <c r="E20" s="834"/>
      <c r="F20" s="834"/>
      <c r="G20" s="832"/>
      <c r="H20" s="832"/>
      <c r="I20" s="832"/>
    </row>
    <row r="21" s="816" customFormat="1" outlineLevel="1" spans="1:9">
      <c r="A21" s="830">
        <v>18</v>
      </c>
      <c r="B21" s="830"/>
      <c r="C21" s="832"/>
      <c r="D21" s="833"/>
      <c r="E21" s="834"/>
      <c r="F21" s="834"/>
      <c r="G21" s="832"/>
      <c r="H21" s="832"/>
      <c r="I21" s="832"/>
    </row>
    <row r="22" s="816" customFormat="1" outlineLevel="1" spans="1:9">
      <c r="A22" s="830">
        <v>19</v>
      </c>
      <c r="B22" s="830"/>
      <c r="C22" s="832"/>
      <c r="D22" s="833"/>
      <c r="E22" s="834"/>
      <c r="F22" s="834"/>
      <c r="G22" s="832"/>
      <c r="H22" s="832"/>
      <c r="I22" s="832"/>
    </row>
    <row r="23" s="816" customFormat="1" outlineLevel="1" spans="1:9">
      <c r="A23" s="830">
        <v>20</v>
      </c>
      <c r="B23" s="830"/>
      <c r="C23" s="832"/>
      <c r="D23" s="833"/>
      <c r="E23" s="834"/>
      <c r="F23" s="834"/>
      <c r="G23" s="832"/>
      <c r="H23" s="832"/>
      <c r="I23" s="832"/>
    </row>
    <row r="24" s="816" customFormat="1" outlineLevel="1" spans="1:9">
      <c r="A24" s="830">
        <v>21</v>
      </c>
      <c r="B24" s="830"/>
      <c r="C24" s="832"/>
      <c r="D24" s="833"/>
      <c r="E24" s="834"/>
      <c r="F24" s="834"/>
      <c r="G24" s="832"/>
      <c r="H24" s="832"/>
      <c r="I24" s="832"/>
    </row>
    <row r="25" s="816" customFormat="1" outlineLevel="1" spans="1:9">
      <c r="A25" s="830">
        <v>22</v>
      </c>
      <c r="B25" s="830"/>
      <c r="C25" s="832"/>
      <c r="D25" s="833"/>
      <c r="E25" s="834"/>
      <c r="F25" s="834"/>
      <c r="G25" s="832"/>
      <c r="H25" s="832"/>
      <c r="I25" s="832"/>
    </row>
    <row r="26" s="816" customFormat="1" outlineLevel="1" spans="1:9">
      <c r="A26" s="830">
        <v>23</v>
      </c>
      <c r="B26" s="830"/>
      <c r="C26" s="832"/>
      <c r="D26" s="833"/>
      <c r="E26" s="834"/>
      <c r="F26" s="834"/>
      <c r="G26" s="832"/>
      <c r="H26" s="832"/>
      <c r="I26" s="832"/>
    </row>
    <row r="27" s="816" customFormat="1" outlineLevel="1" spans="1:9">
      <c r="A27" s="830">
        <v>24</v>
      </c>
      <c r="B27" s="830"/>
      <c r="C27" s="832"/>
      <c r="D27" s="833"/>
      <c r="E27" s="834"/>
      <c r="F27" s="834"/>
      <c r="G27" s="832"/>
      <c r="H27" s="832"/>
      <c r="I27" s="832"/>
    </row>
    <row r="28" s="816" customFormat="1" outlineLevel="1" spans="1:9">
      <c r="A28" s="830">
        <v>25</v>
      </c>
      <c r="B28" s="830"/>
      <c r="C28" s="832"/>
      <c r="D28" s="833"/>
      <c r="E28" s="834"/>
      <c r="F28" s="834"/>
      <c r="G28" s="832"/>
      <c r="H28" s="832"/>
      <c r="I28" s="832"/>
    </row>
    <row r="29" s="816" customFormat="1" outlineLevel="1" spans="1:9">
      <c r="A29" s="830">
        <v>26</v>
      </c>
      <c r="B29" s="830"/>
      <c r="C29" s="832"/>
      <c r="D29" s="833"/>
      <c r="E29" s="834"/>
      <c r="F29" s="834"/>
      <c r="G29" s="832"/>
      <c r="H29" s="832"/>
      <c r="I29" s="832"/>
    </row>
    <row r="30" s="816" customFormat="1" outlineLevel="1" spans="1:9">
      <c r="A30" s="830">
        <v>27</v>
      </c>
      <c r="B30" s="830"/>
      <c r="C30" s="832"/>
      <c r="D30" s="833"/>
      <c r="E30" s="834"/>
      <c r="F30" s="834"/>
      <c r="G30" s="832"/>
      <c r="H30" s="832"/>
      <c r="I30" s="832"/>
    </row>
    <row r="31" s="816" customFormat="1" outlineLevel="1" spans="1:9">
      <c r="A31" s="830">
        <v>28</v>
      </c>
      <c r="B31" s="830"/>
      <c r="C31" s="832"/>
      <c r="D31" s="833"/>
      <c r="E31" s="834"/>
      <c r="F31" s="834"/>
      <c r="G31" s="832"/>
      <c r="H31" s="832"/>
      <c r="I31" s="832"/>
    </row>
    <row r="32" s="816" customFormat="1" outlineLevel="1" spans="1:9">
      <c r="A32" s="830">
        <v>29</v>
      </c>
      <c r="B32" s="830"/>
      <c r="C32" s="832"/>
      <c r="D32" s="833"/>
      <c r="E32" s="834"/>
      <c r="F32" s="834"/>
      <c r="G32" s="832"/>
      <c r="H32" s="832"/>
      <c r="I32" s="832"/>
    </row>
    <row r="33" s="816" customFormat="1" outlineLevel="1" spans="1:9">
      <c r="A33" s="830">
        <v>30</v>
      </c>
      <c r="B33" s="830"/>
      <c r="C33" s="832"/>
      <c r="D33" s="833"/>
      <c r="E33" s="834"/>
      <c r="F33" s="834"/>
      <c r="G33" s="832"/>
      <c r="H33" s="832"/>
      <c r="I33" s="832"/>
    </row>
    <row r="34" s="816" customFormat="1" outlineLevel="1" spans="1:9">
      <c r="A34" s="830">
        <v>31</v>
      </c>
      <c r="B34" s="830"/>
      <c r="C34" s="832"/>
      <c r="D34" s="833"/>
      <c r="E34" s="834"/>
      <c r="F34" s="834"/>
      <c r="G34" s="832"/>
      <c r="H34" s="832"/>
      <c r="I34" s="832"/>
    </row>
    <row r="35" s="816" customFormat="1" outlineLevel="1" spans="1:9">
      <c r="A35" s="830">
        <v>32</v>
      </c>
      <c r="B35" s="830"/>
      <c r="C35" s="832"/>
      <c r="D35" s="833"/>
      <c r="E35" s="834"/>
      <c r="F35" s="834"/>
      <c r="G35" s="832"/>
      <c r="H35" s="832"/>
      <c r="I35" s="832"/>
    </row>
    <row r="36" s="816" customFormat="1" outlineLevel="1" spans="1:9">
      <c r="A36" s="830">
        <v>33</v>
      </c>
      <c r="B36" s="830"/>
      <c r="C36" s="832"/>
      <c r="D36" s="833"/>
      <c r="E36" s="834"/>
      <c r="F36" s="834"/>
      <c r="G36" s="832"/>
      <c r="H36" s="832"/>
      <c r="I36" s="832"/>
    </row>
    <row r="37" s="816" customFormat="1" outlineLevel="1" spans="1:9">
      <c r="A37" s="830">
        <v>34</v>
      </c>
      <c r="B37" s="830"/>
      <c r="C37" s="832"/>
      <c r="D37" s="833"/>
      <c r="E37" s="834"/>
      <c r="F37" s="834"/>
      <c r="G37" s="832"/>
      <c r="H37" s="832"/>
      <c r="I37" s="832"/>
    </row>
    <row r="38" s="816" customFormat="1" outlineLevel="1" spans="1:9">
      <c r="A38" s="830">
        <v>35</v>
      </c>
      <c r="B38" s="830"/>
      <c r="C38" s="832"/>
      <c r="D38" s="833"/>
      <c r="E38" s="834"/>
      <c r="F38" s="834"/>
      <c r="G38" s="832"/>
      <c r="H38" s="832"/>
      <c r="I38" s="832"/>
    </row>
    <row r="39" s="816" customFormat="1" outlineLevel="1" spans="1:9">
      <c r="A39" s="830">
        <v>36</v>
      </c>
      <c r="B39" s="830"/>
      <c r="C39" s="832"/>
      <c r="D39" s="833"/>
      <c r="E39" s="834"/>
      <c r="F39" s="834"/>
      <c r="G39" s="832"/>
      <c r="H39" s="832"/>
      <c r="I39" s="832"/>
    </row>
    <row r="40" s="816" customFormat="1" outlineLevel="1" spans="1:9">
      <c r="A40" s="830">
        <v>37</v>
      </c>
      <c r="B40" s="830"/>
      <c r="C40" s="832"/>
      <c r="D40" s="833"/>
      <c r="E40" s="834"/>
      <c r="F40" s="834"/>
      <c r="G40" s="832"/>
      <c r="H40" s="832"/>
      <c r="I40" s="832"/>
    </row>
    <row r="41" s="816" customFormat="1" outlineLevel="1" spans="1:9">
      <c r="A41" s="830">
        <v>38</v>
      </c>
      <c r="B41" s="830"/>
      <c r="C41" s="832"/>
      <c r="D41" s="833"/>
      <c r="E41" s="834"/>
      <c r="F41" s="834"/>
      <c r="G41" s="832"/>
      <c r="H41" s="832"/>
      <c r="I41" s="832"/>
    </row>
    <row r="42" s="816" customFormat="1" outlineLevel="1" spans="1:9">
      <c r="A42" s="830">
        <v>39</v>
      </c>
      <c r="B42" s="830"/>
      <c r="C42" s="832"/>
      <c r="D42" s="833"/>
      <c r="E42" s="834"/>
      <c r="F42" s="834"/>
      <c r="G42" s="832"/>
      <c r="H42" s="832"/>
      <c r="I42" s="832"/>
    </row>
    <row r="43" s="816" customFormat="1" outlineLevel="1" spans="1:9">
      <c r="A43" s="830">
        <v>40</v>
      </c>
      <c r="B43" s="830"/>
      <c r="C43" s="832"/>
      <c r="D43" s="833"/>
      <c r="E43" s="834"/>
      <c r="F43" s="834"/>
      <c r="G43" s="832"/>
      <c r="H43" s="832"/>
      <c r="I43" s="832"/>
    </row>
    <row r="44" s="816" customFormat="1" outlineLevel="1" spans="1:9">
      <c r="A44" s="830">
        <v>41</v>
      </c>
      <c r="B44" s="830"/>
      <c r="C44" s="832"/>
      <c r="D44" s="833"/>
      <c r="E44" s="834"/>
      <c r="F44" s="834"/>
      <c r="G44" s="832"/>
      <c r="H44" s="832"/>
      <c r="I44" s="832"/>
    </row>
    <row r="45" s="816" customFormat="1" outlineLevel="1" spans="1:9">
      <c r="A45" s="830">
        <v>42</v>
      </c>
      <c r="B45" s="830"/>
      <c r="C45" s="832"/>
      <c r="D45" s="833"/>
      <c r="E45" s="834"/>
      <c r="F45" s="834"/>
      <c r="G45" s="832"/>
      <c r="H45" s="832"/>
      <c r="I45" s="832"/>
    </row>
    <row r="46" s="816" customFormat="1" outlineLevel="1" spans="1:9">
      <c r="A46" s="830">
        <v>43</v>
      </c>
      <c r="B46" s="830"/>
      <c r="C46" s="832"/>
      <c r="D46" s="833"/>
      <c r="E46" s="834"/>
      <c r="F46" s="834"/>
      <c r="G46" s="832"/>
      <c r="H46" s="832"/>
      <c r="I46" s="832"/>
    </row>
    <row r="47" s="816" customFormat="1" outlineLevel="1" spans="1:9">
      <c r="A47" s="830">
        <v>44</v>
      </c>
      <c r="B47" s="830"/>
      <c r="C47" s="832"/>
      <c r="D47" s="833"/>
      <c r="E47" s="834"/>
      <c r="F47" s="834"/>
      <c r="G47" s="832"/>
      <c r="H47" s="832"/>
      <c r="I47" s="832"/>
    </row>
    <row r="48" s="816" customFormat="1" outlineLevel="1" spans="1:9">
      <c r="A48" s="830">
        <v>45</v>
      </c>
      <c r="B48" s="830"/>
      <c r="C48" s="832"/>
      <c r="D48" s="833"/>
      <c r="E48" s="834"/>
      <c r="F48" s="834"/>
      <c r="G48" s="832"/>
      <c r="H48" s="832"/>
      <c r="I48" s="832"/>
    </row>
    <row r="49" ht="100.05" customHeight="1"/>
    <row r="50" s="814" customFormat="1" ht="26.25" spans="1:9">
      <c r="A50" s="822" t="s">
        <v>120</v>
      </c>
      <c r="B50" s="822"/>
      <c r="C50" s="822"/>
      <c r="D50" s="822"/>
      <c r="E50" s="822"/>
      <c r="F50" s="822"/>
      <c r="G50" s="822"/>
      <c r="H50" s="822"/>
      <c r="I50" s="822"/>
    </row>
    <row r="51" s="817" customFormat="1" ht="25.5" spans="1:9">
      <c r="A51" s="836" t="s">
        <v>115</v>
      </c>
      <c r="B51" s="836" t="s">
        <v>27</v>
      </c>
      <c r="C51" s="829" t="s">
        <v>121</v>
      </c>
      <c r="D51" s="837" t="s">
        <v>33</v>
      </c>
      <c r="E51" s="837" t="s">
        <v>32</v>
      </c>
      <c r="F51" s="837" t="s">
        <v>31</v>
      </c>
      <c r="G51" s="837" t="s">
        <v>30</v>
      </c>
      <c r="H51" s="837" t="s">
        <v>122</v>
      </c>
    </row>
    <row r="52" s="816" customFormat="1" outlineLevel="1" spans="1:9">
      <c r="A52" s="830">
        <v>1</v>
      </c>
      <c r="B52" s="831" t="s">
        <v>123</v>
      </c>
      <c r="C52" s="838">
        <v>31</v>
      </c>
      <c r="D52" s="839">
        <f>INDEX(BD!$B$45:$K$66,MATCH($D$51,BD!$B$45:$B$66,0),MATCH('CUSTO DIRETO'!$I$3,BD!$B$44:$K$44,0))</f>
        <v>4.5</v>
      </c>
      <c r="E52" s="839">
        <f>INDEX(BD!$B$45:$K$66,MATCH($E$51,BD!$B$45:$B$66,0),MATCH('CUSTO DIRETO'!$I$3,BD!$B$44:$K$44,0))</f>
        <v>18</v>
      </c>
      <c r="F52" s="839">
        <f>INDEX(BD!$B$45:$K$66,MATCH($F$51,BD!$B$45:$B$66,0),MATCH('CUSTO DIRETO'!$I$3,BD!$B$44:$K$44,0))</f>
        <v>0</v>
      </c>
      <c r="G52" s="839">
        <f>INDEX(BD!$B$45:$K$66,MATCH($G$51,BD!$B$45:$B$66,0),MATCH('CUSTO DIRETO'!$I$3,BD!$B$44:$K$44,0))</f>
        <v>0</v>
      </c>
      <c r="H52" s="839">
        <f>C52*(D52+E52+E52)+G52</f>
        <v>1255.5</v>
      </c>
    </row>
    <row r="53" s="816" customFormat="1" outlineLevel="1" spans="1:9">
      <c r="A53" s="830">
        <v>2</v>
      </c>
      <c r="B53" s="831" t="s">
        <v>124</v>
      </c>
      <c r="C53" s="838">
        <v>22</v>
      </c>
      <c r="D53" s="839">
        <f>INDEX(BD!$B$45:$K$66,MATCH($D$51,BD!$B$45:$B$66,0),MATCH('CUSTO DIRETO'!$I$3,BD!$B$44:$K$44,0))</f>
        <v>4.5</v>
      </c>
      <c r="E53" s="839">
        <f>INDEX(BD!$B$45:$K$66,MATCH($E$51,BD!$B$45:$B$66,0),MATCH('CUSTO DIRETO'!$I$3,BD!$B$44:$K$44,0))</f>
        <v>18</v>
      </c>
      <c r="F53" s="839">
        <f>INDEX(BD!$B$45:$K$66,MATCH($F$51,BD!$B$45:$B$66,0),MATCH('CUSTO DIRETO'!$I$3,BD!$B$44:$K$44,0))</f>
        <v>0</v>
      </c>
      <c r="G53" s="839">
        <f>INDEX(BD!$B$45:$K$66,MATCH($G$51,BD!$B$45:$B$66,0),MATCH('CUSTO DIRETO'!$I$3,BD!$B$44:$K$44,0))</f>
        <v>0</v>
      </c>
      <c r="H53" s="839">
        <f>C53*(D53+E53)+F53</f>
        <v>495</v>
      </c>
    </row>
    <row r="54" s="816" customFormat="1" outlineLevel="1" spans="1:9">
      <c r="A54" s="830"/>
      <c r="B54" s="830"/>
      <c r="C54" s="838"/>
      <c r="D54" s="839"/>
      <c r="E54" s="838"/>
      <c r="F54" s="838"/>
      <c r="G54" s="838"/>
      <c r="H54" s="838"/>
    </row>
    <row r="55" s="816" customFormat="1" outlineLevel="1" spans="1:9">
      <c r="A55" s="830"/>
      <c r="B55" s="830"/>
      <c r="C55" s="838"/>
      <c r="D55" s="839"/>
      <c r="E55" s="838"/>
      <c r="F55" s="838"/>
      <c r="G55" s="838"/>
      <c r="H55" s="838"/>
    </row>
    <row r="56" s="816" customFormat="1" outlineLevel="1" spans="1:9">
      <c r="A56" s="830"/>
      <c r="B56" s="830"/>
      <c r="C56" s="838"/>
      <c r="D56" s="839"/>
      <c r="E56" s="838"/>
      <c r="F56" s="838"/>
      <c r="G56" s="838"/>
      <c r="H56" s="838"/>
    </row>
    <row r="57" s="816" customFormat="1" outlineLevel="1" spans="1:9">
      <c r="A57" s="830"/>
      <c r="B57" s="830"/>
      <c r="C57" s="838"/>
      <c r="D57" s="839"/>
      <c r="E57" s="838"/>
      <c r="F57" s="838"/>
      <c r="G57" s="838"/>
      <c r="H57" s="838"/>
    </row>
    <row r="58" s="816" customFormat="1" outlineLevel="1" spans="1:9">
      <c r="A58" s="830"/>
      <c r="B58" s="830"/>
      <c r="C58" s="838"/>
      <c r="D58" s="839"/>
      <c r="E58" s="838"/>
      <c r="F58" s="838"/>
      <c r="G58" s="838"/>
      <c r="H58" s="838"/>
    </row>
    <row r="59" s="816" customFormat="1" outlineLevel="1" spans="1:9">
      <c r="A59" s="830"/>
      <c r="B59" s="830"/>
      <c r="C59" s="838"/>
      <c r="D59" s="839"/>
      <c r="E59" s="838"/>
      <c r="F59" s="838"/>
      <c r="G59" s="838"/>
      <c r="H59" s="838"/>
    </row>
    <row r="60" s="816" customFormat="1" outlineLevel="1" spans="1:9">
      <c r="A60" s="830"/>
      <c r="B60" s="830"/>
      <c r="C60" s="838"/>
      <c r="D60" s="839"/>
      <c r="E60" s="838"/>
      <c r="F60" s="838"/>
      <c r="G60" s="838"/>
      <c r="H60" s="838"/>
    </row>
    <row r="61" s="816" customFormat="1" outlineLevel="1" spans="1:9">
      <c r="A61" s="830"/>
      <c r="B61" s="830"/>
      <c r="C61" s="838"/>
      <c r="D61" s="839"/>
      <c r="E61" s="838"/>
      <c r="F61" s="838"/>
      <c r="G61" s="838"/>
      <c r="H61" s="838"/>
    </row>
    <row r="62" s="816" customFormat="1" outlineLevel="1" spans="1:9">
      <c r="A62" s="830"/>
      <c r="B62" s="830"/>
      <c r="C62" s="838"/>
      <c r="D62" s="839"/>
      <c r="E62" s="838"/>
      <c r="F62" s="838"/>
      <c r="G62" s="838"/>
      <c r="H62" s="838"/>
    </row>
    <row r="63" ht="100.05" customHeight="1"/>
    <row r="64" s="814" customFormat="1" ht="26.25" spans="1:9">
      <c r="A64" s="840">
        <v>3</v>
      </c>
      <c r="B64" s="822" t="s">
        <v>125</v>
      </c>
      <c r="C64" s="822"/>
      <c r="D64" s="822"/>
      <c r="E64" s="822"/>
      <c r="F64" s="822"/>
      <c r="G64" s="841">
        <f>SUM(G66:G84)</f>
        <v>150.1475</v>
      </c>
      <c r="H64" s="822"/>
      <c r="I64" s="822"/>
    </row>
    <row r="65" s="817" customFormat="1" spans="1:9">
      <c r="A65" s="836" t="s">
        <v>115</v>
      </c>
      <c r="B65" s="836" t="s">
        <v>27</v>
      </c>
      <c r="C65" s="829" t="s">
        <v>39</v>
      </c>
      <c r="D65" s="837" t="s">
        <v>40</v>
      </c>
      <c r="E65" s="837" t="s">
        <v>42</v>
      </c>
      <c r="F65" s="837" t="s">
        <v>126</v>
      </c>
      <c r="G65" s="837" t="s">
        <v>127</v>
      </c>
    </row>
    <row r="66" outlineLevel="1" spans="1:9">
      <c r="A66" s="842">
        <v>40043</v>
      </c>
      <c r="B66" s="830" t="str">
        <f>VLOOKUP(A66,BD!$A$70:$D$80,2,FALSE)</f>
        <v>Botina de Segurança (Tipo Couro) - CA 40043</v>
      </c>
      <c r="C66" s="843">
        <f>VLOOKUP(A66,BD!$A$70:$E$80,5,FALSE)</f>
        <v>4</v>
      </c>
      <c r="D66" s="834">
        <f>VLOOKUP(A66,BD!A70:H80,6,FALSE)</f>
        <v>1</v>
      </c>
      <c r="E66" s="834">
        <f>VLOOKUP(A66,BD!A70:H80,8,FALSE)</f>
        <v>45.98</v>
      </c>
      <c r="F66" s="834">
        <f>D66/C66</f>
        <v>0.25</v>
      </c>
      <c r="G66" s="834">
        <f>E66*F66</f>
        <v>11.495</v>
      </c>
      <c r="H66" s="818"/>
      <c r="I66" s="818"/>
    </row>
    <row r="67" outlineLevel="1" spans="1:9">
      <c r="A67" s="842">
        <v>42673</v>
      </c>
      <c r="B67" s="830" t="str">
        <f>VLOOKUP(A67,BD!$A$70:$D$80,2,FALSE)</f>
        <v>Botina de Segurança (Tipo PVC Cano Longo) - CA 42673</v>
      </c>
      <c r="C67" s="843">
        <f>VLOOKUP(A67,BD!$A$70:$E$80,5,FALSE)</f>
        <v>4</v>
      </c>
      <c r="D67" s="834">
        <f>VLOOKUP(A67,BD!A71:H81,6,FALSE)</f>
        <v>1</v>
      </c>
      <c r="E67" s="834">
        <f>VLOOKUP(A67,BD!A71:H81,8,FALSE)</f>
        <v>54.99</v>
      </c>
      <c r="F67" s="834">
        <f t="shared" ref="F67:F78" si="8">D67/C67</f>
        <v>0.25</v>
      </c>
      <c r="G67" s="834">
        <f t="shared" ref="G67:G78" si="9">E67*F67</f>
        <v>13.7475</v>
      </c>
      <c r="H67" s="818"/>
      <c r="I67" s="818"/>
    </row>
    <row r="68" outlineLevel="1" spans="1:9">
      <c r="A68" s="842">
        <v>36347</v>
      </c>
      <c r="B68" s="830" t="str">
        <f>VLOOKUP(A68,BD!$A$70:$D$80,2,FALSE)</f>
        <v>Luva Pigmentada, cor cinza - CA 36347</v>
      </c>
      <c r="C68" s="843">
        <f>VLOOKUP(A68,BD!$A$70:$E$80,5,FALSE)</f>
        <v>1</v>
      </c>
      <c r="D68" s="834">
        <f>VLOOKUP(A68,BD!A72:H82,6,FALSE)</f>
        <v>1</v>
      </c>
      <c r="E68" s="834">
        <f>VLOOKUP(A68,BD!A72:H82,8,FALSE)</f>
        <v>2.59</v>
      </c>
      <c r="F68" s="834">
        <f t="shared" si="8"/>
        <v>1</v>
      </c>
      <c r="G68" s="834">
        <f t="shared" si="9"/>
        <v>2.59</v>
      </c>
      <c r="H68" s="818"/>
      <c r="I68" s="818"/>
    </row>
    <row r="69" outlineLevel="1" spans="1:9">
      <c r="A69" s="842">
        <v>25368</v>
      </c>
      <c r="B69" s="830" t="str">
        <f>VLOOKUP(A69,BD!$A$70:$D$80,2,FALSE)</f>
        <v>Luva de Vaqueta - CA 25368</v>
      </c>
      <c r="C69" s="843">
        <f>VLOOKUP(A69,BD!$A$70:$E$80,5,FALSE)</f>
        <v>1</v>
      </c>
      <c r="D69" s="834">
        <f>VLOOKUP(A69,BD!A73:H83,6,FALSE)</f>
        <v>1</v>
      </c>
      <c r="E69" s="834">
        <f>VLOOKUP(A69,BD!A73:H83,8,FALSE)</f>
        <v>10.5</v>
      </c>
      <c r="F69" s="834">
        <f t="shared" si="8"/>
        <v>1</v>
      </c>
      <c r="G69" s="834">
        <f t="shared" si="9"/>
        <v>10.5</v>
      </c>
      <c r="H69" s="818"/>
      <c r="I69" s="818"/>
    </row>
    <row r="70" outlineLevel="1" spans="1:9">
      <c r="A70" s="842">
        <v>46816</v>
      </c>
      <c r="B70" s="830" t="str">
        <f>VLOOKUP(A70,BD!$A$70:$D$80,2,FALSE)</f>
        <v>Luva Nitrilica - CA 46816</v>
      </c>
      <c r="C70" s="843">
        <f>VLOOKUP(A70,BD!$A$70:$E$80,5,FALSE)</f>
        <v>1</v>
      </c>
      <c r="D70" s="834">
        <f>VLOOKUP(A70,BD!A74:H84,6,FALSE)</f>
        <v>1</v>
      </c>
      <c r="E70" s="834">
        <f>VLOOKUP(A70,BD!A74:H84,8,FALSE)</f>
        <v>12.5</v>
      </c>
      <c r="F70" s="834">
        <f t="shared" si="8"/>
        <v>1</v>
      </c>
      <c r="G70" s="834">
        <f t="shared" si="9"/>
        <v>12.5</v>
      </c>
      <c r="H70" s="818"/>
      <c r="I70" s="818"/>
    </row>
    <row r="71" outlineLevel="1" spans="1:9">
      <c r="A71" s="842">
        <v>35981</v>
      </c>
      <c r="B71" s="830" t="str">
        <f>VLOOKUP(A71,BD!$A$70:$D$80,2,FALSE)</f>
        <v>Protetor Auricular Tipo Plug - CA 35981</v>
      </c>
      <c r="C71" s="843">
        <f>VLOOKUP(A71,BD!$A$70:$E$80,5,FALSE)</f>
        <v>2</v>
      </c>
      <c r="D71" s="834">
        <f>VLOOKUP(A71,BD!A75:H85,6,FALSE)</f>
        <v>1</v>
      </c>
      <c r="E71" s="834">
        <f>VLOOKUP(A71,BD!A75:H85,8,FALSE)</f>
        <v>1.26</v>
      </c>
      <c r="F71" s="834">
        <f t="shared" si="8"/>
        <v>0.5</v>
      </c>
      <c r="G71" s="834">
        <f t="shared" si="9"/>
        <v>0.63</v>
      </c>
      <c r="H71" s="818"/>
      <c r="I71" s="818"/>
    </row>
    <row r="72" outlineLevel="1" spans="1:9">
      <c r="A72" s="842">
        <v>14235</v>
      </c>
      <c r="B72" s="830" t="str">
        <f>VLOOKUP(A72,BD!$A$70:$D$80,2,FALSE)</f>
        <v>Abafador Tipo Concha 3M - CA 14235</v>
      </c>
      <c r="C72" s="843">
        <f>VLOOKUP(A72,BD!$A$70:$E$80,5,FALSE)</f>
        <v>6</v>
      </c>
      <c r="D72" s="834">
        <f>VLOOKUP(A72,BD!A76:H86,6,FALSE)</f>
        <v>1</v>
      </c>
      <c r="E72" s="834">
        <f>VLOOKUP(A72,BD!A76:H86,8,FALSE)</f>
        <v>44.18</v>
      </c>
      <c r="F72" s="834">
        <f t="shared" si="8"/>
        <v>0.166666666666667</v>
      </c>
      <c r="G72" s="834">
        <f t="shared" si="9"/>
        <v>7.36333333333333</v>
      </c>
      <c r="H72" s="818"/>
      <c r="I72" s="818"/>
    </row>
    <row r="73" outlineLevel="1" spans="1:9">
      <c r="A73" s="842">
        <v>39051</v>
      </c>
      <c r="B73" s="830" t="str">
        <f>VLOOKUP(A73,BD!$A$70:$D$80,2,FALSE)</f>
        <v>Máscara com filtro descartável (PFF2) - CA 39051</v>
      </c>
      <c r="C73" s="843">
        <f>VLOOKUP(A73,BD!$A$70:$E$80,5,FALSE)</f>
        <v>2</v>
      </c>
      <c r="D73" s="834">
        <f>VLOOKUP(A73,BD!A77:H87,6,FALSE)</f>
        <v>22</v>
      </c>
      <c r="E73" s="834">
        <f>VLOOKUP(A73,BD!A77:H87,8,FALSE)</f>
        <v>0.85</v>
      </c>
      <c r="F73" s="834">
        <f t="shared" si="8"/>
        <v>11</v>
      </c>
      <c r="G73" s="834">
        <f t="shared" si="9"/>
        <v>9.35</v>
      </c>
      <c r="H73" s="818"/>
      <c r="I73" s="818"/>
    </row>
    <row r="74" outlineLevel="1" spans="1:9">
      <c r="A74" s="842">
        <v>14990</v>
      </c>
      <c r="B74" s="830" t="str">
        <f>VLOOKUP(A74,BD!$A$70:$D$80,2,FALSE)</f>
        <v>Óculos de Segurança Incolor - CA 14990</v>
      </c>
      <c r="C74" s="843">
        <f>VLOOKUP(A74,BD!$A$70:$E$80,5,FALSE)</f>
        <v>2</v>
      </c>
      <c r="D74" s="834">
        <f>VLOOKUP(A74,BD!A78:H88,6,FALSE)</f>
        <v>1</v>
      </c>
      <c r="E74" s="834">
        <f>VLOOKUP(A74,BD!A78:H88,8,FALSE)</f>
        <v>2.99</v>
      </c>
      <c r="F74" s="834">
        <f t="shared" si="8"/>
        <v>0.5</v>
      </c>
      <c r="G74" s="834">
        <f t="shared" si="9"/>
        <v>1.495</v>
      </c>
      <c r="H74" s="818"/>
      <c r="I74" s="818"/>
    </row>
    <row r="75" outlineLevel="1" spans="1:9">
      <c r="A75" s="842">
        <v>15298</v>
      </c>
      <c r="B75" s="830" t="str">
        <f>VLOOKUP(A75,BD!$A$70:$D$80,2,FALSE)</f>
        <v>Óculos de Segurança Escuro - CA 15298</v>
      </c>
      <c r="C75" s="843">
        <f>VLOOKUP(A75,BD!$A$70:$E$80,5,FALSE)</f>
        <v>2</v>
      </c>
      <c r="D75" s="834">
        <f>VLOOKUP(A75,BD!A79:H89,6,FALSE)</f>
        <v>1</v>
      </c>
      <c r="E75" s="834">
        <f>VLOOKUP(A75,BD!A79:H89,8,FALSE)</f>
        <v>3.42</v>
      </c>
      <c r="F75" s="834">
        <f t="shared" si="8"/>
        <v>0.5</v>
      </c>
      <c r="G75" s="834">
        <f t="shared" si="9"/>
        <v>1.71</v>
      </c>
      <c r="H75" s="818"/>
      <c r="I75" s="818"/>
    </row>
    <row r="76" outlineLevel="1" spans="1:9">
      <c r="A76" s="842">
        <v>29638</v>
      </c>
      <c r="B76" s="830" t="str">
        <f>VLOOKUP(A76,BD!$A$70:$D$80,2,FALSE)</f>
        <v>Capacete com Julgular - CA 29638</v>
      </c>
      <c r="C76" s="843">
        <f>VLOOKUP(A76,BD!$A$70:$E$80,5,FALSE)</f>
        <v>6</v>
      </c>
      <c r="D76" s="834">
        <f>VLOOKUP(A76,BD!A80:H90,6,FALSE)</f>
        <v>1</v>
      </c>
      <c r="E76" s="834">
        <f>VLOOKUP(A76,BD!A80:H90,8,FALSE)</f>
        <v>20.8</v>
      </c>
      <c r="F76" s="834">
        <f t="shared" si="8"/>
        <v>0.166666666666667</v>
      </c>
      <c r="G76" s="834">
        <f t="shared" si="9"/>
        <v>3.46666666666667</v>
      </c>
      <c r="H76" s="818"/>
      <c r="I76" s="818"/>
    </row>
    <row r="77" outlineLevel="1" spans="1:9">
      <c r="A77" s="842" t="s">
        <v>56</v>
      </c>
      <c r="B77" s="830" t="str">
        <f>VLOOKUP(A77,BD!$A$86:$J$92,2,FALSE)</f>
        <v>CAMISETA DE UNIFORME</v>
      </c>
      <c r="C77" s="843">
        <f>VLOOKUP(A77,BD!$A$86:$J$92,5,FALSE)</f>
        <v>4</v>
      </c>
      <c r="D77" s="844">
        <f>VLOOKUP(A77,BD!$A$86:$J$92,6,FALSE)</f>
        <v>3</v>
      </c>
      <c r="E77" s="844">
        <f>VLOOKUP(A77,BD!$A$86:$J$92,7,FALSE)</f>
        <v>34.9</v>
      </c>
      <c r="F77" s="834">
        <f t="shared" si="8"/>
        <v>0.75</v>
      </c>
      <c r="G77" s="834">
        <f t="shared" si="9"/>
        <v>26.175</v>
      </c>
      <c r="H77" s="818"/>
      <c r="I77" s="818"/>
    </row>
    <row r="78" outlineLevel="1" spans="1:9">
      <c r="A78" s="842" t="s">
        <v>58</v>
      </c>
      <c r="B78" s="830" t="str">
        <f>VLOOKUP(A78,BD!$A$86:$J$92,2,FALSE)</f>
        <v>CALÇA DE UNIFORME</v>
      </c>
      <c r="C78" s="843">
        <f>VLOOKUP(A78,BD!$A$86:$J$92,5,FALSE)</f>
        <v>4</v>
      </c>
      <c r="D78" s="844">
        <f>VLOOKUP(A78,BD!$A$86:$J$92,6,FALSE)</f>
        <v>3</v>
      </c>
      <c r="E78" s="844">
        <f>VLOOKUP(A78,BD!$A$86:$J$92,7,FALSE)</f>
        <v>65.5</v>
      </c>
      <c r="F78" s="834">
        <f t="shared" si="8"/>
        <v>0.75</v>
      </c>
      <c r="G78" s="834">
        <f t="shared" si="9"/>
        <v>49.125</v>
      </c>
      <c r="H78" s="818"/>
      <c r="I78" s="818"/>
    </row>
    <row r="79" outlineLevel="1" spans="1:9">
      <c r="A79" s="830"/>
      <c r="B79" s="830"/>
      <c r="C79" s="843"/>
      <c r="D79" s="833"/>
      <c r="E79" s="834"/>
      <c r="F79" s="834"/>
      <c r="G79" s="834"/>
      <c r="H79" s="818"/>
      <c r="I79" s="818"/>
    </row>
    <row r="80" outlineLevel="1" spans="1:9">
      <c r="A80" s="830"/>
      <c r="B80" s="830"/>
      <c r="C80" s="843"/>
      <c r="D80" s="833"/>
      <c r="E80" s="834"/>
      <c r="F80" s="834"/>
      <c r="G80" s="834"/>
      <c r="H80" s="818"/>
      <c r="I80" s="818"/>
    </row>
    <row r="81" outlineLevel="1" spans="1:9">
      <c r="A81" s="830"/>
      <c r="B81" s="830"/>
      <c r="C81" s="843"/>
      <c r="D81" s="833"/>
      <c r="E81" s="834"/>
      <c r="F81" s="834"/>
      <c r="G81" s="834"/>
      <c r="H81" s="818"/>
      <c r="I81" s="818"/>
    </row>
    <row r="82" outlineLevel="1" spans="1:9">
      <c r="A82" s="830"/>
      <c r="B82" s="830"/>
      <c r="C82" s="843"/>
      <c r="D82" s="833"/>
      <c r="E82" s="834"/>
      <c r="F82" s="834"/>
      <c r="G82" s="834"/>
      <c r="H82" s="818"/>
      <c r="I82" s="818"/>
    </row>
    <row r="83" outlineLevel="1" spans="1:9">
      <c r="A83" s="830"/>
      <c r="B83" s="830"/>
      <c r="C83" s="843"/>
      <c r="D83" s="833"/>
      <c r="E83" s="834"/>
      <c r="F83" s="834"/>
      <c r="G83" s="834"/>
      <c r="H83" s="818"/>
      <c r="I83" s="818"/>
    </row>
    <row r="84" outlineLevel="1" spans="1:9">
      <c r="A84" s="830"/>
      <c r="B84" s="830"/>
      <c r="C84" s="843"/>
      <c r="D84" s="833"/>
      <c r="E84" s="834"/>
      <c r="F84" s="834"/>
      <c r="G84" s="834"/>
      <c r="H84" s="818"/>
      <c r="I84" s="818"/>
    </row>
    <row r="85" ht="100.05" customHeight="1"/>
    <row r="86" s="814" customFormat="1" ht="26.25" spans="1:9">
      <c r="A86" s="840">
        <v>4</v>
      </c>
      <c r="B86" s="822" t="s">
        <v>128</v>
      </c>
      <c r="C86" s="822"/>
      <c r="D86" s="822"/>
      <c r="E86" s="822"/>
      <c r="F86" s="841">
        <f>SUM(F88:F97)</f>
        <v>21</v>
      </c>
      <c r="G86" s="822"/>
      <c r="H86" s="822"/>
      <c r="I86" s="822"/>
    </row>
    <row r="87" s="817" customFormat="1" spans="1:9">
      <c r="A87" s="836" t="s">
        <v>115</v>
      </c>
      <c r="B87" s="836" t="s">
        <v>27</v>
      </c>
      <c r="C87" s="829" t="s">
        <v>39</v>
      </c>
      <c r="D87" s="837" t="s">
        <v>40</v>
      </c>
      <c r="E87" s="837" t="s">
        <v>42</v>
      </c>
      <c r="F87" s="837" t="s">
        <v>127</v>
      </c>
    </row>
    <row r="88" outlineLevel="1" spans="1:9">
      <c r="A88" s="830" t="s">
        <v>61</v>
      </c>
      <c r="B88" s="830" t="str">
        <f>VLOOKUP(A88,BD!$A$96:$J$99,2,FALSE)</f>
        <v>Sabonete em barra ou líquido (4unid/colaborador/mês)</v>
      </c>
      <c r="C88" s="843">
        <f>VLOOKUP(A88,BD!$A$96:$J$99,5,FALSE)</f>
        <v>1</v>
      </c>
      <c r="D88" s="834">
        <f>VLOOKUP(A88,BD!$A$96:$J$99,6,FALSE)</f>
        <v>4</v>
      </c>
      <c r="E88" s="834">
        <f>VLOOKUP(A88,BD!$A$96:$J$99,7,FALSE)</f>
        <v>0.8</v>
      </c>
      <c r="F88" s="834">
        <f>D88*E88</f>
        <v>3.2</v>
      </c>
      <c r="G88" s="821"/>
      <c r="H88" s="819"/>
      <c r="I88" s="818"/>
    </row>
    <row r="89" outlineLevel="1" spans="1:9">
      <c r="A89" s="830" t="s">
        <v>63</v>
      </c>
      <c r="B89" s="830" t="str">
        <f>VLOOKUP(A89,BD!$A$96:$J$99,2,FALSE)</f>
        <v>Tubo de creme dental 180gr (1unid/colaborador/mês)</v>
      </c>
      <c r="C89" s="843">
        <f>VLOOKUP(A89,BD!$A$96:$J$99,5,FALSE)</f>
        <v>1</v>
      </c>
      <c r="D89" s="834">
        <f>VLOOKUP(A89,BD!$A$96:$J$99,6,FALSE)</f>
        <v>1</v>
      </c>
      <c r="E89" s="834">
        <f>VLOOKUP(A89,BD!$A$96:$J$99,7,FALSE)</f>
        <v>1.5</v>
      </c>
      <c r="F89" s="834">
        <f t="shared" ref="F89:F90" si="10">D89*E89</f>
        <v>1.5</v>
      </c>
      <c r="G89" s="821"/>
      <c r="H89" s="819"/>
      <c r="I89" s="818"/>
    </row>
    <row r="90" outlineLevel="1" spans="1:9">
      <c r="A90" s="830" t="s">
        <v>65</v>
      </c>
      <c r="B90" s="830" t="str">
        <f>VLOOKUP(A90,BD!$A$96:$J$99,2,FALSE)</f>
        <v>Caixa de sabão em pó de 2kg (1unid/colaborador/mês)</v>
      </c>
      <c r="C90" s="843">
        <f>VLOOKUP(A90,BD!$A$96:$J$99,5,FALSE)</f>
        <v>1</v>
      </c>
      <c r="D90" s="834">
        <f>VLOOKUP(A90,BD!$A$96:$J$99,6,FALSE)</f>
        <v>1</v>
      </c>
      <c r="E90" s="834">
        <f>VLOOKUP(A90,BD!$A$96:$J$99,7,FALSE)</f>
        <v>16.3</v>
      </c>
      <c r="F90" s="834">
        <f t="shared" si="10"/>
        <v>16.3</v>
      </c>
      <c r="G90" s="821"/>
      <c r="H90" s="819"/>
      <c r="I90" s="818"/>
    </row>
    <row r="91" outlineLevel="1" spans="1:9">
      <c r="A91" s="830"/>
      <c r="B91" s="830"/>
      <c r="C91" s="834"/>
      <c r="D91" s="833"/>
      <c r="E91" s="834"/>
      <c r="F91" s="834"/>
      <c r="G91" s="821"/>
      <c r="H91" s="819"/>
      <c r="I91" s="818"/>
    </row>
    <row r="92" outlineLevel="1" spans="1:9">
      <c r="A92" s="830"/>
      <c r="B92" s="830"/>
      <c r="C92" s="834"/>
      <c r="D92" s="833"/>
      <c r="E92" s="834"/>
      <c r="F92" s="834"/>
      <c r="G92" s="821"/>
      <c r="H92" s="819"/>
      <c r="I92" s="818"/>
    </row>
    <row r="93" outlineLevel="1" spans="1:9">
      <c r="A93" s="830"/>
      <c r="B93" s="830"/>
      <c r="C93" s="834"/>
      <c r="D93" s="833"/>
      <c r="E93" s="834"/>
      <c r="F93" s="834"/>
      <c r="G93" s="821"/>
      <c r="H93" s="819"/>
      <c r="I93" s="818"/>
    </row>
    <row r="94" outlineLevel="1" spans="1:9">
      <c r="A94" s="830"/>
      <c r="B94" s="830"/>
      <c r="C94" s="834"/>
      <c r="D94" s="833"/>
      <c r="E94" s="834"/>
      <c r="F94" s="834"/>
      <c r="G94" s="821"/>
      <c r="H94" s="819"/>
      <c r="I94" s="818"/>
    </row>
    <row r="95" outlineLevel="1" spans="1:9">
      <c r="A95" s="830"/>
      <c r="B95" s="830"/>
      <c r="C95" s="834"/>
      <c r="D95" s="833"/>
      <c r="E95" s="834"/>
      <c r="F95" s="834"/>
      <c r="G95" s="821"/>
      <c r="H95" s="819"/>
      <c r="I95" s="818"/>
    </row>
    <row r="96" outlineLevel="1" spans="1:9">
      <c r="A96" s="830"/>
      <c r="B96" s="830"/>
      <c r="C96" s="834"/>
      <c r="D96" s="833"/>
      <c r="E96" s="834"/>
      <c r="F96" s="834"/>
      <c r="G96" s="821"/>
      <c r="H96" s="819"/>
      <c r="I96" s="818"/>
    </row>
    <row r="97" outlineLevel="1" spans="1:9">
      <c r="A97" s="830"/>
      <c r="B97" s="830"/>
      <c r="C97" s="834"/>
      <c r="D97" s="833"/>
      <c r="E97" s="834"/>
      <c r="F97" s="834"/>
      <c r="G97" s="821"/>
      <c r="H97" s="819"/>
      <c r="I97" s="818"/>
    </row>
    <row r="98" ht="100.05" customHeight="1"/>
    <row r="99" s="814" customFormat="1" ht="26.25" spans="1:9">
      <c r="A99" s="822" t="s">
        <v>129</v>
      </c>
      <c r="B99" s="822"/>
      <c r="C99" s="822"/>
      <c r="D99" s="822"/>
      <c r="E99" s="841">
        <f>SUM(E101:E118)</f>
        <v>413.5256</v>
      </c>
      <c r="F99" s="822"/>
      <c r="G99" s="822"/>
      <c r="H99" s="822"/>
      <c r="I99" s="822"/>
    </row>
    <row r="100" s="817" customFormat="1" spans="1:9">
      <c r="A100" s="836" t="s">
        <v>115</v>
      </c>
      <c r="B100" s="836" t="s">
        <v>27</v>
      </c>
      <c r="C100" s="837" t="s">
        <v>40</v>
      </c>
      <c r="D100" s="837" t="s">
        <v>42</v>
      </c>
      <c r="E100" s="837" t="s">
        <v>130</v>
      </c>
    </row>
    <row r="101" outlineLevel="1" spans="1:9">
      <c r="A101" s="842">
        <v>1</v>
      </c>
      <c r="B101" s="830" t="s">
        <v>68</v>
      </c>
      <c r="C101" s="834">
        <v>96</v>
      </c>
      <c r="D101" s="834">
        <f>VLOOKUP(B101,BD!$B$103:$J$128,4,FALSE)</f>
        <v>1.15</v>
      </c>
      <c r="E101" s="834">
        <f>C101*D101</f>
        <v>110.4</v>
      </c>
      <c r="G101" s="818"/>
      <c r="H101" s="818"/>
      <c r="I101" s="818"/>
    </row>
    <row r="102" outlineLevel="1" spans="1:9">
      <c r="A102" s="842">
        <v>2</v>
      </c>
      <c r="B102" s="830" t="s">
        <v>69</v>
      </c>
      <c r="C102" s="834">
        <v>4</v>
      </c>
      <c r="D102" s="834">
        <f>VLOOKUP(B102,BD!$B$103:$J$128,4,FALSE)</f>
        <v>25</v>
      </c>
      <c r="E102" s="834">
        <f t="shared" ref="E102:E111" si="11">C102*D102</f>
        <v>100</v>
      </c>
      <c r="G102" s="818"/>
      <c r="H102" s="818"/>
      <c r="I102" s="818"/>
    </row>
    <row r="103" outlineLevel="1" spans="1:9">
      <c r="A103" s="842">
        <v>3</v>
      </c>
      <c r="B103" s="830" t="s">
        <v>70</v>
      </c>
      <c r="C103" s="834">
        <v>44</v>
      </c>
      <c r="D103" s="834">
        <f>VLOOKUP(B103,BD!$B$103:$J$128,4,FALSE)</f>
        <v>0.4699</v>
      </c>
      <c r="E103" s="834">
        <f t="shared" si="11"/>
        <v>20.6756</v>
      </c>
      <c r="G103" s="818"/>
      <c r="H103" s="818"/>
      <c r="I103" s="818"/>
    </row>
    <row r="104" outlineLevel="1" spans="1:9">
      <c r="A104" s="842">
        <v>4</v>
      </c>
      <c r="B104" s="830" t="s">
        <v>71</v>
      </c>
      <c r="C104" s="834">
        <v>4</v>
      </c>
      <c r="D104" s="834">
        <f>VLOOKUP(B104,BD!$B$103:$J$128,4,FALSE)</f>
        <v>21</v>
      </c>
      <c r="E104" s="834">
        <f t="shared" si="11"/>
        <v>84</v>
      </c>
      <c r="G104" s="818"/>
      <c r="H104" s="818"/>
      <c r="I104" s="818"/>
    </row>
    <row r="105" outlineLevel="1" spans="1:9">
      <c r="A105" s="842">
        <v>5</v>
      </c>
      <c r="B105" s="830" t="s">
        <v>72</v>
      </c>
      <c r="C105" s="834">
        <v>1</v>
      </c>
      <c r="D105" s="834">
        <f>VLOOKUP(B105,BD!$B$103:$J$128,4,FALSE)</f>
        <v>11.8</v>
      </c>
      <c r="E105" s="834">
        <f t="shared" si="11"/>
        <v>11.8</v>
      </c>
      <c r="G105" s="818"/>
      <c r="H105" s="818"/>
      <c r="I105" s="818"/>
    </row>
    <row r="106" outlineLevel="1" spans="1:9">
      <c r="A106" s="842">
        <v>6</v>
      </c>
      <c r="B106" s="830" t="s">
        <v>73</v>
      </c>
      <c r="C106" s="834">
        <v>1</v>
      </c>
      <c r="D106" s="834">
        <f>VLOOKUP(B106,BD!$B$103:$J$128,4,FALSE)</f>
        <v>20.45</v>
      </c>
      <c r="E106" s="834">
        <f t="shared" si="11"/>
        <v>20.45</v>
      </c>
      <c r="G106" s="818"/>
      <c r="H106" s="818"/>
      <c r="I106" s="818"/>
    </row>
    <row r="107" outlineLevel="1" spans="1:9">
      <c r="A107" s="842">
        <v>7</v>
      </c>
      <c r="B107" s="830" t="s">
        <v>74</v>
      </c>
      <c r="C107" s="834">
        <v>10</v>
      </c>
      <c r="D107" s="834">
        <f>VLOOKUP(B107,BD!$B$103:$J$128,4,FALSE)</f>
        <v>2.88</v>
      </c>
      <c r="E107" s="834">
        <f t="shared" si="11"/>
        <v>28.8</v>
      </c>
      <c r="G107" s="818"/>
      <c r="H107" s="818"/>
      <c r="I107" s="818"/>
    </row>
    <row r="108" outlineLevel="1" spans="1:9">
      <c r="A108" s="842">
        <v>8</v>
      </c>
      <c r="B108" s="830" t="s">
        <v>75</v>
      </c>
      <c r="C108" s="834">
        <v>8</v>
      </c>
      <c r="D108" s="834">
        <f>VLOOKUP(B108,BD!$B$103:$J$128,4,FALSE)</f>
        <v>3.8</v>
      </c>
      <c r="E108" s="834">
        <f t="shared" si="11"/>
        <v>30.4</v>
      </c>
      <c r="G108" s="818"/>
      <c r="H108" s="818"/>
      <c r="I108" s="818"/>
    </row>
    <row r="109" outlineLevel="1" spans="1:9">
      <c r="A109" s="842">
        <v>9</v>
      </c>
      <c r="B109" s="831" t="s">
        <v>76</v>
      </c>
      <c r="C109" s="834">
        <v>0.166666666666667</v>
      </c>
      <c r="D109" s="834">
        <f>VLOOKUP(B109,BD!$B$103:$J$128,4,FALSE)</f>
        <v>16</v>
      </c>
      <c r="E109" s="834">
        <f t="shared" si="11"/>
        <v>2.66666666666667</v>
      </c>
      <c r="G109" s="818"/>
      <c r="H109" s="818"/>
      <c r="I109" s="818"/>
    </row>
    <row r="110" outlineLevel="1" spans="1:9">
      <c r="A110" s="842">
        <v>10</v>
      </c>
      <c r="B110" s="831" t="s">
        <v>77</v>
      </c>
      <c r="C110" s="834">
        <v>0.166666666666667</v>
      </c>
      <c r="D110" s="834">
        <f>VLOOKUP(B110,BD!$B$103:$J$128,4,FALSE)</f>
        <v>16</v>
      </c>
      <c r="E110" s="834">
        <f t="shared" si="11"/>
        <v>2.66666666666667</v>
      </c>
      <c r="G110" s="818"/>
      <c r="H110" s="818"/>
      <c r="I110" s="818"/>
    </row>
    <row r="111" outlineLevel="1" spans="1:9">
      <c r="A111" s="842">
        <v>11</v>
      </c>
      <c r="B111" s="831" t="s">
        <v>78</v>
      </c>
      <c r="C111" s="834">
        <v>0.333333333333333</v>
      </c>
      <c r="D111" s="834">
        <f>VLOOKUP(B111,BD!$B$103:$J$128,4,FALSE)</f>
        <v>5</v>
      </c>
      <c r="E111" s="834">
        <f t="shared" si="11"/>
        <v>1.66666666666667</v>
      </c>
      <c r="G111" s="818"/>
      <c r="H111" s="818"/>
      <c r="I111" s="818"/>
    </row>
    <row r="112" outlineLevel="1" spans="1:9">
      <c r="A112" s="842"/>
      <c r="B112" s="830"/>
      <c r="C112" s="834"/>
      <c r="D112" s="834"/>
      <c r="E112" s="834"/>
      <c r="G112" s="818"/>
      <c r="H112" s="818"/>
      <c r="I112" s="818"/>
    </row>
    <row r="113" outlineLevel="1" spans="1:9">
      <c r="A113" s="842"/>
      <c r="B113" s="830"/>
      <c r="C113" s="834"/>
      <c r="D113" s="834"/>
      <c r="E113" s="834"/>
      <c r="G113" s="818"/>
      <c r="H113" s="818"/>
      <c r="I113" s="818"/>
    </row>
    <row r="114" outlineLevel="1" spans="1:9">
      <c r="A114" s="842"/>
      <c r="B114" s="830"/>
      <c r="C114" s="834"/>
      <c r="D114" s="834"/>
      <c r="E114" s="834"/>
      <c r="G114" s="818"/>
      <c r="H114" s="818"/>
      <c r="I114" s="818"/>
    </row>
    <row r="115" outlineLevel="1" spans="1:9">
      <c r="A115" s="842"/>
      <c r="B115" s="830"/>
      <c r="C115" s="834"/>
      <c r="D115" s="834"/>
      <c r="E115" s="834"/>
      <c r="G115" s="818"/>
      <c r="H115" s="818"/>
      <c r="I115" s="818"/>
    </row>
    <row r="116" outlineLevel="1" spans="1:9">
      <c r="A116" s="842"/>
      <c r="B116" s="830"/>
      <c r="C116" s="834"/>
      <c r="D116" s="834"/>
      <c r="E116" s="834"/>
      <c r="G116" s="818"/>
      <c r="H116" s="818"/>
      <c r="I116" s="818"/>
    </row>
    <row r="117" outlineLevel="1" spans="1:9">
      <c r="A117" s="842"/>
      <c r="B117" s="830"/>
      <c r="C117" s="834"/>
      <c r="D117" s="834"/>
      <c r="E117" s="834"/>
      <c r="G117" s="818"/>
      <c r="H117" s="818"/>
      <c r="I117" s="818"/>
    </row>
    <row r="118" outlineLevel="1" spans="1:9">
      <c r="A118" s="842"/>
      <c r="B118" s="830"/>
      <c r="C118" s="834"/>
      <c r="D118" s="834"/>
      <c r="E118" s="834"/>
      <c r="G118" s="818"/>
      <c r="H118" s="818"/>
      <c r="I118" s="818"/>
    </row>
    <row r="119" ht="100.05" customHeight="1"/>
    <row r="120" s="814" customFormat="1" ht="26.25" spans="1:9">
      <c r="A120" s="822" t="s">
        <v>131</v>
      </c>
      <c r="B120" s="822"/>
      <c r="C120" s="822"/>
      <c r="D120" s="822"/>
      <c r="E120" s="841">
        <f>SUM(E122:E139)</f>
        <v>219.48</v>
      </c>
      <c r="F120" s="822"/>
      <c r="G120" s="822"/>
      <c r="H120" s="822"/>
      <c r="I120" s="822"/>
    </row>
    <row r="121" s="817" customFormat="1" spans="1:9">
      <c r="A121" s="836" t="s">
        <v>115</v>
      </c>
      <c r="B121" s="836" t="s">
        <v>27</v>
      </c>
      <c r="C121" s="837" t="s">
        <v>40</v>
      </c>
      <c r="D121" s="837" t="s">
        <v>42</v>
      </c>
      <c r="E121" s="837" t="s">
        <v>130</v>
      </c>
    </row>
    <row r="122" outlineLevel="1" spans="1:9">
      <c r="A122" s="845">
        <v>1</v>
      </c>
      <c r="B122" s="846" t="s">
        <v>68</v>
      </c>
      <c r="C122" s="838">
        <v>48</v>
      </c>
      <c r="D122" s="834">
        <f>VLOOKUP(B122,BD!$B$103:$J$128,4,FALSE)</f>
        <v>1.15</v>
      </c>
      <c r="E122" s="834">
        <f>C122*D122</f>
        <v>55.2</v>
      </c>
      <c r="F122" s="847"/>
      <c r="G122" s="818"/>
      <c r="H122" s="818"/>
      <c r="I122" s="818"/>
    </row>
    <row r="123" outlineLevel="1" spans="1:9">
      <c r="A123" s="845">
        <v>2</v>
      </c>
      <c r="B123" s="846" t="s">
        <v>79</v>
      </c>
      <c r="C123" s="838">
        <v>30</v>
      </c>
      <c r="D123" s="834">
        <f>VLOOKUP(B123,BD!$B$103:$J$128,4,FALSE)</f>
        <v>0.22</v>
      </c>
      <c r="E123" s="834">
        <f t="shared" ref="E123:E131" si="12">C123*D123</f>
        <v>6.6</v>
      </c>
      <c r="F123" s="847"/>
      <c r="G123" s="818"/>
      <c r="H123" s="818"/>
      <c r="I123" s="818"/>
    </row>
    <row r="124" outlineLevel="1" spans="1:9">
      <c r="A124" s="845">
        <v>3</v>
      </c>
      <c r="B124" s="846" t="s">
        <v>80</v>
      </c>
      <c r="C124" s="838">
        <v>4</v>
      </c>
      <c r="D124" s="834">
        <f>VLOOKUP(B124,BD!$B$103:$J$128,4,FALSE)</f>
        <v>2.36</v>
      </c>
      <c r="E124" s="834">
        <f t="shared" si="12"/>
        <v>9.44</v>
      </c>
      <c r="F124" s="847"/>
      <c r="G124" s="818"/>
      <c r="H124" s="818"/>
      <c r="I124" s="818"/>
    </row>
    <row r="125" outlineLevel="1" spans="1:9">
      <c r="A125" s="845">
        <v>4</v>
      </c>
      <c r="B125" s="846" t="s">
        <v>81</v>
      </c>
      <c r="C125" s="838">
        <v>4</v>
      </c>
      <c r="D125" s="834">
        <f>VLOOKUP(B125,BD!$B$103:$J$128,4,FALSE)</f>
        <v>4.09</v>
      </c>
      <c r="E125" s="834">
        <f t="shared" si="12"/>
        <v>16.36</v>
      </c>
      <c r="F125" s="847"/>
      <c r="G125" s="818"/>
      <c r="H125" s="818"/>
      <c r="I125" s="818"/>
    </row>
    <row r="126" outlineLevel="1" spans="1:9">
      <c r="A126" s="845">
        <v>5</v>
      </c>
      <c r="B126" s="846" t="s">
        <v>74</v>
      </c>
      <c r="C126" s="838">
        <v>6</v>
      </c>
      <c r="D126" s="834">
        <f>VLOOKUP(B126,BD!$B$103:$J$128,4,FALSE)</f>
        <v>2.88</v>
      </c>
      <c r="E126" s="834">
        <f t="shared" si="12"/>
        <v>17.28</v>
      </c>
      <c r="F126" s="847"/>
      <c r="G126" s="818"/>
      <c r="H126" s="818"/>
      <c r="I126" s="818"/>
    </row>
    <row r="127" outlineLevel="1" spans="1:9">
      <c r="A127" s="845">
        <v>6</v>
      </c>
      <c r="B127" s="846" t="s">
        <v>75</v>
      </c>
      <c r="C127" s="838">
        <v>2</v>
      </c>
      <c r="D127" s="834">
        <f>VLOOKUP(B127,BD!$B$103:$J$128,4,FALSE)</f>
        <v>3.8</v>
      </c>
      <c r="E127" s="834">
        <f t="shared" si="12"/>
        <v>7.6</v>
      </c>
      <c r="F127" s="847"/>
      <c r="G127" s="818"/>
      <c r="H127" s="818"/>
      <c r="I127" s="818"/>
    </row>
    <row r="128" outlineLevel="1" spans="1:9">
      <c r="A128" s="845">
        <v>7</v>
      </c>
      <c r="B128" s="846" t="s">
        <v>76</v>
      </c>
      <c r="C128" s="838">
        <v>0.166666666666667</v>
      </c>
      <c r="D128" s="834">
        <f>VLOOKUP(B128,BD!$B$103:$J$128,4,FALSE)</f>
        <v>16</v>
      </c>
      <c r="E128" s="834">
        <f t="shared" si="12"/>
        <v>2.66666666666667</v>
      </c>
      <c r="F128" s="847"/>
      <c r="G128" s="818"/>
      <c r="H128" s="818"/>
      <c r="I128" s="818"/>
    </row>
    <row r="129" outlineLevel="1" spans="1:9">
      <c r="A129" s="845">
        <v>8</v>
      </c>
      <c r="B129" s="846" t="s">
        <v>77</v>
      </c>
      <c r="C129" s="838">
        <v>0.166666666666667</v>
      </c>
      <c r="D129" s="834">
        <f>VLOOKUP(B129,BD!$B$103:$J$128,4,FALSE)</f>
        <v>16</v>
      </c>
      <c r="E129" s="834">
        <f t="shared" si="12"/>
        <v>2.66666666666667</v>
      </c>
      <c r="F129" s="847"/>
      <c r="G129" s="818"/>
      <c r="H129" s="818"/>
      <c r="I129" s="818"/>
    </row>
    <row r="130" outlineLevel="1" spans="1:9">
      <c r="A130" s="845">
        <v>9</v>
      </c>
      <c r="B130" s="846" t="s">
        <v>78</v>
      </c>
      <c r="C130" s="838">
        <v>0.333333333333333</v>
      </c>
      <c r="D130" s="834">
        <f>VLOOKUP(B130,BD!$B$103:$J$128,4,FALSE)</f>
        <v>5</v>
      </c>
      <c r="E130" s="834">
        <f t="shared" si="12"/>
        <v>1.66666666666667</v>
      </c>
      <c r="F130" s="847"/>
      <c r="G130" s="818"/>
      <c r="H130" s="818"/>
      <c r="I130" s="818"/>
    </row>
    <row r="131" outlineLevel="1" spans="1:9">
      <c r="A131" s="845">
        <v>10</v>
      </c>
      <c r="B131" s="846" t="s">
        <v>82</v>
      </c>
      <c r="C131" s="838">
        <v>1</v>
      </c>
      <c r="D131" s="834">
        <f>VLOOKUP(B131,BD!$B$103:$J$128,4,FALSE)</f>
        <v>100</v>
      </c>
      <c r="E131" s="834">
        <f t="shared" si="12"/>
        <v>100</v>
      </c>
      <c r="F131" s="847"/>
      <c r="G131" s="818"/>
      <c r="H131" s="818"/>
      <c r="I131" s="818"/>
    </row>
    <row r="132" outlineLevel="1" spans="1:9">
      <c r="A132" s="848"/>
      <c r="B132" s="848"/>
      <c r="C132" s="838"/>
      <c r="D132" s="834"/>
      <c r="E132" s="834"/>
      <c r="G132" s="818"/>
      <c r="H132" s="818"/>
      <c r="I132" s="818"/>
    </row>
    <row r="133" outlineLevel="1" spans="1:9">
      <c r="A133" s="830"/>
      <c r="B133" s="830"/>
      <c r="C133" s="834"/>
      <c r="D133" s="834"/>
      <c r="E133" s="834"/>
      <c r="G133" s="818"/>
      <c r="H133" s="818"/>
      <c r="I133" s="818"/>
    </row>
    <row r="134" outlineLevel="1" spans="1:9">
      <c r="A134" s="830"/>
      <c r="B134" s="830"/>
      <c r="C134" s="834"/>
      <c r="D134" s="834"/>
      <c r="E134" s="834"/>
      <c r="G134" s="818"/>
      <c r="H134" s="818"/>
      <c r="I134" s="818"/>
    </row>
    <row r="135" outlineLevel="1" spans="1:9">
      <c r="A135" s="830"/>
      <c r="B135" s="830"/>
      <c r="C135" s="834"/>
      <c r="D135" s="834"/>
      <c r="E135" s="834"/>
      <c r="G135" s="818"/>
      <c r="H135" s="818"/>
      <c r="I135" s="818"/>
    </row>
    <row r="136" outlineLevel="1" spans="1:9">
      <c r="A136" s="830"/>
      <c r="B136" s="830"/>
      <c r="C136" s="834"/>
      <c r="D136" s="834"/>
      <c r="E136" s="834"/>
      <c r="G136" s="818"/>
      <c r="H136" s="818"/>
      <c r="I136" s="818"/>
    </row>
    <row r="137" outlineLevel="1" spans="1:9">
      <c r="A137" s="830"/>
      <c r="B137" s="830"/>
      <c r="C137" s="834"/>
      <c r="D137" s="834"/>
      <c r="E137" s="834"/>
      <c r="G137" s="818"/>
      <c r="H137" s="818"/>
      <c r="I137" s="818"/>
    </row>
    <row r="138" outlineLevel="1" spans="1:9">
      <c r="A138" s="830"/>
      <c r="B138" s="830"/>
      <c r="C138" s="834"/>
      <c r="D138" s="834"/>
      <c r="E138" s="834"/>
      <c r="G138" s="818"/>
      <c r="H138" s="818"/>
      <c r="I138" s="818"/>
    </row>
    <row r="139" outlineLevel="1" spans="1:9">
      <c r="A139" s="830"/>
      <c r="B139" s="830"/>
      <c r="C139" s="834"/>
      <c r="D139" s="834"/>
      <c r="E139" s="834"/>
      <c r="G139" s="818"/>
      <c r="H139" s="818"/>
      <c r="I139" s="818"/>
    </row>
    <row r="140" ht="100.05" customHeight="1"/>
    <row r="141" s="814" customFormat="1" ht="26.25" spans="1:9">
      <c r="A141" s="822" t="s">
        <v>132</v>
      </c>
      <c r="B141" s="822"/>
      <c r="C141" s="822"/>
      <c r="D141" s="822"/>
      <c r="E141" s="841">
        <f>SUM(E143:E160)</f>
        <v>171.08</v>
      </c>
      <c r="F141" s="822"/>
      <c r="G141" s="822"/>
      <c r="H141" s="822"/>
      <c r="I141" s="822"/>
    </row>
    <row r="142" s="817" customFormat="1" spans="1:9">
      <c r="A142" s="836" t="s">
        <v>115</v>
      </c>
      <c r="B142" s="836" t="s">
        <v>27</v>
      </c>
      <c r="C142" s="837" t="s">
        <v>40</v>
      </c>
      <c r="D142" s="837" t="s">
        <v>42</v>
      </c>
      <c r="E142" s="837" t="s">
        <v>130</v>
      </c>
    </row>
    <row r="143" outlineLevel="1" spans="1:9">
      <c r="A143" s="845">
        <v>1</v>
      </c>
      <c r="B143" s="846" t="s">
        <v>68</v>
      </c>
      <c r="C143" s="838">
        <v>20</v>
      </c>
      <c r="D143" s="834">
        <f>VLOOKUP(B143,BD!$B$103:$J$128,4,FALSE)</f>
        <v>1.15</v>
      </c>
      <c r="E143" s="834">
        <f>C143*D143</f>
        <v>23</v>
      </c>
      <c r="F143" s="847"/>
      <c r="G143" s="818"/>
      <c r="H143" s="818"/>
      <c r="I143" s="818"/>
    </row>
    <row r="144" outlineLevel="1" spans="1:9">
      <c r="A144" s="845">
        <v>2</v>
      </c>
      <c r="B144" s="846" t="s">
        <v>79</v>
      </c>
      <c r="C144" s="838">
        <v>15</v>
      </c>
      <c r="D144" s="834">
        <f>VLOOKUP(B144,BD!$B$103:$J$128,4,FALSE)</f>
        <v>0.22</v>
      </c>
      <c r="E144" s="834">
        <f t="shared" ref="E144:E152" si="13">C144*D144</f>
        <v>3.3</v>
      </c>
      <c r="F144" s="847"/>
      <c r="G144" s="818"/>
      <c r="H144" s="818"/>
      <c r="I144" s="818"/>
    </row>
    <row r="145" outlineLevel="1" spans="1:9">
      <c r="A145" s="845">
        <v>3</v>
      </c>
      <c r="B145" s="846" t="s">
        <v>80</v>
      </c>
      <c r="C145" s="838">
        <v>2</v>
      </c>
      <c r="D145" s="834">
        <f>VLOOKUP(B145,BD!$B$103:$J$128,4,FALSE)</f>
        <v>2.36</v>
      </c>
      <c r="E145" s="834">
        <f t="shared" si="13"/>
        <v>4.72</v>
      </c>
      <c r="F145" s="847"/>
      <c r="G145" s="818"/>
      <c r="H145" s="818"/>
      <c r="I145" s="818"/>
    </row>
    <row r="146" outlineLevel="1" spans="1:9">
      <c r="A146" s="845">
        <v>4</v>
      </c>
      <c r="B146" s="846" t="s">
        <v>81</v>
      </c>
      <c r="C146" s="838">
        <v>2</v>
      </c>
      <c r="D146" s="834">
        <f>VLOOKUP(B146,BD!$B$103:$J$128,4,FALSE)</f>
        <v>4.09</v>
      </c>
      <c r="E146" s="834">
        <f t="shared" si="13"/>
        <v>8.18</v>
      </c>
      <c r="F146" s="847"/>
      <c r="G146" s="818"/>
      <c r="H146" s="818"/>
      <c r="I146" s="818"/>
    </row>
    <row r="147" outlineLevel="1" spans="1:9">
      <c r="A147" s="845">
        <v>5</v>
      </c>
      <c r="B147" s="846" t="s">
        <v>74</v>
      </c>
      <c r="C147" s="838">
        <v>6</v>
      </c>
      <c r="D147" s="834">
        <f>VLOOKUP(B147,BD!$B$103:$J$128,4,FALSE)</f>
        <v>2.88</v>
      </c>
      <c r="E147" s="834">
        <f t="shared" si="13"/>
        <v>17.28</v>
      </c>
      <c r="F147" s="847"/>
      <c r="G147" s="818"/>
      <c r="H147" s="818"/>
      <c r="I147" s="818"/>
    </row>
    <row r="148" outlineLevel="1" spans="1:9">
      <c r="A148" s="845">
        <v>6</v>
      </c>
      <c r="B148" s="846" t="s">
        <v>75</v>
      </c>
      <c r="C148" s="838">
        <v>2</v>
      </c>
      <c r="D148" s="834">
        <f>VLOOKUP(B148,BD!$B$103:$J$128,4,FALSE)</f>
        <v>3.8</v>
      </c>
      <c r="E148" s="834">
        <f t="shared" si="13"/>
        <v>7.6</v>
      </c>
      <c r="F148" s="847"/>
      <c r="G148" s="818"/>
      <c r="H148" s="818"/>
      <c r="I148" s="818"/>
    </row>
    <row r="149" outlineLevel="1" spans="1:9">
      <c r="A149" s="845">
        <v>7</v>
      </c>
      <c r="B149" s="846" t="s">
        <v>76</v>
      </c>
      <c r="C149" s="838">
        <v>0.166666666666667</v>
      </c>
      <c r="D149" s="834">
        <f>VLOOKUP(B149,BD!$B$103:$J$128,4,FALSE)</f>
        <v>16</v>
      </c>
      <c r="E149" s="834">
        <f t="shared" si="13"/>
        <v>2.66666666666667</v>
      </c>
      <c r="F149" s="847"/>
      <c r="G149" s="818"/>
      <c r="H149" s="818"/>
      <c r="I149" s="818"/>
    </row>
    <row r="150" outlineLevel="1" spans="1:9">
      <c r="A150" s="845">
        <v>8</v>
      </c>
      <c r="B150" s="846" t="s">
        <v>77</v>
      </c>
      <c r="C150" s="838">
        <v>0.166666666666667</v>
      </c>
      <c r="D150" s="834">
        <f>VLOOKUP(B150,BD!$B$103:$J$128,4,FALSE)</f>
        <v>16</v>
      </c>
      <c r="E150" s="834">
        <f t="shared" si="13"/>
        <v>2.66666666666667</v>
      </c>
      <c r="F150" s="847"/>
      <c r="G150" s="818"/>
      <c r="H150" s="818"/>
      <c r="I150" s="818"/>
    </row>
    <row r="151" outlineLevel="1" spans="1:9">
      <c r="A151" s="845">
        <v>9</v>
      </c>
      <c r="B151" s="846" t="s">
        <v>78</v>
      </c>
      <c r="C151" s="838">
        <v>0.333333333333333</v>
      </c>
      <c r="D151" s="834">
        <f>VLOOKUP(B151,BD!$B$103:$J$128,4,FALSE)</f>
        <v>5</v>
      </c>
      <c r="E151" s="834">
        <f t="shared" si="13"/>
        <v>1.66666666666667</v>
      </c>
      <c r="F151" s="847"/>
      <c r="G151" s="818"/>
      <c r="H151" s="818"/>
      <c r="I151" s="818"/>
    </row>
    <row r="152" outlineLevel="1" spans="1:9">
      <c r="A152" s="845">
        <v>10</v>
      </c>
      <c r="B152" s="846" t="s">
        <v>82</v>
      </c>
      <c r="C152" s="838">
        <v>1</v>
      </c>
      <c r="D152" s="834">
        <f>VLOOKUP(B152,BD!$B$103:$J$128,4,FALSE)</f>
        <v>100</v>
      </c>
      <c r="E152" s="834">
        <f t="shared" si="13"/>
        <v>100</v>
      </c>
      <c r="F152" s="847"/>
      <c r="G152" s="818"/>
      <c r="H152" s="818"/>
      <c r="I152" s="818"/>
    </row>
    <row r="153" outlineLevel="1" spans="1:9">
      <c r="A153" s="848"/>
      <c r="B153" s="848"/>
      <c r="C153" s="838"/>
      <c r="D153" s="834"/>
      <c r="E153" s="834"/>
      <c r="G153" s="818"/>
      <c r="H153" s="818"/>
      <c r="I153" s="818"/>
    </row>
    <row r="154" outlineLevel="1" spans="1:9">
      <c r="A154" s="830"/>
      <c r="B154" s="830"/>
      <c r="C154" s="834"/>
      <c r="D154" s="834"/>
      <c r="E154" s="834"/>
      <c r="G154" s="818"/>
      <c r="H154" s="818"/>
      <c r="I154" s="818"/>
    </row>
    <row r="155" outlineLevel="1" spans="1:9">
      <c r="A155" s="830"/>
      <c r="B155" s="830"/>
      <c r="C155" s="834"/>
      <c r="D155" s="834"/>
      <c r="E155" s="834"/>
      <c r="G155" s="818"/>
      <c r="H155" s="818"/>
      <c r="I155" s="818"/>
    </row>
    <row r="156" outlineLevel="1" spans="1:9">
      <c r="A156" s="830"/>
      <c r="B156" s="830"/>
      <c r="C156" s="834"/>
      <c r="D156" s="834"/>
      <c r="E156" s="834"/>
      <c r="G156" s="818"/>
      <c r="H156" s="818"/>
      <c r="I156" s="818"/>
    </row>
    <row r="157" outlineLevel="1" spans="1:9">
      <c r="A157" s="830"/>
      <c r="B157" s="830"/>
      <c r="C157" s="834"/>
      <c r="D157" s="834"/>
      <c r="E157" s="834"/>
      <c r="G157" s="818"/>
      <c r="H157" s="818"/>
      <c r="I157" s="818"/>
    </row>
    <row r="158" outlineLevel="1" spans="1:9">
      <c r="A158" s="830"/>
      <c r="B158" s="830"/>
      <c r="C158" s="834"/>
      <c r="D158" s="834"/>
      <c r="E158" s="834"/>
      <c r="G158" s="818"/>
      <c r="H158" s="818"/>
      <c r="I158" s="818"/>
    </row>
    <row r="159" outlineLevel="1" spans="1:9">
      <c r="A159" s="830"/>
      <c r="B159" s="830"/>
      <c r="C159" s="834"/>
      <c r="D159" s="834"/>
      <c r="E159" s="834"/>
      <c r="G159" s="818"/>
      <c r="H159" s="818"/>
      <c r="I159" s="818"/>
    </row>
    <row r="160" outlineLevel="1" spans="1:9">
      <c r="A160" s="830"/>
      <c r="B160" s="830"/>
      <c r="C160" s="834"/>
      <c r="D160" s="834"/>
      <c r="E160" s="834"/>
      <c r="G160" s="818"/>
      <c r="H160" s="818"/>
      <c r="I160" s="818"/>
    </row>
    <row r="161" ht="100.05" customHeight="1"/>
    <row r="162" s="814" customFormat="1" ht="26.25" spans="1:9">
      <c r="A162" s="822" t="s">
        <v>133</v>
      </c>
      <c r="B162" s="822"/>
      <c r="C162" s="822"/>
      <c r="D162" s="822"/>
      <c r="E162" s="822"/>
      <c r="F162" s="849">
        <f>SUM(F164:F179)</f>
        <v>4610</v>
      </c>
      <c r="G162" s="822"/>
      <c r="H162" s="822"/>
      <c r="I162" s="822"/>
    </row>
    <row r="163" s="817" customFormat="1" spans="1:9">
      <c r="A163" s="836" t="s">
        <v>134</v>
      </c>
      <c r="B163" s="836" t="s">
        <v>27</v>
      </c>
      <c r="C163" s="829" t="s">
        <v>135</v>
      </c>
      <c r="D163" s="837" t="s">
        <v>136</v>
      </c>
      <c r="E163" s="837" t="s">
        <v>137</v>
      </c>
      <c r="F163" s="837" t="s">
        <v>138</v>
      </c>
    </row>
    <row r="164" outlineLevel="1" spans="1:9">
      <c r="A164" s="830" t="s">
        <v>139</v>
      </c>
      <c r="B164" s="830" t="s">
        <v>140</v>
      </c>
      <c r="C164" s="834" t="s">
        <v>141</v>
      </c>
      <c r="D164" s="834">
        <v>2</v>
      </c>
      <c r="E164" s="834">
        <v>250</v>
      </c>
      <c r="F164" s="834">
        <f>D164*E164</f>
        <v>500</v>
      </c>
      <c r="G164" s="821"/>
      <c r="H164" s="819"/>
      <c r="I164" s="818"/>
    </row>
    <row r="165" outlineLevel="1" spans="1:9">
      <c r="A165" s="830" t="s">
        <v>142</v>
      </c>
      <c r="B165" s="830" t="s">
        <v>143</v>
      </c>
      <c r="C165" s="834" t="s">
        <v>141</v>
      </c>
      <c r="D165" s="834">
        <v>1</v>
      </c>
      <c r="E165" s="834">
        <v>370</v>
      </c>
      <c r="F165" s="834">
        <f t="shared" ref="F165:F174" si="14">D165*E165</f>
        <v>370</v>
      </c>
      <c r="G165" s="821"/>
      <c r="H165" s="819"/>
      <c r="I165" s="818"/>
    </row>
    <row r="166" outlineLevel="1" spans="1:9">
      <c r="A166" s="830" t="s">
        <v>144</v>
      </c>
      <c r="B166" s="830" t="s">
        <v>145</v>
      </c>
      <c r="C166" s="834" t="s">
        <v>141</v>
      </c>
      <c r="D166" s="834">
        <v>2</v>
      </c>
      <c r="E166" s="834">
        <v>200</v>
      </c>
      <c r="F166" s="834">
        <f t="shared" si="14"/>
        <v>400</v>
      </c>
      <c r="G166" s="821"/>
      <c r="H166" s="819"/>
      <c r="I166" s="818"/>
    </row>
    <row r="167" outlineLevel="1" spans="1:9">
      <c r="A167" s="830" t="s">
        <v>146</v>
      </c>
      <c r="B167" s="830" t="s">
        <v>147</v>
      </c>
      <c r="C167" s="834" t="s">
        <v>141</v>
      </c>
      <c r="D167" s="834">
        <v>4</v>
      </c>
      <c r="E167" s="834">
        <v>100</v>
      </c>
      <c r="F167" s="834">
        <f t="shared" si="14"/>
        <v>400</v>
      </c>
      <c r="G167" s="821"/>
      <c r="H167" s="819"/>
      <c r="I167" s="818"/>
    </row>
    <row r="168" outlineLevel="1" spans="1:9">
      <c r="A168" s="830" t="s">
        <v>148</v>
      </c>
      <c r="B168" s="830" t="s">
        <v>149</v>
      </c>
      <c r="C168" s="834" t="s">
        <v>141</v>
      </c>
      <c r="D168" s="834">
        <v>1</v>
      </c>
      <c r="E168" s="834">
        <v>250</v>
      </c>
      <c r="F168" s="834">
        <f t="shared" si="14"/>
        <v>250</v>
      </c>
      <c r="G168" s="821"/>
      <c r="H168" s="819"/>
      <c r="I168" s="818"/>
    </row>
    <row r="169" outlineLevel="1" spans="1:9">
      <c r="A169" s="830" t="s">
        <v>150</v>
      </c>
      <c r="B169" s="830" t="s">
        <v>151</v>
      </c>
      <c r="C169" s="834" t="s">
        <v>141</v>
      </c>
      <c r="D169" s="834">
        <v>1</v>
      </c>
      <c r="E169" s="834">
        <v>100</v>
      </c>
      <c r="F169" s="834">
        <f t="shared" si="14"/>
        <v>100</v>
      </c>
      <c r="G169" s="821"/>
      <c r="H169" s="819"/>
      <c r="I169" s="818"/>
    </row>
    <row r="170" outlineLevel="1" spans="1:9">
      <c r="A170" s="830" t="s">
        <v>152</v>
      </c>
      <c r="B170" s="830" t="s">
        <v>153</v>
      </c>
      <c r="C170" s="834" t="s">
        <v>141</v>
      </c>
      <c r="D170" s="834">
        <v>1</v>
      </c>
      <c r="E170" s="834">
        <v>2000</v>
      </c>
      <c r="F170" s="834">
        <f t="shared" si="14"/>
        <v>2000</v>
      </c>
      <c r="G170" s="821"/>
      <c r="H170" s="819"/>
      <c r="I170" s="818"/>
    </row>
    <row r="171" outlineLevel="1" spans="1:9">
      <c r="A171" s="830" t="s">
        <v>154</v>
      </c>
      <c r="B171" s="830" t="s">
        <v>155</v>
      </c>
      <c r="C171" s="834" t="s">
        <v>141</v>
      </c>
      <c r="D171" s="834">
        <v>7</v>
      </c>
      <c r="E171" s="834">
        <v>50</v>
      </c>
      <c r="F171" s="834">
        <f t="shared" si="14"/>
        <v>350</v>
      </c>
      <c r="G171" s="821"/>
      <c r="H171" s="819"/>
      <c r="I171" s="818"/>
    </row>
    <row r="172" outlineLevel="1" spans="1:9">
      <c r="A172" s="830" t="s">
        <v>156</v>
      </c>
      <c r="B172" s="830" t="s">
        <v>157</v>
      </c>
      <c r="C172" s="834" t="s">
        <v>141</v>
      </c>
      <c r="D172" s="834">
        <v>1</v>
      </c>
      <c r="E172" s="834">
        <v>60</v>
      </c>
      <c r="F172" s="834">
        <f t="shared" si="14"/>
        <v>60</v>
      </c>
      <c r="G172" s="821"/>
      <c r="H172" s="819"/>
      <c r="I172" s="818"/>
    </row>
    <row r="173" outlineLevel="1" spans="1:9">
      <c r="A173" s="830" t="s">
        <v>158</v>
      </c>
      <c r="B173" s="830" t="s">
        <v>159</v>
      </c>
      <c r="C173" s="834" t="s">
        <v>141</v>
      </c>
      <c r="D173" s="834">
        <v>1</v>
      </c>
      <c r="E173" s="834">
        <v>60</v>
      </c>
      <c r="F173" s="834">
        <f t="shared" si="14"/>
        <v>60</v>
      </c>
      <c r="G173" s="821"/>
      <c r="H173" s="819"/>
      <c r="I173" s="818"/>
    </row>
    <row r="174" outlineLevel="1" spans="1:9">
      <c r="A174" s="830" t="s">
        <v>160</v>
      </c>
      <c r="B174" s="830" t="s">
        <v>161</v>
      </c>
      <c r="C174" s="834" t="s">
        <v>141</v>
      </c>
      <c r="D174" s="834">
        <v>2</v>
      </c>
      <c r="E174" s="834">
        <v>60</v>
      </c>
      <c r="F174" s="834">
        <f t="shared" si="14"/>
        <v>120</v>
      </c>
      <c r="G174" s="821"/>
      <c r="H174" s="819"/>
      <c r="I174" s="818"/>
    </row>
    <row r="175" outlineLevel="1" spans="1:9">
      <c r="A175" s="830"/>
      <c r="B175" s="830"/>
      <c r="C175" s="834"/>
      <c r="D175" s="834"/>
      <c r="E175" s="834"/>
      <c r="F175" s="834"/>
      <c r="G175" s="821"/>
      <c r="H175" s="819"/>
      <c r="I175" s="818"/>
    </row>
    <row r="176" outlineLevel="1" spans="1:9">
      <c r="A176" s="830"/>
      <c r="B176" s="830"/>
      <c r="C176" s="834"/>
      <c r="D176" s="834"/>
      <c r="E176" s="834"/>
      <c r="F176" s="834"/>
      <c r="G176" s="821"/>
      <c r="H176" s="819"/>
      <c r="I176" s="818"/>
    </row>
    <row r="177" outlineLevel="1" spans="1:9">
      <c r="A177" s="830"/>
      <c r="B177" s="830"/>
      <c r="C177" s="834"/>
      <c r="D177" s="834"/>
      <c r="E177" s="834"/>
      <c r="F177" s="834"/>
      <c r="G177" s="821"/>
      <c r="H177" s="819"/>
      <c r="I177" s="818"/>
    </row>
    <row r="178" outlineLevel="1" spans="1:9">
      <c r="A178" s="830"/>
      <c r="B178" s="830"/>
      <c r="C178" s="834"/>
      <c r="D178" s="834"/>
      <c r="E178" s="834"/>
      <c r="F178" s="834"/>
      <c r="G178" s="821"/>
      <c r="H178" s="819"/>
      <c r="I178" s="818"/>
    </row>
    <row r="179" outlineLevel="1" spans="1:9">
      <c r="A179" s="830"/>
      <c r="B179" s="830"/>
      <c r="C179" s="834"/>
      <c r="D179" s="834"/>
      <c r="E179" s="834"/>
      <c r="F179" s="834"/>
      <c r="G179" s="821"/>
      <c r="H179" s="819"/>
      <c r="I179" s="818"/>
    </row>
    <row r="180" ht="100.05" customHeight="1"/>
    <row r="181" s="814" customFormat="1" ht="26.25" spans="1:9">
      <c r="A181" s="822" t="s">
        <v>162</v>
      </c>
      <c r="B181" s="822"/>
      <c r="C181" s="822"/>
      <c r="D181" s="822"/>
      <c r="E181" s="822"/>
      <c r="F181" s="849">
        <f>SUM(F183:F198)</f>
        <v>3360</v>
      </c>
      <c r="G181" s="822"/>
      <c r="H181" s="822"/>
      <c r="I181" s="822"/>
    </row>
    <row r="182" s="817" customFormat="1" spans="1:9">
      <c r="A182" s="836" t="s">
        <v>134</v>
      </c>
      <c r="B182" s="836" t="s">
        <v>27</v>
      </c>
      <c r="C182" s="829" t="s">
        <v>135</v>
      </c>
      <c r="D182" s="837" t="s">
        <v>136</v>
      </c>
      <c r="E182" s="837" t="s">
        <v>137</v>
      </c>
      <c r="F182" s="837" t="s">
        <v>138</v>
      </c>
    </row>
    <row r="183" outlineLevel="1" spans="1:9">
      <c r="A183" s="830" t="s">
        <v>163</v>
      </c>
      <c r="B183" s="830" t="s">
        <v>164</v>
      </c>
      <c r="C183" s="834" t="s">
        <v>141</v>
      </c>
      <c r="D183" s="834">
        <v>2</v>
      </c>
      <c r="E183" s="834">
        <v>1100</v>
      </c>
      <c r="F183" s="834">
        <f>D183*E183</f>
        <v>2200</v>
      </c>
      <c r="G183" s="821"/>
      <c r="H183" s="819"/>
      <c r="I183" s="818"/>
    </row>
    <row r="184" outlineLevel="1" spans="1:9">
      <c r="A184" s="830" t="s">
        <v>165</v>
      </c>
      <c r="B184" s="830" t="s">
        <v>166</v>
      </c>
      <c r="C184" s="834" t="s">
        <v>141</v>
      </c>
      <c r="D184" s="834">
        <v>2</v>
      </c>
      <c r="E184" s="834">
        <v>100</v>
      </c>
      <c r="F184" s="834">
        <f t="shared" ref="F184:F189" si="15">D184*E184</f>
        <v>200</v>
      </c>
      <c r="G184" s="821"/>
      <c r="H184" s="819"/>
      <c r="I184" s="818"/>
    </row>
    <row r="185" outlineLevel="1" spans="1:9">
      <c r="A185" s="830" t="s">
        <v>167</v>
      </c>
      <c r="B185" s="830" t="s">
        <v>168</v>
      </c>
      <c r="C185" s="834" t="s">
        <v>141</v>
      </c>
      <c r="D185" s="834">
        <v>2</v>
      </c>
      <c r="E185" s="834">
        <v>150</v>
      </c>
      <c r="F185" s="834">
        <f t="shared" si="15"/>
        <v>300</v>
      </c>
      <c r="G185" s="821"/>
      <c r="H185" s="819"/>
      <c r="I185" s="818"/>
    </row>
    <row r="186" outlineLevel="1" spans="1:9">
      <c r="A186" s="830" t="s">
        <v>169</v>
      </c>
      <c r="B186" s="830" t="s">
        <v>170</v>
      </c>
      <c r="C186" s="834" t="s">
        <v>141</v>
      </c>
      <c r="D186" s="834">
        <v>2</v>
      </c>
      <c r="E186" s="834">
        <v>60</v>
      </c>
      <c r="F186" s="834">
        <f t="shared" si="15"/>
        <v>120</v>
      </c>
      <c r="G186" s="821"/>
      <c r="H186" s="819"/>
      <c r="I186" s="818"/>
    </row>
    <row r="187" outlineLevel="1" spans="1:9">
      <c r="A187" s="830" t="s">
        <v>171</v>
      </c>
      <c r="B187" s="830" t="s">
        <v>172</v>
      </c>
      <c r="C187" s="834" t="s">
        <v>141</v>
      </c>
      <c r="D187" s="834">
        <v>2</v>
      </c>
      <c r="E187" s="834">
        <v>60</v>
      </c>
      <c r="F187" s="834">
        <f t="shared" si="15"/>
        <v>120</v>
      </c>
      <c r="G187" s="821"/>
      <c r="H187" s="819"/>
      <c r="I187" s="818"/>
    </row>
    <row r="188" outlineLevel="1" spans="1:9">
      <c r="A188" s="830" t="s">
        <v>173</v>
      </c>
      <c r="B188" s="830" t="s">
        <v>174</v>
      </c>
      <c r="C188" s="834" t="s">
        <v>141</v>
      </c>
      <c r="D188" s="834">
        <v>3</v>
      </c>
      <c r="E188" s="834">
        <v>60</v>
      </c>
      <c r="F188" s="834">
        <f t="shared" si="15"/>
        <v>180</v>
      </c>
      <c r="G188" s="821"/>
      <c r="H188" s="819"/>
      <c r="I188" s="818"/>
    </row>
    <row r="189" outlineLevel="1" spans="1:9">
      <c r="A189" s="830" t="s">
        <v>175</v>
      </c>
      <c r="B189" s="830" t="s">
        <v>161</v>
      </c>
      <c r="C189" s="834" t="s">
        <v>141</v>
      </c>
      <c r="D189" s="834">
        <v>4</v>
      </c>
      <c r="E189" s="834">
        <v>60</v>
      </c>
      <c r="F189" s="834">
        <f t="shared" si="15"/>
        <v>240</v>
      </c>
      <c r="G189" s="821"/>
      <c r="H189" s="819"/>
      <c r="I189" s="818"/>
    </row>
    <row r="190" outlineLevel="1" spans="1:9">
      <c r="A190" s="830"/>
      <c r="B190" s="830"/>
      <c r="C190" s="834"/>
      <c r="D190" s="834"/>
      <c r="E190" s="834"/>
      <c r="F190" s="834"/>
      <c r="G190" s="821"/>
      <c r="H190" s="819"/>
      <c r="I190" s="818"/>
    </row>
    <row r="191" outlineLevel="1" spans="1:9">
      <c r="A191" s="830"/>
      <c r="B191" s="830"/>
      <c r="C191" s="834"/>
      <c r="D191" s="834"/>
      <c r="E191" s="834"/>
      <c r="F191" s="834"/>
      <c r="G191" s="821"/>
      <c r="H191" s="819"/>
      <c r="I191" s="818"/>
    </row>
    <row r="192" outlineLevel="1" spans="1:9">
      <c r="A192" s="830"/>
      <c r="B192" s="830"/>
      <c r="C192" s="834"/>
      <c r="D192" s="834"/>
      <c r="E192" s="834"/>
      <c r="F192" s="834"/>
      <c r="G192" s="821"/>
      <c r="H192" s="819"/>
      <c r="I192" s="818"/>
    </row>
    <row r="193" outlineLevel="1" spans="1:9">
      <c r="A193" s="830"/>
      <c r="B193" s="830"/>
      <c r="C193" s="834"/>
      <c r="D193" s="834"/>
      <c r="E193" s="834"/>
      <c r="F193" s="834"/>
      <c r="G193" s="821"/>
      <c r="H193" s="819"/>
      <c r="I193" s="818"/>
    </row>
    <row r="194" outlineLevel="1" spans="1:9">
      <c r="A194" s="830"/>
      <c r="B194" s="830"/>
      <c r="C194" s="834"/>
      <c r="D194" s="834"/>
      <c r="E194" s="834"/>
      <c r="F194" s="834"/>
      <c r="G194" s="821"/>
      <c r="H194" s="819"/>
      <c r="I194" s="818"/>
    </row>
    <row r="195" outlineLevel="1" spans="1:9">
      <c r="A195" s="830"/>
      <c r="B195" s="830"/>
      <c r="C195" s="834"/>
      <c r="D195" s="834"/>
      <c r="E195" s="834"/>
      <c r="F195" s="834"/>
      <c r="G195" s="821"/>
      <c r="H195" s="819"/>
      <c r="I195" s="818"/>
    </row>
    <row r="196" outlineLevel="1" spans="1:9">
      <c r="A196" s="830"/>
      <c r="B196" s="830"/>
      <c r="C196" s="834"/>
      <c r="D196" s="834"/>
      <c r="E196" s="834"/>
      <c r="F196" s="834"/>
      <c r="G196" s="821"/>
      <c r="H196" s="819"/>
      <c r="I196" s="818"/>
    </row>
    <row r="197" outlineLevel="1" spans="1:9">
      <c r="A197" s="830"/>
      <c r="B197" s="830"/>
      <c r="C197" s="834"/>
      <c r="D197" s="834"/>
      <c r="E197" s="834"/>
      <c r="F197" s="834"/>
      <c r="G197" s="821"/>
      <c r="H197" s="819"/>
      <c r="I197" s="818"/>
    </row>
    <row r="198" outlineLevel="1" spans="1:9">
      <c r="A198" s="830"/>
      <c r="B198" s="830"/>
      <c r="C198" s="834"/>
      <c r="D198" s="834"/>
      <c r="E198" s="834"/>
      <c r="F198" s="834"/>
      <c r="G198" s="821"/>
      <c r="H198" s="819"/>
      <c r="I198" s="818"/>
    </row>
    <row r="199" ht="100.05" customHeight="1"/>
    <row r="200" s="814" customFormat="1" ht="26.25" spans="1:9">
      <c r="A200" s="822" t="s">
        <v>176</v>
      </c>
      <c r="B200" s="822"/>
      <c r="C200" s="822"/>
      <c r="D200" s="822"/>
      <c r="E200" s="822"/>
      <c r="F200" s="849">
        <f>SUM(F202:F217)</f>
        <v>2900</v>
      </c>
      <c r="G200" s="822"/>
      <c r="H200" s="822"/>
      <c r="I200" s="822"/>
    </row>
    <row r="201" s="817" customFormat="1" spans="1:9">
      <c r="A201" s="836" t="s">
        <v>134</v>
      </c>
      <c r="B201" s="836" t="s">
        <v>27</v>
      </c>
      <c r="C201" s="829" t="s">
        <v>135</v>
      </c>
      <c r="D201" s="837" t="s">
        <v>136</v>
      </c>
      <c r="E201" s="837" t="s">
        <v>137</v>
      </c>
      <c r="F201" s="837" t="s">
        <v>138</v>
      </c>
    </row>
    <row r="202" outlineLevel="1" spans="1:9">
      <c r="A202" s="830" t="s">
        <v>177</v>
      </c>
      <c r="B202" s="830" t="s">
        <v>178</v>
      </c>
      <c r="C202" s="834" t="s">
        <v>141</v>
      </c>
      <c r="D202" s="834">
        <v>3</v>
      </c>
      <c r="E202" s="834">
        <v>200</v>
      </c>
      <c r="F202" s="834">
        <f>D202*E202</f>
        <v>600</v>
      </c>
      <c r="G202" s="821"/>
      <c r="H202" s="819"/>
      <c r="I202" s="818"/>
    </row>
    <row r="203" outlineLevel="1" spans="1:9">
      <c r="A203" s="830" t="s">
        <v>179</v>
      </c>
      <c r="B203" s="830" t="s">
        <v>180</v>
      </c>
      <c r="C203" s="834" t="s">
        <v>141</v>
      </c>
      <c r="D203" s="834">
        <v>3</v>
      </c>
      <c r="E203" s="834">
        <v>250</v>
      </c>
      <c r="F203" s="834">
        <f t="shared" ref="F203:F206" si="16">D203*E203</f>
        <v>750</v>
      </c>
      <c r="G203" s="821"/>
      <c r="H203" s="819"/>
      <c r="I203" s="818"/>
    </row>
    <row r="204" outlineLevel="1" spans="1:9">
      <c r="A204" s="830" t="s">
        <v>181</v>
      </c>
      <c r="B204" s="830" t="s">
        <v>182</v>
      </c>
      <c r="C204" s="834" t="s">
        <v>141</v>
      </c>
      <c r="D204" s="834">
        <v>4</v>
      </c>
      <c r="E204" s="834">
        <v>100</v>
      </c>
      <c r="F204" s="834">
        <f t="shared" si="16"/>
        <v>400</v>
      </c>
      <c r="G204" s="821"/>
      <c r="H204" s="819"/>
      <c r="I204" s="818"/>
    </row>
    <row r="205" outlineLevel="1" spans="1:9">
      <c r="A205" s="830" t="s">
        <v>183</v>
      </c>
      <c r="B205" s="830" t="s">
        <v>184</v>
      </c>
      <c r="C205" s="834" t="s">
        <v>141</v>
      </c>
      <c r="D205" s="834">
        <v>2</v>
      </c>
      <c r="E205" s="834">
        <v>150</v>
      </c>
      <c r="F205" s="834">
        <f t="shared" si="16"/>
        <v>300</v>
      </c>
      <c r="G205" s="821"/>
      <c r="H205" s="819"/>
      <c r="I205" s="818"/>
    </row>
    <row r="206" outlineLevel="1" spans="1:9">
      <c r="A206" s="830" t="s">
        <v>185</v>
      </c>
      <c r="B206" s="830" t="s">
        <v>186</v>
      </c>
      <c r="C206" s="834" t="s">
        <v>141</v>
      </c>
      <c r="D206" s="834">
        <v>1</v>
      </c>
      <c r="E206" s="834">
        <v>850</v>
      </c>
      <c r="F206" s="834">
        <f t="shared" si="16"/>
        <v>850</v>
      </c>
      <c r="G206" s="821"/>
      <c r="H206" s="819"/>
      <c r="I206" s="818"/>
    </row>
    <row r="207" outlineLevel="1" spans="1:9">
      <c r="A207" s="830"/>
      <c r="B207" s="830"/>
      <c r="C207" s="834"/>
      <c r="D207" s="834"/>
      <c r="E207" s="834"/>
      <c r="F207" s="834"/>
      <c r="G207" s="821"/>
      <c r="H207" s="819"/>
      <c r="I207" s="818"/>
    </row>
    <row r="208" outlineLevel="1" spans="1:9">
      <c r="A208" s="830"/>
      <c r="B208" s="830"/>
      <c r="C208" s="834"/>
      <c r="D208" s="834"/>
      <c r="E208" s="834"/>
      <c r="F208" s="834"/>
      <c r="G208" s="821"/>
      <c r="H208" s="819"/>
      <c r="I208" s="818"/>
    </row>
    <row r="209" outlineLevel="1" spans="1:9">
      <c r="A209" s="830"/>
      <c r="B209" s="830"/>
      <c r="C209" s="834"/>
      <c r="D209" s="834"/>
      <c r="E209" s="834"/>
      <c r="F209" s="834"/>
      <c r="G209" s="821"/>
      <c r="H209" s="819"/>
      <c r="I209" s="818"/>
    </row>
    <row r="210" outlineLevel="1" spans="1:9">
      <c r="A210" s="830"/>
      <c r="B210" s="830"/>
      <c r="C210" s="834"/>
      <c r="D210" s="834"/>
      <c r="E210" s="834"/>
      <c r="F210" s="834"/>
      <c r="G210" s="821"/>
      <c r="H210" s="819"/>
      <c r="I210" s="818"/>
    </row>
    <row r="211" outlineLevel="1" spans="1:9">
      <c r="A211" s="830"/>
      <c r="B211" s="830"/>
      <c r="C211" s="834"/>
      <c r="D211" s="834"/>
      <c r="E211" s="834"/>
      <c r="F211" s="834"/>
      <c r="G211" s="821"/>
      <c r="H211" s="819"/>
      <c r="I211" s="818"/>
    </row>
    <row r="212" outlineLevel="1" spans="1:9">
      <c r="A212" s="830"/>
      <c r="B212" s="830"/>
      <c r="C212" s="834"/>
      <c r="D212" s="834"/>
      <c r="E212" s="834"/>
      <c r="F212" s="834"/>
      <c r="G212" s="821"/>
      <c r="H212" s="819"/>
      <c r="I212" s="818"/>
    </row>
    <row r="213" outlineLevel="1" spans="1:9">
      <c r="A213" s="830"/>
      <c r="B213" s="830"/>
      <c r="C213" s="834"/>
      <c r="D213" s="834"/>
      <c r="E213" s="834"/>
      <c r="F213" s="834"/>
      <c r="G213" s="821"/>
      <c r="H213" s="819"/>
      <c r="I213" s="818"/>
    </row>
    <row r="214" outlineLevel="1" spans="1:9">
      <c r="A214" s="830"/>
      <c r="B214" s="830"/>
      <c r="C214" s="834"/>
      <c r="D214" s="834"/>
      <c r="E214" s="834"/>
      <c r="F214" s="834"/>
      <c r="G214" s="821"/>
      <c r="H214" s="819"/>
      <c r="I214" s="818"/>
    </row>
    <row r="215" outlineLevel="1" spans="1:9">
      <c r="A215" s="830"/>
      <c r="B215" s="830"/>
      <c r="C215" s="834"/>
      <c r="D215" s="834"/>
      <c r="E215" s="834"/>
      <c r="F215" s="834"/>
      <c r="G215" s="821"/>
      <c r="H215" s="819"/>
      <c r="I215" s="818"/>
    </row>
    <row r="216" outlineLevel="1" spans="1:9">
      <c r="A216" s="830"/>
      <c r="B216" s="830"/>
      <c r="C216" s="834"/>
      <c r="D216" s="834"/>
      <c r="E216" s="834"/>
      <c r="F216" s="834"/>
      <c r="G216" s="821"/>
      <c r="H216" s="819"/>
      <c r="I216" s="818"/>
    </row>
    <row r="217" outlineLevel="1" spans="1:9">
      <c r="A217" s="830"/>
      <c r="B217" s="830"/>
      <c r="C217" s="834"/>
      <c r="D217" s="834"/>
      <c r="E217" s="834"/>
      <c r="F217" s="834"/>
      <c r="G217" s="821"/>
      <c r="H217" s="819"/>
      <c r="I217" s="818"/>
    </row>
    <row r="218" ht="100.05" customHeight="1"/>
    <row r="219" s="814" customFormat="1" ht="26.25" spans="1:9">
      <c r="A219" s="822" t="s">
        <v>187</v>
      </c>
      <c r="B219" s="822"/>
      <c r="C219" s="822"/>
      <c r="D219" s="822"/>
      <c r="E219" s="822"/>
      <c r="F219" s="849">
        <f>SUM(F221:F236)</f>
        <v>2750</v>
      </c>
      <c r="G219" s="822"/>
      <c r="H219" s="822"/>
      <c r="I219" s="822"/>
    </row>
    <row r="220" s="817" customFormat="1" spans="1:9">
      <c r="A220" s="836" t="s">
        <v>134</v>
      </c>
      <c r="B220" s="836" t="s">
        <v>27</v>
      </c>
      <c r="C220" s="829" t="s">
        <v>135</v>
      </c>
      <c r="D220" s="837" t="s">
        <v>136</v>
      </c>
      <c r="E220" s="837" t="s">
        <v>137</v>
      </c>
      <c r="F220" s="837" t="s">
        <v>138</v>
      </c>
    </row>
    <row r="221" outlineLevel="1" spans="1:9">
      <c r="A221" s="830" t="s">
        <v>188</v>
      </c>
      <c r="B221" s="830" t="s">
        <v>189</v>
      </c>
      <c r="C221" s="834" t="s">
        <v>141</v>
      </c>
      <c r="D221" s="834">
        <v>1</v>
      </c>
      <c r="E221" s="834">
        <v>2000</v>
      </c>
      <c r="F221" s="834">
        <f>D221*E221</f>
        <v>2000</v>
      </c>
      <c r="G221" s="821"/>
      <c r="H221" s="819"/>
      <c r="I221" s="818"/>
    </row>
    <row r="222" outlineLevel="1" spans="1:9">
      <c r="A222" s="830" t="s">
        <v>190</v>
      </c>
      <c r="B222" s="830" t="s">
        <v>191</v>
      </c>
      <c r="C222" s="834" t="s">
        <v>141</v>
      </c>
      <c r="D222" s="834">
        <v>8</v>
      </c>
      <c r="E222" s="834">
        <v>40</v>
      </c>
      <c r="F222" s="834">
        <f t="shared" ref="F222:F224" si="17">D222*E222</f>
        <v>320</v>
      </c>
      <c r="G222" s="821"/>
      <c r="H222" s="819"/>
      <c r="I222" s="818"/>
    </row>
    <row r="223" outlineLevel="1" spans="1:9">
      <c r="A223" s="830" t="s">
        <v>192</v>
      </c>
      <c r="B223" s="830" t="s">
        <v>193</v>
      </c>
      <c r="C223" s="834" t="s">
        <v>141</v>
      </c>
      <c r="D223" s="834">
        <v>2</v>
      </c>
      <c r="E223" s="834">
        <v>90</v>
      </c>
      <c r="F223" s="834">
        <f t="shared" si="17"/>
        <v>180</v>
      </c>
      <c r="G223" s="821"/>
      <c r="H223" s="819"/>
      <c r="I223" s="818"/>
    </row>
    <row r="224" outlineLevel="1" spans="1:9">
      <c r="A224" s="830" t="s">
        <v>194</v>
      </c>
      <c r="B224" s="830" t="s">
        <v>140</v>
      </c>
      <c r="C224" s="834" t="s">
        <v>141</v>
      </c>
      <c r="D224" s="834">
        <v>1</v>
      </c>
      <c r="E224" s="834">
        <v>250</v>
      </c>
      <c r="F224" s="834">
        <f t="shared" si="17"/>
        <v>250</v>
      </c>
      <c r="G224" s="821"/>
      <c r="H224" s="819"/>
      <c r="I224" s="818"/>
    </row>
    <row r="225" outlineLevel="1" spans="1:9">
      <c r="A225" s="830"/>
      <c r="B225" s="830"/>
      <c r="C225" s="834"/>
      <c r="D225" s="834"/>
      <c r="E225" s="834"/>
      <c r="F225" s="834"/>
      <c r="G225" s="821"/>
      <c r="H225" s="819"/>
      <c r="I225" s="818"/>
    </row>
    <row r="226" outlineLevel="1" spans="1:9">
      <c r="A226" s="830"/>
      <c r="B226" s="830"/>
      <c r="C226" s="834"/>
      <c r="D226" s="834"/>
      <c r="E226" s="834"/>
      <c r="F226" s="834"/>
      <c r="G226" s="821"/>
      <c r="H226" s="819"/>
      <c r="I226" s="818"/>
    </row>
    <row r="227" outlineLevel="1" spans="1:9">
      <c r="A227" s="830"/>
      <c r="B227" s="830"/>
      <c r="C227" s="834"/>
      <c r="D227" s="834"/>
      <c r="E227" s="834"/>
      <c r="F227" s="834"/>
      <c r="G227" s="821"/>
      <c r="H227" s="819"/>
      <c r="I227" s="818"/>
    </row>
    <row r="228" outlineLevel="1" spans="1:9">
      <c r="A228" s="830"/>
      <c r="B228" s="830"/>
      <c r="C228" s="834"/>
      <c r="D228" s="834"/>
      <c r="E228" s="834"/>
      <c r="F228" s="834"/>
      <c r="G228" s="821"/>
      <c r="H228" s="819"/>
      <c r="I228" s="818"/>
    </row>
    <row r="229" outlineLevel="1" spans="1:9">
      <c r="A229" s="830"/>
      <c r="B229" s="830"/>
      <c r="C229" s="834"/>
      <c r="D229" s="834"/>
      <c r="E229" s="834"/>
      <c r="F229" s="834"/>
      <c r="G229" s="821"/>
      <c r="H229" s="819"/>
      <c r="I229" s="818"/>
    </row>
    <row r="230" outlineLevel="1" spans="1:9">
      <c r="A230" s="830"/>
      <c r="B230" s="830"/>
      <c r="C230" s="834"/>
      <c r="D230" s="834"/>
      <c r="E230" s="834"/>
      <c r="F230" s="834"/>
      <c r="G230" s="821"/>
      <c r="H230" s="819"/>
      <c r="I230" s="818"/>
    </row>
    <row r="231" outlineLevel="1" spans="1:9">
      <c r="A231" s="830"/>
      <c r="B231" s="830"/>
      <c r="C231" s="834"/>
      <c r="D231" s="834"/>
      <c r="E231" s="834"/>
      <c r="F231" s="834"/>
      <c r="G231" s="821"/>
      <c r="H231" s="819"/>
      <c r="I231" s="818"/>
    </row>
    <row r="232" outlineLevel="1" spans="1:9">
      <c r="A232" s="830"/>
      <c r="B232" s="830"/>
      <c r="C232" s="834"/>
      <c r="D232" s="834"/>
      <c r="E232" s="834"/>
      <c r="F232" s="834"/>
      <c r="G232" s="821"/>
      <c r="H232" s="819"/>
      <c r="I232" s="818"/>
    </row>
    <row r="233" outlineLevel="1" spans="1:9">
      <c r="A233" s="830"/>
      <c r="B233" s="830"/>
      <c r="C233" s="834"/>
      <c r="D233" s="834"/>
      <c r="E233" s="834"/>
      <c r="F233" s="834"/>
      <c r="G233" s="821"/>
      <c r="H233" s="819"/>
      <c r="I233" s="818"/>
    </row>
    <row r="234" outlineLevel="1" spans="1:9">
      <c r="A234" s="830"/>
      <c r="B234" s="830"/>
      <c r="C234" s="834"/>
      <c r="D234" s="834"/>
      <c r="E234" s="834"/>
      <c r="F234" s="834"/>
      <c r="G234" s="821"/>
      <c r="H234" s="819"/>
      <c r="I234" s="818"/>
    </row>
    <row r="235" outlineLevel="1" spans="1:9">
      <c r="A235" s="830"/>
      <c r="B235" s="830"/>
      <c r="C235" s="834"/>
      <c r="D235" s="834"/>
      <c r="E235" s="834"/>
      <c r="F235" s="834"/>
      <c r="G235" s="821"/>
      <c r="H235" s="819"/>
      <c r="I235" s="818"/>
    </row>
    <row r="236" outlineLevel="1" spans="1:9">
      <c r="A236" s="830"/>
      <c r="B236" s="830"/>
      <c r="C236" s="834"/>
      <c r="D236" s="834"/>
      <c r="E236" s="834"/>
      <c r="F236" s="834"/>
      <c r="G236" s="821"/>
      <c r="H236" s="819"/>
      <c r="I236" s="818"/>
    </row>
    <row r="237" ht="100.05" customHeight="1"/>
    <row r="238" s="814" customFormat="1" ht="26.25" spans="1:9">
      <c r="A238" s="822" t="s">
        <v>195</v>
      </c>
      <c r="B238" s="822"/>
      <c r="C238" s="822"/>
      <c r="D238" s="822"/>
      <c r="E238" s="822"/>
      <c r="F238" s="850">
        <f>SUM(F240:F255)</f>
        <v>11250</v>
      </c>
      <c r="G238" s="822"/>
      <c r="H238" s="822"/>
      <c r="I238" s="822"/>
    </row>
    <row r="239" s="817" customFormat="1" spans="1:9">
      <c r="A239" s="836" t="s">
        <v>134</v>
      </c>
      <c r="B239" s="836" t="s">
        <v>27</v>
      </c>
      <c r="C239" s="829" t="s">
        <v>135</v>
      </c>
      <c r="D239" s="837" t="s">
        <v>136</v>
      </c>
      <c r="E239" s="837" t="s">
        <v>137</v>
      </c>
      <c r="F239" s="837" t="s">
        <v>138</v>
      </c>
    </row>
    <row r="240" outlineLevel="1" spans="1:9">
      <c r="A240" s="830">
        <v>1</v>
      </c>
      <c r="B240" s="830" t="s">
        <v>196</v>
      </c>
      <c r="C240" s="834" t="s">
        <v>141</v>
      </c>
      <c r="D240" s="834">
        <v>9</v>
      </c>
      <c r="E240" s="834">
        <v>200</v>
      </c>
      <c r="F240" s="834">
        <f>D240*E240</f>
        <v>1800</v>
      </c>
      <c r="G240" s="821"/>
      <c r="H240" s="819"/>
      <c r="I240" s="818"/>
    </row>
    <row r="241" outlineLevel="1" spans="1:9">
      <c r="A241" s="830">
        <v>2</v>
      </c>
      <c r="B241" s="830" t="s">
        <v>197</v>
      </c>
      <c r="C241" s="834" t="s">
        <v>141</v>
      </c>
      <c r="D241" s="834">
        <v>9</v>
      </c>
      <c r="E241" s="834">
        <v>300</v>
      </c>
      <c r="F241" s="834">
        <f t="shared" ref="F241:F253" si="18">D241*E241</f>
        <v>2700</v>
      </c>
      <c r="G241" s="821"/>
      <c r="H241" s="819"/>
      <c r="I241" s="818"/>
    </row>
    <row r="242" outlineLevel="1" spans="1:9">
      <c r="A242" s="830">
        <v>3</v>
      </c>
      <c r="B242" s="830" t="s">
        <v>198</v>
      </c>
      <c r="C242" s="834" t="s">
        <v>141</v>
      </c>
      <c r="D242" s="834">
        <v>6</v>
      </c>
      <c r="E242" s="834">
        <v>250</v>
      </c>
      <c r="F242" s="834">
        <f t="shared" si="18"/>
        <v>1500</v>
      </c>
      <c r="G242" s="821"/>
      <c r="H242" s="819"/>
      <c r="I242" s="818"/>
    </row>
    <row r="243" outlineLevel="1" spans="1:9">
      <c r="A243" s="830">
        <v>4</v>
      </c>
      <c r="B243" s="830" t="s">
        <v>199</v>
      </c>
      <c r="C243" s="834" t="s">
        <v>141</v>
      </c>
      <c r="D243" s="834">
        <v>3</v>
      </c>
      <c r="E243" s="834">
        <v>150</v>
      </c>
      <c r="F243" s="834">
        <f t="shared" si="18"/>
        <v>450</v>
      </c>
      <c r="G243" s="821"/>
      <c r="H243" s="819"/>
      <c r="I243" s="818"/>
    </row>
    <row r="244" outlineLevel="1" spans="1:9">
      <c r="A244" s="830">
        <v>5</v>
      </c>
      <c r="B244" s="830" t="s">
        <v>200</v>
      </c>
      <c r="C244" s="834" t="s">
        <v>141</v>
      </c>
      <c r="D244" s="834">
        <v>1</v>
      </c>
      <c r="E244" s="834">
        <v>250</v>
      </c>
      <c r="F244" s="834">
        <f t="shared" si="18"/>
        <v>250</v>
      </c>
      <c r="G244" s="821"/>
      <c r="H244" s="819"/>
      <c r="I244" s="818"/>
    </row>
    <row r="245" outlineLevel="1" spans="1:9">
      <c r="A245" s="830">
        <v>6</v>
      </c>
      <c r="B245" s="830" t="s">
        <v>201</v>
      </c>
      <c r="C245" s="834" t="s">
        <v>141</v>
      </c>
      <c r="D245" s="834">
        <v>1</v>
      </c>
      <c r="E245" s="834">
        <v>400</v>
      </c>
      <c r="F245" s="834">
        <f t="shared" si="18"/>
        <v>400</v>
      </c>
      <c r="G245" s="821"/>
      <c r="H245" s="819"/>
      <c r="I245" s="818"/>
    </row>
    <row r="246" outlineLevel="1" spans="1:9">
      <c r="A246" s="830">
        <v>7</v>
      </c>
      <c r="B246" s="830" t="s">
        <v>202</v>
      </c>
      <c r="C246" s="834" t="s">
        <v>141</v>
      </c>
      <c r="D246" s="834">
        <v>1</v>
      </c>
      <c r="E246" s="834">
        <v>200</v>
      </c>
      <c r="F246" s="834">
        <f t="shared" si="18"/>
        <v>200</v>
      </c>
      <c r="G246" s="821"/>
      <c r="H246" s="819"/>
      <c r="I246" s="818"/>
    </row>
    <row r="247" outlineLevel="1" spans="1:9">
      <c r="A247" s="830">
        <v>8</v>
      </c>
      <c r="B247" s="830" t="s">
        <v>203</v>
      </c>
      <c r="C247" s="834" t="s">
        <v>141</v>
      </c>
      <c r="D247" s="834">
        <v>1</v>
      </c>
      <c r="E247" s="834">
        <v>900</v>
      </c>
      <c r="F247" s="834">
        <f t="shared" si="18"/>
        <v>900</v>
      </c>
      <c r="G247" s="821"/>
      <c r="H247" s="819"/>
      <c r="I247" s="818"/>
    </row>
    <row r="248" outlineLevel="1" spans="1:9">
      <c r="A248" s="830">
        <v>9</v>
      </c>
      <c r="B248" s="830" t="s">
        <v>204</v>
      </c>
      <c r="C248" s="834" t="s">
        <v>141</v>
      </c>
      <c r="D248" s="834">
        <v>1</v>
      </c>
      <c r="E248" s="834">
        <v>300</v>
      </c>
      <c r="F248" s="834">
        <f t="shared" si="18"/>
        <v>300</v>
      </c>
      <c r="G248" s="821"/>
      <c r="H248" s="819"/>
      <c r="I248" s="818"/>
    </row>
    <row r="249" outlineLevel="1" spans="1:9">
      <c r="A249" s="830">
        <v>10</v>
      </c>
      <c r="B249" s="830" t="s">
        <v>205</v>
      </c>
      <c r="C249" s="834" t="s">
        <v>141</v>
      </c>
      <c r="D249" s="834">
        <v>9</v>
      </c>
      <c r="E249" s="834">
        <v>50</v>
      </c>
      <c r="F249" s="834">
        <f t="shared" si="18"/>
        <v>450</v>
      </c>
      <c r="G249" s="821"/>
      <c r="H249" s="819"/>
      <c r="I249" s="818"/>
    </row>
    <row r="250" outlineLevel="1" spans="1:9">
      <c r="A250" s="830">
        <v>11</v>
      </c>
      <c r="B250" s="830" t="s">
        <v>206</v>
      </c>
      <c r="C250" s="834" t="s">
        <v>141</v>
      </c>
      <c r="D250" s="834">
        <v>1</v>
      </c>
      <c r="E250" s="834">
        <v>800</v>
      </c>
      <c r="F250" s="834">
        <f t="shared" si="18"/>
        <v>800</v>
      </c>
      <c r="G250" s="821"/>
      <c r="H250" s="819"/>
      <c r="I250" s="818"/>
    </row>
    <row r="251" outlineLevel="1" spans="1:9">
      <c r="A251" s="830">
        <v>12</v>
      </c>
      <c r="B251" s="830" t="s">
        <v>207</v>
      </c>
      <c r="C251" s="834" t="s">
        <v>141</v>
      </c>
      <c r="D251" s="834">
        <v>1</v>
      </c>
      <c r="E251" s="834">
        <v>750</v>
      </c>
      <c r="F251" s="834">
        <f t="shared" si="18"/>
        <v>750</v>
      </c>
      <c r="G251" s="821"/>
      <c r="H251" s="819"/>
      <c r="I251" s="818"/>
    </row>
    <row r="252" outlineLevel="1" spans="1:9">
      <c r="A252" s="830">
        <v>13</v>
      </c>
      <c r="B252" s="830" t="s">
        <v>208</v>
      </c>
      <c r="C252" s="834" t="s">
        <v>141</v>
      </c>
      <c r="D252" s="834">
        <v>1</v>
      </c>
      <c r="E252" s="834">
        <v>600</v>
      </c>
      <c r="F252" s="834">
        <f t="shared" si="18"/>
        <v>600</v>
      </c>
      <c r="G252" s="821"/>
      <c r="H252" s="819"/>
      <c r="I252" s="818"/>
    </row>
    <row r="253" outlineLevel="1" spans="1:9">
      <c r="A253" s="830">
        <v>14</v>
      </c>
      <c r="B253" s="830" t="s">
        <v>168</v>
      </c>
      <c r="C253" s="834" t="s">
        <v>141</v>
      </c>
      <c r="D253" s="834">
        <v>1</v>
      </c>
      <c r="E253" s="834">
        <v>150</v>
      </c>
      <c r="F253" s="834">
        <f t="shared" si="18"/>
        <v>150</v>
      </c>
      <c r="G253" s="821"/>
      <c r="H253" s="819"/>
      <c r="I253" s="818"/>
    </row>
    <row r="254" outlineLevel="1" spans="1:9">
      <c r="A254" s="830"/>
      <c r="B254" s="830"/>
      <c r="C254" s="834"/>
      <c r="D254" s="834"/>
      <c r="E254" s="834"/>
      <c r="F254" s="834"/>
      <c r="G254" s="821"/>
      <c r="H254" s="819"/>
      <c r="I254" s="818"/>
    </row>
    <row r="255" outlineLevel="1" spans="1:9">
      <c r="A255" s="830"/>
      <c r="B255" s="830"/>
      <c r="C255" s="834"/>
      <c r="D255" s="834"/>
      <c r="E255" s="834"/>
      <c r="F255" s="834"/>
      <c r="G255" s="821"/>
      <c r="H255" s="819"/>
      <c r="I255" s="818"/>
    </row>
    <row r="256" ht="100.05" customHeight="1"/>
    <row r="257" s="814" customFormat="1" ht="26.25" spans="1:9">
      <c r="A257" s="822" t="s">
        <v>209</v>
      </c>
      <c r="B257" s="822"/>
      <c r="C257" s="822"/>
      <c r="D257" s="822"/>
      <c r="E257" s="822"/>
      <c r="F257" s="850">
        <f>SUM(F259:F274)</f>
        <v>7200</v>
      </c>
      <c r="G257" s="822"/>
      <c r="H257" s="822"/>
      <c r="I257" s="822"/>
    </row>
    <row r="258" s="817" customFormat="1" spans="1:9">
      <c r="A258" s="836" t="s">
        <v>134</v>
      </c>
      <c r="B258" s="836" t="s">
        <v>27</v>
      </c>
      <c r="C258" s="829" t="s">
        <v>135</v>
      </c>
      <c r="D258" s="837" t="s">
        <v>136</v>
      </c>
      <c r="E258" s="837" t="s">
        <v>137</v>
      </c>
      <c r="F258" s="837" t="s">
        <v>138</v>
      </c>
    </row>
    <row r="259" outlineLevel="1" spans="1:9">
      <c r="A259" s="830">
        <v>1</v>
      </c>
      <c r="B259" s="830" t="s">
        <v>196</v>
      </c>
      <c r="C259" s="834" t="s">
        <v>141</v>
      </c>
      <c r="D259" s="834">
        <v>3</v>
      </c>
      <c r="E259" s="834">
        <v>200</v>
      </c>
      <c r="F259" s="834">
        <f>D259*E259</f>
        <v>600</v>
      </c>
      <c r="G259" s="821"/>
      <c r="H259" s="819"/>
      <c r="I259" s="818"/>
    </row>
    <row r="260" outlineLevel="1" spans="1:9">
      <c r="A260" s="830">
        <v>2</v>
      </c>
      <c r="B260" s="830" t="s">
        <v>197</v>
      </c>
      <c r="C260" s="834" t="s">
        <v>141</v>
      </c>
      <c r="D260" s="834">
        <v>3</v>
      </c>
      <c r="E260" s="834">
        <v>300</v>
      </c>
      <c r="F260" s="834">
        <f t="shared" ref="F260:F272" si="19">D260*E260</f>
        <v>900</v>
      </c>
      <c r="G260" s="821"/>
      <c r="H260" s="819"/>
      <c r="I260" s="818"/>
    </row>
    <row r="261" outlineLevel="1" spans="1:9">
      <c r="A261" s="830">
        <v>3</v>
      </c>
      <c r="B261" s="830" t="s">
        <v>198</v>
      </c>
      <c r="C261" s="834" t="s">
        <v>141</v>
      </c>
      <c r="D261" s="834">
        <v>3</v>
      </c>
      <c r="E261" s="834">
        <v>250</v>
      </c>
      <c r="F261" s="834">
        <f t="shared" si="19"/>
        <v>750</v>
      </c>
      <c r="G261" s="821"/>
      <c r="H261" s="819"/>
      <c r="I261" s="818"/>
    </row>
    <row r="262" outlineLevel="1" spans="1:9">
      <c r="A262" s="830">
        <v>4</v>
      </c>
      <c r="B262" s="830" t="s">
        <v>199</v>
      </c>
      <c r="C262" s="834" t="s">
        <v>141</v>
      </c>
      <c r="D262" s="834">
        <v>3</v>
      </c>
      <c r="E262" s="834">
        <v>150</v>
      </c>
      <c r="F262" s="834">
        <f t="shared" si="19"/>
        <v>450</v>
      </c>
      <c r="G262" s="821"/>
      <c r="H262" s="819"/>
      <c r="I262" s="818"/>
    </row>
    <row r="263" outlineLevel="1" spans="1:9">
      <c r="A263" s="830">
        <v>5</v>
      </c>
      <c r="B263" s="830" t="s">
        <v>200</v>
      </c>
      <c r="C263" s="834" t="s">
        <v>141</v>
      </c>
      <c r="D263" s="834">
        <v>1</v>
      </c>
      <c r="E263" s="834">
        <v>250</v>
      </c>
      <c r="F263" s="834">
        <f t="shared" si="19"/>
        <v>250</v>
      </c>
      <c r="G263" s="821"/>
      <c r="H263" s="819"/>
      <c r="I263" s="818"/>
    </row>
    <row r="264" outlineLevel="1" spans="1:9">
      <c r="A264" s="830">
        <v>6</v>
      </c>
      <c r="B264" s="830" t="s">
        <v>201</v>
      </c>
      <c r="C264" s="834" t="s">
        <v>141</v>
      </c>
      <c r="D264" s="834">
        <v>1</v>
      </c>
      <c r="E264" s="834">
        <v>400</v>
      </c>
      <c r="F264" s="834">
        <f t="shared" si="19"/>
        <v>400</v>
      </c>
      <c r="G264" s="821"/>
      <c r="H264" s="819"/>
      <c r="I264" s="818"/>
    </row>
    <row r="265" outlineLevel="1" spans="1:9">
      <c r="A265" s="830">
        <v>7</v>
      </c>
      <c r="B265" s="830" t="s">
        <v>202</v>
      </c>
      <c r="C265" s="834" t="s">
        <v>141</v>
      </c>
      <c r="D265" s="834">
        <v>1</v>
      </c>
      <c r="E265" s="834">
        <v>200</v>
      </c>
      <c r="F265" s="834">
        <f t="shared" si="19"/>
        <v>200</v>
      </c>
      <c r="G265" s="821"/>
      <c r="H265" s="819"/>
      <c r="I265" s="818"/>
    </row>
    <row r="266" outlineLevel="1" spans="1:9">
      <c r="A266" s="830">
        <v>8</v>
      </c>
      <c r="B266" s="830" t="s">
        <v>203</v>
      </c>
      <c r="C266" s="834" t="s">
        <v>141</v>
      </c>
      <c r="D266" s="834">
        <v>1</v>
      </c>
      <c r="E266" s="834">
        <v>900</v>
      </c>
      <c r="F266" s="834">
        <f t="shared" si="19"/>
        <v>900</v>
      </c>
      <c r="G266" s="821"/>
      <c r="H266" s="819"/>
      <c r="I266" s="818"/>
    </row>
    <row r="267" outlineLevel="1" spans="1:9">
      <c r="A267" s="830">
        <v>9</v>
      </c>
      <c r="B267" s="830" t="s">
        <v>204</v>
      </c>
      <c r="C267" s="834" t="s">
        <v>141</v>
      </c>
      <c r="D267" s="834">
        <v>1</v>
      </c>
      <c r="E267" s="834">
        <v>300</v>
      </c>
      <c r="F267" s="834">
        <f t="shared" si="19"/>
        <v>300</v>
      </c>
      <c r="G267" s="821"/>
      <c r="H267" s="819"/>
      <c r="I267" s="818"/>
    </row>
    <row r="268" outlineLevel="1" spans="1:9">
      <c r="A268" s="830">
        <v>10</v>
      </c>
      <c r="B268" s="830" t="s">
        <v>205</v>
      </c>
      <c r="C268" s="834" t="s">
        <v>141</v>
      </c>
      <c r="D268" s="834">
        <v>3</v>
      </c>
      <c r="E268" s="834">
        <v>50</v>
      </c>
      <c r="F268" s="834">
        <f t="shared" si="19"/>
        <v>150</v>
      </c>
      <c r="G268" s="821"/>
      <c r="H268" s="819"/>
      <c r="I268" s="818"/>
    </row>
    <row r="269" outlineLevel="1" spans="1:9">
      <c r="A269" s="830">
        <v>11</v>
      </c>
      <c r="B269" s="830" t="s">
        <v>206</v>
      </c>
      <c r="C269" s="834" t="s">
        <v>141</v>
      </c>
      <c r="D269" s="834">
        <v>1</v>
      </c>
      <c r="E269" s="834">
        <v>800</v>
      </c>
      <c r="F269" s="834">
        <f t="shared" si="19"/>
        <v>800</v>
      </c>
      <c r="G269" s="821"/>
      <c r="H269" s="819"/>
      <c r="I269" s="818"/>
    </row>
    <row r="270" outlineLevel="1" spans="1:9">
      <c r="A270" s="830">
        <v>12</v>
      </c>
      <c r="B270" s="830" t="s">
        <v>207</v>
      </c>
      <c r="C270" s="834" t="s">
        <v>141</v>
      </c>
      <c r="D270" s="834">
        <v>1</v>
      </c>
      <c r="E270" s="834">
        <v>750</v>
      </c>
      <c r="F270" s="834">
        <f t="shared" si="19"/>
        <v>750</v>
      </c>
      <c r="G270" s="821"/>
      <c r="H270" s="819"/>
      <c r="I270" s="818"/>
    </row>
    <row r="271" outlineLevel="1" spans="1:9">
      <c r="A271" s="830">
        <v>13</v>
      </c>
      <c r="B271" s="830" t="s">
        <v>208</v>
      </c>
      <c r="C271" s="834" t="s">
        <v>141</v>
      </c>
      <c r="D271" s="834">
        <v>1</v>
      </c>
      <c r="E271" s="834">
        <v>600</v>
      </c>
      <c r="F271" s="834">
        <f t="shared" si="19"/>
        <v>600</v>
      </c>
      <c r="G271" s="821"/>
      <c r="H271" s="819"/>
      <c r="I271" s="818"/>
    </row>
    <row r="272" outlineLevel="1" spans="1:9">
      <c r="A272" s="830">
        <v>14</v>
      </c>
      <c r="B272" s="830" t="s">
        <v>168</v>
      </c>
      <c r="C272" s="834" t="s">
        <v>141</v>
      </c>
      <c r="D272" s="834">
        <v>1</v>
      </c>
      <c r="E272" s="834">
        <v>150</v>
      </c>
      <c r="F272" s="834">
        <f t="shared" si="19"/>
        <v>150</v>
      </c>
      <c r="G272" s="821"/>
      <c r="H272" s="819"/>
      <c r="I272" s="818"/>
    </row>
    <row r="273" outlineLevel="1" spans="1:9">
      <c r="A273" s="830"/>
      <c r="B273" s="830"/>
      <c r="C273" s="834"/>
      <c r="D273" s="834"/>
      <c r="E273" s="834"/>
      <c r="F273" s="834"/>
      <c r="G273" s="821"/>
      <c r="H273" s="819"/>
      <c r="I273" s="818"/>
    </row>
    <row r="274" outlineLevel="1" spans="1:9">
      <c r="A274" s="830"/>
      <c r="B274" s="830"/>
      <c r="C274" s="834"/>
      <c r="D274" s="834"/>
      <c r="E274" s="834"/>
      <c r="F274" s="834"/>
      <c r="G274" s="821"/>
      <c r="H274" s="819"/>
      <c r="I274" s="818"/>
    </row>
  </sheetData>
  <sheetProtection formatCells="0" formatColumns="0" formatRows="0" insertRows="0" insertColumns="0" deleteColumns="0" deleteRows="0" sort="0" autoFilter="0" pivotTables="0"/>
  <mergeCells count="1">
    <mergeCell ref="A2:I2"/>
  </mergeCells>
  <pageMargins left="0.787401575" right="0.787401575" top="0.984251969" bottom="0.984251969" header="0.492125985" footer="0.492125985"/>
  <pageSetup paperSize="9" scale="72"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Planilha4">
    <tabColor theme="0" tint="-0.499984740745262"/>
  </sheetPr>
  <dimension ref="A1:I60"/>
  <sheetViews>
    <sheetView showGridLines="0" zoomScale="115" zoomScaleNormal="115" workbookViewId="0">
      <pane xSplit="1" ySplit="2" topLeftCell="B9" activePane="bottomRight" state="frozen"/>
      <selection/>
      <selection pane="topRight"/>
      <selection pane="bottomLeft"/>
      <selection pane="bottomRight" activeCell="F12" sqref="F12"/>
    </sheetView>
  </sheetViews>
  <sheetFormatPr defaultColWidth="9" defaultRowHeight="12.75"/>
  <cols>
    <col min="1" max="1" width="6.1047619047619" customWidth="1"/>
    <col min="2" max="2" width="54.3333333333333" customWidth="1"/>
    <col min="3" max="3" width="10" customWidth="1"/>
    <col min="4" max="4" width="15.8857142857143" customWidth="1"/>
    <col min="5" max="5" width="15.8857142857143" style="34" customWidth="1"/>
    <col min="6" max="6" width="17.3333333333333" style="34" customWidth="1"/>
    <col min="7" max="7" width="8.88571428571429" style="807"/>
    <col min="239" max="239" width="6.1047619047619" customWidth="1"/>
    <col min="240" max="240" width="54.3333333333333" customWidth="1"/>
    <col min="241" max="241" width="8.43809523809524" customWidth="1"/>
    <col min="242" max="242" width="15.8857142857143" customWidth="1"/>
    <col min="243" max="243" width="14.3333333333333" customWidth="1"/>
    <col min="244" max="244" width="13.4380952380952" customWidth="1"/>
    <col min="245" max="245" width="13.1047619047619" customWidth="1"/>
    <col min="246" max="246" width="16.6666666666667" customWidth="1"/>
    <col min="247" max="247" width="18.8857142857143" customWidth="1"/>
    <col min="248" max="248" width="19.1047619047619" customWidth="1"/>
    <col min="249" max="249" width="17" customWidth="1"/>
    <col min="250" max="250" width="15.4380952380952" customWidth="1"/>
    <col min="251" max="251" width="18.1047619047619" customWidth="1"/>
    <col min="252" max="252" width="25.4380952380952" customWidth="1"/>
    <col min="253" max="253" width="14.8857142857143" customWidth="1"/>
    <col min="254" max="254" width="18" customWidth="1"/>
    <col min="255" max="255" width="21.8857142857143" customWidth="1"/>
    <col min="256" max="256" width="17" customWidth="1"/>
    <col min="257" max="257" width="21.4380952380952" customWidth="1"/>
    <col min="258" max="258" width="14.6666666666667" customWidth="1"/>
    <col min="259" max="259" width="17.1047619047619" customWidth="1"/>
    <col min="260" max="260" width="21.4380952380952" customWidth="1"/>
    <col min="261" max="261" width="15.4380952380952" customWidth="1"/>
    <col min="495" max="495" width="6.1047619047619" customWidth="1"/>
    <col min="496" max="496" width="54.3333333333333" customWidth="1"/>
    <col min="497" max="497" width="8.43809523809524" customWidth="1"/>
    <col min="498" max="498" width="15.8857142857143" customWidth="1"/>
    <col min="499" max="499" width="14.3333333333333" customWidth="1"/>
    <col min="500" max="500" width="13.4380952380952" customWidth="1"/>
    <col min="501" max="501" width="13.1047619047619" customWidth="1"/>
    <col min="502" max="502" width="16.6666666666667" customWidth="1"/>
    <col min="503" max="503" width="18.8857142857143" customWidth="1"/>
    <col min="504" max="504" width="19.1047619047619" customWidth="1"/>
    <col min="505" max="505" width="17" customWidth="1"/>
    <col min="506" max="506" width="15.4380952380952" customWidth="1"/>
    <col min="507" max="507" width="18.1047619047619" customWidth="1"/>
    <col min="508" max="508" width="25.4380952380952" customWidth="1"/>
    <col min="509" max="509" width="14.8857142857143" customWidth="1"/>
    <col min="510" max="510" width="18" customWidth="1"/>
    <col min="511" max="511" width="21.8857142857143" customWidth="1"/>
    <col min="512" max="512" width="17" customWidth="1"/>
    <col min="513" max="513" width="21.4380952380952" customWidth="1"/>
    <col min="514" max="514" width="14.6666666666667" customWidth="1"/>
    <col min="515" max="515" width="17.1047619047619" customWidth="1"/>
    <col min="516" max="516" width="21.4380952380952" customWidth="1"/>
    <col min="517" max="517" width="15.4380952380952" customWidth="1"/>
    <col min="751" max="751" width="6.1047619047619" customWidth="1"/>
    <col min="752" max="752" width="54.3333333333333" customWidth="1"/>
    <col min="753" max="753" width="8.43809523809524" customWidth="1"/>
    <col min="754" max="754" width="15.8857142857143" customWidth="1"/>
    <col min="755" max="755" width="14.3333333333333" customWidth="1"/>
    <col min="756" max="756" width="13.4380952380952" customWidth="1"/>
    <col min="757" max="757" width="13.1047619047619" customWidth="1"/>
    <col min="758" max="758" width="16.6666666666667" customWidth="1"/>
    <col min="759" max="759" width="18.8857142857143" customWidth="1"/>
    <col min="760" max="760" width="19.1047619047619" customWidth="1"/>
    <col min="761" max="761" width="17" customWidth="1"/>
    <col min="762" max="762" width="15.4380952380952" customWidth="1"/>
    <col min="763" max="763" width="18.1047619047619" customWidth="1"/>
    <col min="764" max="764" width="25.4380952380952" customWidth="1"/>
    <col min="765" max="765" width="14.8857142857143" customWidth="1"/>
    <col min="766" max="766" width="18" customWidth="1"/>
    <col min="767" max="767" width="21.8857142857143" customWidth="1"/>
    <col min="768" max="768" width="17" customWidth="1"/>
    <col min="769" max="769" width="21.4380952380952" customWidth="1"/>
    <col min="770" max="770" width="14.6666666666667" customWidth="1"/>
    <col min="771" max="771" width="17.1047619047619" customWidth="1"/>
    <col min="772" max="772" width="21.4380952380952" customWidth="1"/>
    <col min="773" max="773" width="15.4380952380952" customWidth="1"/>
    <col min="1007" max="1007" width="6.1047619047619" customWidth="1"/>
    <col min="1008" max="1008" width="54.3333333333333" customWidth="1"/>
    <col min="1009" max="1009" width="8.43809523809524" customWidth="1"/>
    <col min="1010" max="1010" width="15.8857142857143" customWidth="1"/>
    <col min="1011" max="1011" width="14.3333333333333" customWidth="1"/>
    <col min="1012" max="1012" width="13.4380952380952" customWidth="1"/>
    <col min="1013" max="1013" width="13.1047619047619" customWidth="1"/>
    <col min="1014" max="1014" width="16.6666666666667" customWidth="1"/>
    <col min="1015" max="1015" width="18.8857142857143" customWidth="1"/>
    <col min="1016" max="1016" width="19.1047619047619" customWidth="1"/>
    <col min="1017" max="1017" width="17" customWidth="1"/>
    <col min="1018" max="1018" width="15.4380952380952" customWidth="1"/>
    <col min="1019" max="1019" width="18.1047619047619" customWidth="1"/>
    <col min="1020" max="1020" width="25.4380952380952" customWidth="1"/>
    <col min="1021" max="1021" width="14.8857142857143" customWidth="1"/>
    <col min="1022" max="1022" width="18" customWidth="1"/>
    <col min="1023" max="1023" width="21.8857142857143" customWidth="1"/>
    <col min="1024" max="1024" width="17" customWidth="1"/>
    <col min="1025" max="1025" width="21.4380952380952" customWidth="1"/>
    <col min="1026" max="1026" width="14.6666666666667" customWidth="1"/>
    <col min="1027" max="1027" width="17.1047619047619" customWidth="1"/>
    <col min="1028" max="1028" width="21.4380952380952" customWidth="1"/>
    <col min="1029" max="1029" width="15.4380952380952" customWidth="1"/>
    <col min="1263" max="1263" width="6.1047619047619" customWidth="1"/>
    <col min="1264" max="1264" width="54.3333333333333" customWidth="1"/>
    <col min="1265" max="1265" width="8.43809523809524" customWidth="1"/>
    <col min="1266" max="1266" width="15.8857142857143" customWidth="1"/>
    <col min="1267" max="1267" width="14.3333333333333" customWidth="1"/>
    <col min="1268" max="1268" width="13.4380952380952" customWidth="1"/>
    <col min="1269" max="1269" width="13.1047619047619" customWidth="1"/>
    <col min="1270" max="1270" width="16.6666666666667" customWidth="1"/>
    <col min="1271" max="1271" width="18.8857142857143" customWidth="1"/>
    <col min="1272" max="1272" width="19.1047619047619" customWidth="1"/>
    <col min="1273" max="1273" width="17" customWidth="1"/>
    <col min="1274" max="1274" width="15.4380952380952" customWidth="1"/>
    <col min="1275" max="1275" width="18.1047619047619" customWidth="1"/>
    <col min="1276" max="1276" width="25.4380952380952" customWidth="1"/>
    <col min="1277" max="1277" width="14.8857142857143" customWidth="1"/>
    <col min="1278" max="1278" width="18" customWidth="1"/>
    <col min="1279" max="1279" width="21.8857142857143" customWidth="1"/>
    <col min="1280" max="1280" width="17" customWidth="1"/>
    <col min="1281" max="1281" width="21.4380952380952" customWidth="1"/>
    <col min="1282" max="1282" width="14.6666666666667" customWidth="1"/>
    <col min="1283" max="1283" width="17.1047619047619" customWidth="1"/>
    <col min="1284" max="1284" width="21.4380952380952" customWidth="1"/>
    <col min="1285" max="1285" width="15.4380952380952" customWidth="1"/>
    <col min="1519" max="1519" width="6.1047619047619" customWidth="1"/>
    <col min="1520" max="1520" width="54.3333333333333" customWidth="1"/>
    <col min="1521" max="1521" width="8.43809523809524" customWidth="1"/>
    <col min="1522" max="1522" width="15.8857142857143" customWidth="1"/>
    <col min="1523" max="1523" width="14.3333333333333" customWidth="1"/>
    <col min="1524" max="1524" width="13.4380952380952" customWidth="1"/>
    <col min="1525" max="1525" width="13.1047619047619" customWidth="1"/>
    <col min="1526" max="1526" width="16.6666666666667" customWidth="1"/>
    <col min="1527" max="1527" width="18.8857142857143" customWidth="1"/>
    <col min="1528" max="1528" width="19.1047619047619" customWidth="1"/>
    <col min="1529" max="1529" width="17" customWidth="1"/>
    <col min="1530" max="1530" width="15.4380952380952" customWidth="1"/>
    <col min="1531" max="1531" width="18.1047619047619" customWidth="1"/>
    <col min="1532" max="1532" width="25.4380952380952" customWidth="1"/>
    <col min="1533" max="1533" width="14.8857142857143" customWidth="1"/>
    <col min="1534" max="1534" width="18" customWidth="1"/>
    <col min="1535" max="1535" width="21.8857142857143" customWidth="1"/>
    <col min="1536" max="1536" width="17" customWidth="1"/>
    <col min="1537" max="1537" width="21.4380952380952" customWidth="1"/>
    <col min="1538" max="1538" width="14.6666666666667" customWidth="1"/>
    <col min="1539" max="1539" width="17.1047619047619" customWidth="1"/>
    <col min="1540" max="1540" width="21.4380952380952" customWidth="1"/>
    <col min="1541" max="1541" width="15.4380952380952" customWidth="1"/>
    <col min="1775" max="1775" width="6.1047619047619" customWidth="1"/>
    <col min="1776" max="1776" width="54.3333333333333" customWidth="1"/>
    <col min="1777" max="1777" width="8.43809523809524" customWidth="1"/>
    <col min="1778" max="1778" width="15.8857142857143" customWidth="1"/>
    <col min="1779" max="1779" width="14.3333333333333" customWidth="1"/>
    <col min="1780" max="1780" width="13.4380952380952" customWidth="1"/>
    <col min="1781" max="1781" width="13.1047619047619" customWidth="1"/>
    <col min="1782" max="1782" width="16.6666666666667" customWidth="1"/>
    <col min="1783" max="1783" width="18.8857142857143" customWidth="1"/>
    <col min="1784" max="1784" width="19.1047619047619" customWidth="1"/>
    <col min="1785" max="1785" width="17" customWidth="1"/>
    <col min="1786" max="1786" width="15.4380952380952" customWidth="1"/>
    <col min="1787" max="1787" width="18.1047619047619" customWidth="1"/>
    <col min="1788" max="1788" width="25.4380952380952" customWidth="1"/>
    <col min="1789" max="1789" width="14.8857142857143" customWidth="1"/>
    <col min="1790" max="1790" width="18" customWidth="1"/>
    <col min="1791" max="1791" width="21.8857142857143" customWidth="1"/>
    <col min="1792" max="1792" width="17" customWidth="1"/>
    <col min="1793" max="1793" width="21.4380952380952" customWidth="1"/>
    <col min="1794" max="1794" width="14.6666666666667" customWidth="1"/>
    <col min="1795" max="1795" width="17.1047619047619" customWidth="1"/>
    <col min="1796" max="1796" width="21.4380952380952" customWidth="1"/>
    <col min="1797" max="1797" width="15.4380952380952" customWidth="1"/>
    <col min="2031" max="2031" width="6.1047619047619" customWidth="1"/>
    <col min="2032" max="2032" width="54.3333333333333" customWidth="1"/>
    <col min="2033" max="2033" width="8.43809523809524" customWidth="1"/>
    <col min="2034" max="2034" width="15.8857142857143" customWidth="1"/>
    <col min="2035" max="2035" width="14.3333333333333" customWidth="1"/>
    <col min="2036" max="2036" width="13.4380952380952" customWidth="1"/>
    <col min="2037" max="2037" width="13.1047619047619" customWidth="1"/>
    <col min="2038" max="2038" width="16.6666666666667" customWidth="1"/>
    <col min="2039" max="2039" width="18.8857142857143" customWidth="1"/>
    <col min="2040" max="2040" width="19.1047619047619" customWidth="1"/>
    <col min="2041" max="2041" width="17" customWidth="1"/>
    <col min="2042" max="2042" width="15.4380952380952" customWidth="1"/>
    <col min="2043" max="2043" width="18.1047619047619" customWidth="1"/>
    <col min="2044" max="2044" width="25.4380952380952" customWidth="1"/>
    <col min="2045" max="2045" width="14.8857142857143" customWidth="1"/>
    <col min="2046" max="2046" width="18" customWidth="1"/>
    <col min="2047" max="2047" width="21.8857142857143" customWidth="1"/>
    <col min="2048" max="2048" width="17" customWidth="1"/>
    <col min="2049" max="2049" width="21.4380952380952" customWidth="1"/>
    <col min="2050" max="2050" width="14.6666666666667" customWidth="1"/>
    <col min="2051" max="2051" width="17.1047619047619" customWidth="1"/>
    <col min="2052" max="2052" width="21.4380952380952" customWidth="1"/>
    <col min="2053" max="2053" width="15.4380952380952" customWidth="1"/>
    <col min="2287" max="2287" width="6.1047619047619" customWidth="1"/>
    <col min="2288" max="2288" width="54.3333333333333" customWidth="1"/>
    <col min="2289" max="2289" width="8.43809523809524" customWidth="1"/>
    <col min="2290" max="2290" width="15.8857142857143" customWidth="1"/>
    <col min="2291" max="2291" width="14.3333333333333" customWidth="1"/>
    <col min="2292" max="2292" width="13.4380952380952" customWidth="1"/>
    <col min="2293" max="2293" width="13.1047619047619" customWidth="1"/>
    <col min="2294" max="2294" width="16.6666666666667" customWidth="1"/>
    <col min="2295" max="2295" width="18.8857142857143" customWidth="1"/>
    <col min="2296" max="2296" width="19.1047619047619" customWidth="1"/>
    <col min="2297" max="2297" width="17" customWidth="1"/>
    <col min="2298" max="2298" width="15.4380952380952" customWidth="1"/>
    <col min="2299" max="2299" width="18.1047619047619" customWidth="1"/>
    <col min="2300" max="2300" width="25.4380952380952" customWidth="1"/>
    <col min="2301" max="2301" width="14.8857142857143" customWidth="1"/>
    <col min="2302" max="2302" width="18" customWidth="1"/>
    <col min="2303" max="2303" width="21.8857142857143" customWidth="1"/>
    <col min="2304" max="2304" width="17" customWidth="1"/>
    <col min="2305" max="2305" width="21.4380952380952" customWidth="1"/>
    <col min="2306" max="2306" width="14.6666666666667" customWidth="1"/>
    <col min="2307" max="2307" width="17.1047619047619" customWidth="1"/>
    <col min="2308" max="2308" width="21.4380952380952" customWidth="1"/>
    <col min="2309" max="2309" width="15.4380952380952" customWidth="1"/>
    <col min="2543" max="2543" width="6.1047619047619" customWidth="1"/>
    <col min="2544" max="2544" width="54.3333333333333" customWidth="1"/>
    <col min="2545" max="2545" width="8.43809523809524" customWidth="1"/>
    <col min="2546" max="2546" width="15.8857142857143" customWidth="1"/>
    <col min="2547" max="2547" width="14.3333333333333" customWidth="1"/>
    <col min="2548" max="2548" width="13.4380952380952" customWidth="1"/>
    <col min="2549" max="2549" width="13.1047619047619" customWidth="1"/>
    <col min="2550" max="2550" width="16.6666666666667" customWidth="1"/>
    <col min="2551" max="2551" width="18.8857142857143" customWidth="1"/>
    <col min="2552" max="2552" width="19.1047619047619" customWidth="1"/>
    <col min="2553" max="2553" width="17" customWidth="1"/>
    <col min="2554" max="2554" width="15.4380952380952" customWidth="1"/>
    <col min="2555" max="2555" width="18.1047619047619" customWidth="1"/>
    <col min="2556" max="2556" width="25.4380952380952" customWidth="1"/>
    <col min="2557" max="2557" width="14.8857142857143" customWidth="1"/>
    <col min="2558" max="2558" width="18" customWidth="1"/>
    <col min="2559" max="2559" width="21.8857142857143" customWidth="1"/>
    <col min="2560" max="2560" width="17" customWidth="1"/>
    <col min="2561" max="2561" width="21.4380952380952" customWidth="1"/>
    <col min="2562" max="2562" width="14.6666666666667" customWidth="1"/>
    <col min="2563" max="2563" width="17.1047619047619" customWidth="1"/>
    <col min="2564" max="2564" width="21.4380952380952" customWidth="1"/>
    <col min="2565" max="2565" width="15.4380952380952" customWidth="1"/>
    <col min="2799" max="2799" width="6.1047619047619" customWidth="1"/>
    <col min="2800" max="2800" width="54.3333333333333" customWidth="1"/>
    <col min="2801" max="2801" width="8.43809523809524" customWidth="1"/>
    <col min="2802" max="2802" width="15.8857142857143" customWidth="1"/>
    <col min="2803" max="2803" width="14.3333333333333" customWidth="1"/>
    <col min="2804" max="2804" width="13.4380952380952" customWidth="1"/>
    <col min="2805" max="2805" width="13.1047619047619" customWidth="1"/>
    <col min="2806" max="2806" width="16.6666666666667" customWidth="1"/>
    <col min="2807" max="2807" width="18.8857142857143" customWidth="1"/>
    <col min="2808" max="2808" width="19.1047619047619" customWidth="1"/>
    <col min="2809" max="2809" width="17" customWidth="1"/>
    <col min="2810" max="2810" width="15.4380952380952" customWidth="1"/>
    <col min="2811" max="2811" width="18.1047619047619" customWidth="1"/>
    <col min="2812" max="2812" width="25.4380952380952" customWidth="1"/>
    <col min="2813" max="2813" width="14.8857142857143" customWidth="1"/>
    <col min="2814" max="2814" width="18" customWidth="1"/>
    <col min="2815" max="2815" width="21.8857142857143" customWidth="1"/>
    <col min="2816" max="2816" width="17" customWidth="1"/>
    <col min="2817" max="2817" width="21.4380952380952" customWidth="1"/>
    <col min="2818" max="2818" width="14.6666666666667" customWidth="1"/>
    <col min="2819" max="2819" width="17.1047619047619" customWidth="1"/>
    <col min="2820" max="2820" width="21.4380952380952" customWidth="1"/>
    <col min="2821" max="2821" width="15.4380952380952" customWidth="1"/>
    <col min="3055" max="3055" width="6.1047619047619" customWidth="1"/>
    <col min="3056" max="3056" width="54.3333333333333" customWidth="1"/>
    <col min="3057" max="3057" width="8.43809523809524" customWidth="1"/>
    <col min="3058" max="3058" width="15.8857142857143" customWidth="1"/>
    <col min="3059" max="3059" width="14.3333333333333" customWidth="1"/>
    <col min="3060" max="3060" width="13.4380952380952" customWidth="1"/>
    <col min="3061" max="3061" width="13.1047619047619" customWidth="1"/>
    <col min="3062" max="3062" width="16.6666666666667" customWidth="1"/>
    <col min="3063" max="3063" width="18.8857142857143" customWidth="1"/>
    <col min="3064" max="3064" width="19.1047619047619" customWidth="1"/>
    <col min="3065" max="3065" width="17" customWidth="1"/>
    <col min="3066" max="3066" width="15.4380952380952" customWidth="1"/>
    <col min="3067" max="3067" width="18.1047619047619" customWidth="1"/>
    <col min="3068" max="3068" width="25.4380952380952" customWidth="1"/>
    <col min="3069" max="3069" width="14.8857142857143" customWidth="1"/>
    <col min="3070" max="3070" width="18" customWidth="1"/>
    <col min="3071" max="3071" width="21.8857142857143" customWidth="1"/>
    <col min="3072" max="3072" width="17" customWidth="1"/>
    <col min="3073" max="3073" width="21.4380952380952" customWidth="1"/>
    <col min="3074" max="3074" width="14.6666666666667" customWidth="1"/>
    <col min="3075" max="3075" width="17.1047619047619" customWidth="1"/>
    <col min="3076" max="3076" width="21.4380952380952" customWidth="1"/>
    <col min="3077" max="3077" width="15.4380952380952" customWidth="1"/>
    <col min="3311" max="3311" width="6.1047619047619" customWidth="1"/>
    <col min="3312" max="3312" width="54.3333333333333" customWidth="1"/>
    <col min="3313" max="3313" width="8.43809523809524" customWidth="1"/>
    <col min="3314" max="3314" width="15.8857142857143" customWidth="1"/>
    <col min="3315" max="3315" width="14.3333333333333" customWidth="1"/>
    <col min="3316" max="3316" width="13.4380952380952" customWidth="1"/>
    <col min="3317" max="3317" width="13.1047619047619" customWidth="1"/>
    <col min="3318" max="3318" width="16.6666666666667" customWidth="1"/>
    <col min="3319" max="3319" width="18.8857142857143" customWidth="1"/>
    <col min="3320" max="3320" width="19.1047619047619" customWidth="1"/>
    <col min="3321" max="3321" width="17" customWidth="1"/>
    <col min="3322" max="3322" width="15.4380952380952" customWidth="1"/>
    <col min="3323" max="3323" width="18.1047619047619" customWidth="1"/>
    <col min="3324" max="3324" width="25.4380952380952" customWidth="1"/>
    <col min="3325" max="3325" width="14.8857142857143" customWidth="1"/>
    <col min="3326" max="3326" width="18" customWidth="1"/>
    <col min="3327" max="3327" width="21.8857142857143" customWidth="1"/>
    <col min="3328" max="3328" width="17" customWidth="1"/>
    <col min="3329" max="3329" width="21.4380952380952" customWidth="1"/>
    <col min="3330" max="3330" width="14.6666666666667" customWidth="1"/>
    <col min="3331" max="3331" width="17.1047619047619" customWidth="1"/>
    <col min="3332" max="3332" width="21.4380952380952" customWidth="1"/>
    <col min="3333" max="3333" width="15.4380952380952" customWidth="1"/>
    <col min="3567" max="3567" width="6.1047619047619" customWidth="1"/>
    <col min="3568" max="3568" width="54.3333333333333" customWidth="1"/>
    <col min="3569" max="3569" width="8.43809523809524" customWidth="1"/>
    <col min="3570" max="3570" width="15.8857142857143" customWidth="1"/>
    <col min="3571" max="3571" width="14.3333333333333" customWidth="1"/>
    <col min="3572" max="3572" width="13.4380952380952" customWidth="1"/>
    <col min="3573" max="3573" width="13.1047619047619" customWidth="1"/>
    <col min="3574" max="3574" width="16.6666666666667" customWidth="1"/>
    <col min="3575" max="3575" width="18.8857142857143" customWidth="1"/>
    <col min="3576" max="3576" width="19.1047619047619" customWidth="1"/>
    <col min="3577" max="3577" width="17" customWidth="1"/>
    <col min="3578" max="3578" width="15.4380952380952" customWidth="1"/>
    <col min="3579" max="3579" width="18.1047619047619" customWidth="1"/>
    <col min="3580" max="3580" width="25.4380952380952" customWidth="1"/>
    <col min="3581" max="3581" width="14.8857142857143" customWidth="1"/>
    <col min="3582" max="3582" width="18" customWidth="1"/>
    <col min="3583" max="3583" width="21.8857142857143" customWidth="1"/>
    <col min="3584" max="3584" width="17" customWidth="1"/>
    <col min="3585" max="3585" width="21.4380952380952" customWidth="1"/>
    <col min="3586" max="3586" width="14.6666666666667" customWidth="1"/>
    <col min="3587" max="3587" width="17.1047619047619" customWidth="1"/>
    <col min="3588" max="3588" width="21.4380952380952" customWidth="1"/>
    <col min="3589" max="3589" width="15.4380952380952" customWidth="1"/>
    <col min="3823" max="3823" width="6.1047619047619" customWidth="1"/>
    <col min="3824" max="3824" width="54.3333333333333" customWidth="1"/>
    <col min="3825" max="3825" width="8.43809523809524" customWidth="1"/>
    <col min="3826" max="3826" width="15.8857142857143" customWidth="1"/>
    <col min="3827" max="3827" width="14.3333333333333" customWidth="1"/>
    <col min="3828" max="3828" width="13.4380952380952" customWidth="1"/>
    <col min="3829" max="3829" width="13.1047619047619" customWidth="1"/>
    <col min="3830" max="3830" width="16.6666666666667" customWidth="1"/>
    <col min="3831" max="3831" width="18.8857142857143" customWidth="1"/>
    <col min="3832" max="3832" width="19.1047619047619" customWidth="1"/>
    <col min="3833" max="3833" width="17" customWidth="1"/>
    <col min="3834" max="3834" width="15.4380952380952" customWidth="1"/>
    <col min="3835" max="3835" width="18.1047619047619" customWidth="1"/>
    <col min="3836" max="3836" width="25.4380952380952" customWidth="1"/>
    <col min="3837" max="3837" width="14.8857142857143" customWidth="1"/>
    <col min="3838" max="3838" width="18" customWidth="1"/>
    <col min="3839" max="3839" width="21.8857142857143" customWidth="1"/>
    <col min="3840" max="3840" width="17" customWidth="1"/>
    <col min="3841" max="3841" width="21.4380952380952" customWidth="1"/>
    <col min="3842" max="3842" width="14.6666666666667" customWidth="1"/>
    <col min="3843" max="3843" width="17.1047619047619" customWidth="1"/>
    <col min="3844" max="3844" width="21.4380952380952" customWidth="1"/>
    <col min="3845" max="3845" width="15.4380952380952" customWidth="1"/>
    <col min="4079" max="4079" width="6.1047619047619" customWidth="1"/>
    <col min="4080" max="4080" width="54.3333333333333" customWidth="1"/>
    <col min="4081" max="4081" width="8.43809523809524" customWidth="1"/>
    <col min="4082" max="4082" width="15.8857142857143" customWidth="1"/>
    <col min="4083" max="4083" width="14.3333333333333" customWidth="1"/>
    <col min="4084" max="4084" width="13.4380952380952" customWidth="1"/>
    <col min="4085" max="4085" width="13.1047619047619" customWidth="1"/>
    <col min="4086" max="4086" width="16.6666666666667" customWidth="1"/>
    <col min="4087" max="4087" width="18.8857142857143" customWidth="1"/>
    <col min="4088" max="4088" width="19.1047619047619" customWidth="1"/>
    <col min="4089" max="4089" width="17" customWidth="1"/>
    <col min="4090" max="4090" width="15.4380952380952" customWidth="1"/>
    <col min="4091" max="4091" width="18.1047619047619" customWidth="1"/>
    <col min="4092" max="4092" width="25.4380952380952" customWidth="1"/>
    <col min="4093" max="4093" width="14.8857142857143" customWidth="1"/>
    <col min="4094" max="4094" width="18" customWidth="1"/>
    <col min="4095" max="4095" width="21.8857142857143" customWidth="1"/>
    <col min="4096" max="4096" width="17" customWidth="1"/>
    <col min="4097" max="4097" width="21.4380952380952" customWidth="1"/>
    <col min="4098" max="4098" width="14.6666666666667" customWidth="1"/>
    <col min="4099" max="4099" width="17.1047619047619" customWidth="1"/>
    <col min="4100" max="4100" width="21.4380952380952" customWidth="1"/>
    <col min="4101" max="4101" width="15.4380952380952" customWidth="1"/>
    <col min="4335" max="4335" width="6.1047619047619" customWidth="1"/>
    <col min="4336" max="4336" width="54.3333333333333" customWidth="1"/>
    <col min="4337" max="4337" width="8.43809523809524" customWidth="1"/>
    <col min="4338" max="4338" width="15.8857142857143" customWidth="1"/>
    <col min="4339" max="4339" width="14.3333333333333" customWidth="1"/>
    <col min="4340" max="4340" width="13.4380952380952" customWidth="1"/>
    <col min="4341" max="4341" width="13.1047619047619" customWidth="1"/>
    <col min="4342" max="4342" width="16.6666666666667" customWidth="1"/>
    <col min="4343" max="4343" width="18.8857142857143" customWidth="1"/>
    <col min="4344" max="4344" width="19.1047619047619" customWidth="1"/>
    <col min="4345" max="4345" width="17" customWidth="1"/>
    <col min="4346" max="4346" width="15.4380952380952" customWidth="1"/>
    <col min="4347" max="4347" width="18.1047619047619" customWidth="1"/>
    <col min="4348" max="4348" width="25.4380952380952" customWidth="1"/>
    <col min="4349" max="4349" width="14.8857142857143" customWidth="1"/>
    <col min="4350" max="4350" width="18" customWidth="1"/>
    <col min="4351" max="4351" width="21.8857142857143" customWidth="1"/>
    <col min="4352" max="4352" width="17" customWidth="1"/>
    <col min="4353" max="4353" width="21.4380952380952" customWidth="1"/>
    <col min="4354" max="4354" width="14.6666666666667" customWidth="1"/>
    <col min="4355" max="4355" width="17.1047619047619" customWidth="1"/>
    <col min="4356" max="4356" width="21.4380952380952" customWidth="1"/>
    <col min="4357" max="4357" width="15.4380952380952" customWidth="1"/>
    <col min="4591" max="4591" width="6.1047619047619" customWidth="1"/>
    <col min="4592" max="4592" width="54.3333333333333" customWidth="1"/>
    <col min="4593" max="4593" width="8.43809523809524" customWidth="1"/>
    <col min="4594" max="4594" width="15.8857142857143" customWidth="1"/>
    <col min="4595" max="4595" width="14.3333333333333" customWidth="1"/>
    <col min="4596" max="4596" width="13.4380952380952" customWidth="1"/>
    <col min="4597" max="4597" width="13.1047619047619" customWidth="1"/>
    <col min="4598" max="4598" width="16.6666666666667" customWidth="1"/>
    <col min="4599" max="4599" width="18.8857142857143" customWidth="1"/>
    <col min="4600" max="4600" width="19.1047619047619" customWidth="1"/>
    <col min="4601" max="4601" width="17" customWidth="1"/>
    <col min="4602" max="4602" width="15.4380952380952" customWidth="1"/>
    <col min="4603" max="4603" width="18.1047619047619" customWidth="1"/>
    <col min="4604" max="4604" width="25.4380952380952" customWidth="1"/>
    <col min="4605" max="4605" width="14.8857142857143" customWidth="1"/>
    <col min="4606" max="4606" width="18" customWidth="1"/>
    <col min="4607" max="4607" width="21.8857142857143" customWidth="1"/>
    <col min="4608" max="4608" width="17" customWidth="1"/>
    <col min="4609" max="4609" width="21.4380952380952" customWidth="1"/>
    <col min="4610" max="4610" width="14.6666666666667" customWidth="1"/>
    <col min="4611" max="4611" width="17.1047619047619" customWidth="1"/>
    <col min="4612" max="4612" width="21.4380952380952" customWidth="1"/>
    <col min="4613" max="4613" width="15.4380952380952" customWidth="1"/>
    <col min="4847" max="4847" width="6.1047619047619" customWidth="1"/>
    <col min="4848" max="4848" width="54.3333333333333" customWidth="1"/>
    <col min="4849" max="4849" width="8.43809523809524" customWidth="1"/>
    <col min="4850" max="4850" width="15.8857142857143" customWidth="1"/>
    <col min="4851" max="4851" width="14.3333333333333" customWidth="1"/>
    <col min="4852" max="4852" width="13.4380952380952" customWidth="1"/>
    <col min="4853" max="4853" width="13.1047619047619" customWidth="1"/>
    <col min="4854" max="4854" width="16.6666666666667" customWidth="1"/>
    <col min="4855" max="4855" width="18.8857142857143" customWidth="1"/>
    <col min="4856" max="4856" width="19.1047619047619" customWidth="1"/>
    <col min="4857" max="4857" width="17" customWidth="1"/>
    <col min="4858" max="4858" width="15.4380952380952" customWidth="1"/>
    <col min="4859" max="4859" width="18.1047619047619" customWidth="1"/>
    <col min="4860" max="4860" width="25.4380952380952" customWidth="1"/>
    <col min="4861" max="4861" width="14.8857142857143" customWidth="1"/>
    <col min="4862" max="4862" width="18" customWidth="1"/>
    <col min="4863" max="4863" width="21.8857142857143" customWidth="1"/>
    <col min="4864" max="4864" width="17" customWidth="1"/>
    <col min="4865" max="4865" width="21.4380952380952" customWidth="1"/>
    <col min="4866" max="4866" width="14.6666666666667" customWidth="1"/>
    <col min="4867" max="4867" width="17.1047619047619" customWidth="1"/>
    <col min="4868" max="4868" width="21.4380952380952" customWidth="1"/>
    <col min="4869" max="4869" width="15.4380952380952" customWidth="1"/>
    <col min="5103" max="5103" width="6.1047619047619" customWidth="1"/>
    <col min="5104" max="5104" width="54.3333333333333" customWidth="1"/>
    <col min="5105" max="5105" width="8.43809523809524" customWidth="1"/>
    <col min="5106" max="5106" width="15.8857142857143" customWidth="1"/>
    <col min="5107" max="5107" width="14.3333333333333" customWidth="1"/>
    <col min="5108" max="5108" width="13.4380952380952" customWidth="1"/>
    <col min="5109" max="5109" width="13.1047619047619" customWidth="1"/>
    <col min="5110" max="5110" width="16.6666666666667" customWidth="1"/>
    <col min="5111" max="5111" width="18.8857142857143" customWidth="1"/>
    <col min="5112" max="5112" width="19.1047619047619" customWidth="1"/>
    <col min="5113" max="5113" width="17" customWidth="1"/>
    <col min="5114" max="5114" width="15.4380952380952" customWidth="1"/>
    <col min="5115" max="5115" width="18.1047619047619" customWidth="1"/>
    <col min="5116" max="5116" width="25.4380952380952" customWidth="1"/>
    <col min="5117" max="5117" width="14.8857142857143" customWidth="1"/>
    <col min="5118" max="5118" width="18" customWidth="1"/>
    <col min="5119" max="5119" width="21.8857142857143" customWidth="1"/>
    <col min="5120" max="5120" width="17" customWidth="1"/>
    <col min="5121" max="5121" width="21.4380952380952" customWidth="1"/>
    <col min="5122" max="5122" width="14.6666666666667" customWidth="1"/>
    <col min="5123" max="5123" width="17.1047619047619" customWidth="1"/>
    <col min="5124" max="5124" width="21.4380952380952" customWidth="1"/>
    <col min="5125" max="5125" width="15.4380952380952" customWidth="1"/>
    <col min="5359" max="5359" width="6.1047619047619" customWidth="1"/>
    <col min="5360" max="5360" width="54.3333333333333" customWidth="1"/>
    <col min="5361" max="5361" width="8.43809523809524" customWidth="1"/>
    <col min="5362" max="5362" width="15.8857142857143" customWidth="1"/>
    <col min="5363" max="5363" width="14.3333333333333" customWidth="1"/>
    <col min="5364" max="5364" width="13.4380952380952" customWidth="1"/>
    <col min="5365" max="5365" width="13.1047619047619" customWidth="1"/>
    <col min="5366" max="5366" width="16.6666666666667" customWidth="1"/>
    <col min="5367" max="5367" width="18.8857142857143" customWidth="1"/>
    <col min="5368" max="5368" width="19.1047619047619" customWidth="1"/>
    <col min="5369" max="5369" width="17" customWidth="1"/>
    <col min="5370" max="5370" width="15.4380952380952" customWidth="1"/>
    <col min="5371" max="5371" width="18.1047619047619" customWidth="1"/>
    <col min="5372" max="5372" width="25.4380952380952" customWidth="1"/>
    <col min="5373" max="5373" width="14.8857142857143" customWidth="1"/>
    <col min="5374" max="5374" width="18" customWidth="1"/>
    <col min="5375" max="5375" width="21.8857142857143" customWidth="1"/>
    <col min="5376" max="5376" width="17" customWidth="1"/>
    <col min="5377" max="5377" width="21.4380952380952" customWidth="1"/>
    <col min="5378" max="5378" width="14.6666666666667" customWidth="1"/>
    <col min="5379" max="5379" width="17.1047619047619" customWidth="1"/>
    <col min="5380" max="5380" width="21.4380952380952" customWidth="1"/>
    <col min="5381" max="5381" width="15.4380952380952" customWidth="1"/>
    <col min="5615" max="5615" width="6.1047619047619" customWidth="1"/>
    <col min="5616" max="5616" width="54.3333333333333" customWidth="1"/>
    <col min="5617" max="5617" width="8.43809523809524" customWidth="1"/>
    <col min="5618" max="5618" width="15.8857142857143" customWidth="1"/>
    <col min="5619" max="5619" width="14.3333333333333" customWidth="1"/>
    <col min="5620" max="5620" width="13.4380952380952" customWidth="1"/>
    <col min="5621" max="5621" width="13.1047619047619" customWidth="1"/>
    <col min="5622" max="5622" width="16.6666666666667" customWidth="1"/>
    <col min="5623" max="5623" width="18.8857142857143" customWidth="1"/>
    <col min="5624" max="5624" width="19.1047619047619" customWidth="1"/>
    <col min="5625" max="5625" width="17" customWidth="1"/>
    <col min="5626" max="5626" width="15.4380952380952" customWidth="1"/>
    <col min="5627" max="5627" width="18.1047619047619" customWidth="1"/>
    <col min="5628" max="5628" width="25.4380952380952" customWidth="1"/>
    <col min="5629" max="5629" width="14.8857142857143" customWidth="1"/>
    <col min="5630" max="5630" width="18" customWidth="1"/>
    <col min="5631" max="5631" width="21.8857142857143" customWidth="1"/>
    <col min="5632" max="5632" width="17" customWidth="1"/>
    <col min="5633" max="5633" width="21.4380952380952" customWidth="1"/>
    <col min="5634" max="5634" width="14.6666666666667" customWidth="1"/>
    <col min="5635" max="5635" width="17.1047619047619" customWidth="1"/>
    <col min="5636" max="5636" width="21.4380952380952" customWidth="1"/>
    <col min="5637" max="5637" width="15.4380952380952" customWidth="1"/>
    <col min="5871" max="5871" width="6.1047619047619" customWidth="1"/>
    <col min="5872" max="5872" width="54.3333333333333" customWidth="1"/>
    <col min="5873" max="5873" width="8.43809523809524" customWidth="1"/>
    <col min="5874" max="5874" width="15.8857142857143" customWidth="1"/>
    <col min="5875" max="5875" width="14.3333333333333" customWidth="1"/>
    <col min="5876" max="5876" width="13.4380952380952" customWidth="1"/>
    <col min="5877" max="5877" width="13.1047619047619" customWidth="1"/>
    <col min="5878" max="5878" width="16.6666666666667" customWidth="1"/>
    <col min="5879" max="5879" width="18.8857142857143" customWidth="1"/>
    <col min="5880" max="5880" width="19.1047619047619" customWidth="1"/>
    <col min="5881" max="5881" width="17" customWidth="1"/>
    <col min="5882" max="5882" width="15.4380952380952" customWidth="1"/>
    <col min="5883" max="5883" width="18.1047619047619" customWidth="1"/>
    <col min="5884" max="5884" width="25.4380952380952" customWidth="1"/>
    <col min="5885" max="5885" width="14.8857142857143" customWidth="1"/>
    <col min="5886" max="5886" width="18" customWidth="1"/>
    <col min="5887" max="5887" width="21.8857142857143" customWidth="1"/>
    <col min="5888" max="5888" width="17" customWidth="1"/>
    <col min="5889" max="5889" width="21.4380952380952" customWidth="1"/>
    <col min="5890" max="5890" width="14.6666666666667" customWidth="1"/>
    <col min="5891" max="5891" width="17.1047619047619" customWidth="1"/>
    <col min="5892" max="5892" width="21.4380952380952" customWidth="1"/>
    <col min="5893" max="5893" width="15.4380952380952" customWidth="1"/>
    <col min="6127" max="6127" width="6.1047619047619" customWidth="1"/>
    <col min="6128" max="6128" width="54.3333333333333" customWidth="1"/>
    <col min="6129" max="6129" width="8.43809523809524" customWidth="1"/>
    <col min="6130" max="6130" width="15.8857142857143" customWidth="1"/>
    <col min="6131" max="6131" width="14.3333333333333" customWidth="1"/>
    <col min="6132" max="6132" width="13.4380952380952" customWidth="1"/>
    <col min="6133" max="6133" width="13.1047619047619" customWidth="1"/>
    <col min="6134" max="6134" width="16.6666666666667" customWidth="1"/>
    <col min="6135" max="6135" width="18.8857142857143" customWidth="1"/>
    <col min="6136" max="6136" width="19.1047619047619" customWidth="1"/>
    <col min="6137" max="6137" width="17" customWidth="1"/>
    <col min="6138" max="6138" width="15.4380952380952" customWidth="1"/>
    <col min="6139" max="6139" width="18.1047619047619" customWidth="1"/>
    <col min="6140" max="6140" width="25.4380952380952" customWidth="1"/>
    <col min="6141" max="6141" width="14.8857142857143" customWidth="1"/>
    <col min="6142" max="6142" width="18" customWidth="1"/>
    <col min="6143" max="6143" width="21.8857142857143" customWidth="1"/>
    <col min="6144" max="6144" width="17" customWidth="1"/>
    <col min="6145" max="6145" width="21.4380952380952" customWidth="1"/>
    <col min="6146" max="6146" width="14.6666666666667" customWidth="1"/>
    <col min="6147" max="6147" width="17.1047619047619" customWidth="1"/>
    <col min="6148" max="6148" width="21.4380952380952" customWidth="1"/>
    <col min="6149" max="6149" width="15.4380952380952" customWidth="1"/>
    <col min="6383" max="6383" width="6.1047619047619" customWidth="1"/>
    <col min="6384" max="6384" width="54.3333333333333" customWidth="1"/>
    <col min="6385" max="6385" width="8.43809523809524" customWidth="1"/>
    <col min="6386" max="6386" width="15.8857142857143" customWidth="1"/>
    <col min="6387" max="6387" width="14.3333333333333" customWidth="1"/>
    <col min="6388" max="6388" width="13.4380952380952" customWidth="1"/>
    <col min="6389" max="6389" width="13.1047619047619" customWidth="1"/>
    <col min="6390" max="6390" width="16.6666666666667" customWidth="1"/>
    <col min="6391" max="6391" width="18.8857142857143" customWidth="1"/>
    <col min="6392" max="6392" width="19.1047619047619" customWidth="1"/>
    <col min="6393" max="6393" width="17" customWidth="1"/>
    <col min="6394" max="6394" width="15.4380952380952" customWidth="1"/>
    <col min="6395" max="6395" width="18.1047619047619" customWidth="1"/>
    <col min="6396" max="6396" width="25.4380952380952" customWidth="1"/>
    <col min="6397" max="6397" width="14.8857142857143" customWidth="1"/>
    <col min="6398" max="6398" width="18" customWidth="1"/>
    <col min="6399" max="6399" width="21.8857142857143" customWidth="1"/>
    <col min="6400" max="6400" width="17" customWidth="1"/>
    <col min="6401" max="6401" width="21.4380952380952" customWidth="1"/>
    <col min="6402" max="6402" width="14.6666666666667" customWidth="1"/>
    <col min="6403" max="6403" width="17.1047619047619" customWidth="1"/>
    <col min="6404" max="6404" width="21.4380952380952" customWidth="1"/>
    <col min="6405" max="6405" width="15.4380952380952" customWidth="1"/>
    <col min="6639" max="6639" width="6.1047619047619" customWidth="1"/>
    <col min="6640" max="6640" width="54.3333333333333" customWidth="1"/>
    <col min="6641" max="6641" width="8.43809523809524" customWidth="1"/>
    <col min="6642" max="6642" width="15.8857142857143" customWidth="1"/>
    <col min="6643" max="6643" width="14.3333333333333" customWidth="1"/>
    <col min="6644" max="6644" width="13.4380952380952" customWidth="1"/>
    <col min="6645" max="6645" width="13.1047619047619" customWidth="1"/>
    <col min="6646" max="6646" width="16.6666666666667" customWidth="1"/>
    <col min="6647" max="6647" width="18.8857142857143" customWidth="1"/>
    <col min="6648" max="6648" width="19.1047619047619" customWidth="1"/>
    <col min="6649" max="6649" width="17" customWidth="1"/>
    <col min="6650" max="6650" width="15.4380952380952" customWidth="1"/>
    <col min="6651" max="6651" width="18.1047619047619" customWidth="1"/>
    <col min="6652" max="6652" width="25.4380952380952" customWidth="1"/>
    <col min="6653" max="6653" width="14.8857142857143" customWidth="1"/>
    <col min="6654" max="6654" width="18" customWidth="1"/>
    <col min="6655" max="6655" width="21.8857142857143" customWidth="1"/>
    <col min="6656" max="6656" width="17" customWidth="1"/>
    <col min="6657" max="6657" width="21.4380952380952" customWidth="1"/>
    <col min="6658" max="6658" width="14.6666666666667" customWidth="1"/>
    <col min="6659" max="6659" width="17.1047619047619" customWidth="1"/>
    <col min="6660" max="6660" width="21.4380952380952" customWidth="1"/>
    <col min="6661" max="6661" width="15.4380952380952" customWidth="1"/>
    <col min="6895" max="6895" width="6.1047619047619" customWidth="1"/>
    <col min="6896" max="6896" width="54.3333333333333" customWidth="1"/>
    <col min="6897" max="6897" width="8.43809523809524" customWidth="1"/>
    <col min="6898" max="6898" width="15.8857142857143" customWidth="1"/>
    <col min="6899" max="6899" width="14.3333333333333" customWidth="1"/>
    <col min="6900" max="6900" width="13.4380952380952" customWidth="1"/>
    <col min="6901" max="6901" width="13.1047619047619" customWidth="1"/>
    <col min="6902" max="6902" width="16.6666666666667" customWidth="1"/>
    <col min="6903" max="6903" width="18.8857142857143" customWidth="1"/>
    <col min="6904" max="6904" width="19.1047619047619" customWidth="1"/>
    <col min="6905" max="6905" width="17" customWidth="1"/>
    <col min="6906" max="6906" width="15.4380952380952" customWidth="1"/>
    <col min="6907" max="6907" width="18.1047619047619" customWidth="1"/>
    <col min="6908" max="6908" width="25.4380952380952" customWidth="1"/>
    <col min="6909" max="6909" width="14.8857142857143" customWidth="1"/>
    <col min="6910" max="6910" width="18" customWidth="1"/>
    <col min="6911" max="6911" width="21.8857142857143" customWidth="1"/>
    <col min="6912" max="6912" width="17" customWidth="1"/>
    <col min="6913" max="6913" width="21.4380952380952" customWidth="1"/>
    <col min="6914" max="6914" width="14.6666666666667" customWidth="1"/>
    <col min="6915" max="6915" width="17.1047619047619" customWidth="1"/>
    <col min="6916" max="6916" width="21.4380952380952" customWidth="1"/>
    <col min="6917" max="6917" width="15.4380952380952" customWidth="1"/>
    <col min="7151" max="7151" width="6.1047619047619" customWidth="1"/>
    <col min="7152" max="7152" width="54.3333333333333" customWidth="1"/>
    <col min="7153" max="7153" width="8.43809523809524" customWidth="1"/>
    <col min="7154" max="7154" width="15.8857142857143" customWidth="1"/>
    <col min="7155" max="7155" width="14.3333333333333" customWidth="1"/>
    <col min="7156" max="7156" width="13.4380952380952" customWidth="1"/>
    <col min="7157" max="7157" width="13.1047619047619" customWidth="1"/>
    <col min="7158" max="7158" width="16.6666666666667" customWidth="1"/>
    <col min="7159" max="7159" width="18.8857142857143" customWidth="1"/>
    <col min="7160" max="7160" width="19.1047619047619" customWidth="1"/>
    <col min="7161" max="7161" width="17" customWidth="1"/>
    <col min="7162" max="7162" width="15.4380952380952" customWidth="1"/>
    <col min="7163" max="7163" width="18.1047619047619" customWidth="1"/>
    <col min="7164" max="7164" width="25.4380952380952" customWidth="1"/>
    <col min="7165" max="7165" width="14.8857142857143" customWidth="1"/>
    <col min="7166" max="7166" width="18" customWidth="1"/>
    <col min="7167" max="7167" width="21.8857142857143" customWidth="1"/>
    <col min="7168" max="7168" width="17" customWidth="1"/>
    <col min="7169" max="7169" width="21.4380952380952" customWidth="1"/>
    <col min="7170" max="7170" width="14.6666666666667" customWidth="1"/>
    <col min="7171" max="7171" width="17.1047619047619" customWidth="1"/>
    <col min="7172" max="7172" width="21.4380952380952" customWidth="1"/>
    <col min="7173" max="7173" width="15.4380952380952" customWidth="1"/>
    <col min="7407" max="7407" width="6.1047619047619" customWidth="1"/>
    <col min="7408" max="7408" width="54.3333333333333" customWidth="1"/>
    <col min="7409" max="7409" width="8.43809523809524" customWidth="1"/>
    <col min="7410" max="7410" width="15.8857142857143" customWidth="1"/>
    <col min="7411" max="7411" width="14.3333333333333" customWidth="1"/>
    <col min="7412" max="7412" width="13.4380952380952" customWidth="1"/>
    <col min="7413" max="7413" width="13.1047619047619" customWidth="1"/>
    <col min="7414" max="7414" width="16.6666666666667" customWidth="1"/>
    <col min="7415" max="7415" width="18.8857142857143" customWidth="1"/>
    <col min="7416" max="7416" width="19.1047619047619" customWidth="1"/>
    <col min="7417" max="7417" width="17" customWidth="1"/>
    <col min="7418" max="7418" width="15.4380952380952" customWidth="1"/>
    <col min="7419" max="7419" width="18.1047619047619" customWidth="1"/>
    <col min="7420" max="7420" width="25.4380952380952" customWidth="1"/>
    <col min="7421" max="7421" width="14.8857142857143" customWidth="1"/>
    <col min="7422" max="7422" width="18" customWidth="1"/>
    <col min="7423" max="7423" width="21.8857142857143" customWidth="1"/>
    <col min="7424" max="7424" width="17" customWidth="1"/>
    <col min="7425" max="7425" width="21.4380952380952" customWidth="1"/>
    <col min="7426" max="7426" width="14.6666666666667" customWidth="1"/>
    <col min="7427" max="7427" width="17.1047619047619" customWidth="1"/>
    <col min="7428" max="7428" width="21.4380952380952" customWidth="1"/>
    <col min="7429" max="7429" width="15.4380952380952" customWidth="1"/>
    <col min="7663" max="7663" width="6.1047619047619" customWidth="1"/>
    <col min="7664" max="7664" width="54.3333333333333" customWidth="1"/>
    <col min="7665" max="7665" width="8.43809523809524" customWidth="1"/>
    <col min="7666" max="7666" width="15.8857142857143" customWidth="1"/>
    <col min="7667" max="7667" width="14.3333333333333" customWidth="1"/>
    <col min="7668" max="7668" width="13.4380952380952" customWidth="1"/>
    <col min="7669" max="7669" width="13.1047619047619" customWidth="1"/>
    <col min="7670" max="7670" width="16.6666666666667" customWidth="1"/>
    <col min="7671" max="7671" width="18.8857142857143" customWidth="1"/>
    <col min="7672" max="7672" width="19.1047619047619" customWidth="1"/>
    <col min="7673" max="7673" width="17" customWidth="1"/>
    <col min="7674" max="7674" width="15.4380952380952" customWidth="1"/>
    <col min="7675" max="7675" width="18.1047619047619" customWidth="1"/>
    <col min="7676" max="7676" width="25.4380952380952" customWidth="1"/>
    <col min="7677" max="7677" width="14.8857142857143" customWidth="1"/>
    <col min="7678" max="7678" width="18" customWidth="1"/>
    <col min="7679" max="7679" width="21.8857142857143" customWidth="1"/>
    <col min="7680" max="7680" width="17" customWidth="1"/>
    <col min="7681" max="7681" width="21.4380952380952" customWidth="1"/>
    <col min="7682" max="7682" width="14.6666666666667" customWidth="1"/>
    <col min="7683" max="7683" width="17.1047619047619" customWidth="1"/>
    <col min="7684" max="7684" width="21.4380952380952" customWidth="1"/>
    <col min="7685" max="7685" width="15.4380952380952" customWidth="1"/>
    <col min="7919" max="7919" width="6.1047619047619" customWidth="1"/>
    <col min="7920" max="7920" width="54.3333333333333" customWidth="1"/>
    <col min="7921" max="7921" width="8.43809523809524" customWidth="1"/>
    <col min="7922" max="7922" width="15.8857142857143" customWidth="1"/>
    <col min="7923" max="7923" width="14.3333333333333" customWidth="1"/>
    <col min="7924" max="7924" width="13.4380952380952" customWidth="1"/>
    <col min="7925" max="7925" width="13.1047619047619" customWidth="1"/>
    <col min="7926" max="7926" width="16.6666666666667" customWidth="1"/>
    <col min="7927" max="7927" width="18.8857142857143" customWidth="1"/>
    <col min="7928" max="7928" width="19.1047619047619" customWidth="1"/>
    <col min="7929" max="7929" width="17" customWidth="1"/>
    <col min="7930" max="7930" width="15.4380952380952" customWidth="1"/>
    <col min="7931" max="7931" width="18.1047619047619" customWidth="1"/>
    <col min="7932" max="7932" width="25.4380952380952" customWidth="1"/>
    <col min="7933" max="7933" width="14.8857142857143" customWidth="1"/>
    <col min="7934" max="7934" width="18" customWidth="1"/>
    <col min="7935" max="7935" width="21.8857142857143" customWidth="1"/>
    <col min="7936" max="7936" width="17" customWidth="1"/>
    <col min="7937" max="7937" width="21.4380952380952" customWidth="1"/>
    <col min="7938" max="7938" width="14.6666666666667" customWidth="1"/>
    <col min="7939" max="7939" width="17.1047619047619" customWidth="1"/>
    <col min="7940" max="7940" width="21.4380952380952" customWidth="1"/>
    <col min="7941" max="7941" width="15.4380952380952" customWidth="1"/>
    <col min="8175" max="8175" width="6.1047619047619" customWidth="1"/>
    <col min="8176" max="8176" width="54.3333333333333" customWidth="1"/>
    <col min="8177" max="8177" width="8.43809523809524" customWidth="1"/>
    <col min="8178" max="8178" width="15.8857142857143" customWidth="1"/>
    <col min="8179" max="8179" width="14.3333333333333" customWidth="1"/>
    <col min="8180" max="8180" width="13.4380952380952" customWidth="1"/>
    <col min="8181" max="8181" width="13.1047619047619" customWidth="1"/>
    <col min="8182" max="8182" width="16.6666666666667" customWidth="1"/>
    <col min="8183" max="8183" width="18.8857142857143" customWidth="1"/>
    <col min="8184" max="8184" width="19.1047619047619" customWidth="1"/>
    <col min="8185" max="8185" width="17" customWidth="1"/>
    <col min="8186" max="8186" width="15.4380952380952" customWidth="1"/>
    <col min="8187" max="8187" width="18.1047619047619" customWidth="1"/>
    <col min="8188" max="8188" width="25.4380952380952" customWidth="1"/>
    <col min="8189" max="8189" width="14.8857142857143" customWidth="1"/>
    <col min="8190" max="8190" width="18" customWidth="1"/>
    <col min="8191" max="8191" width="21.8857142857143" customWidth="1"/>
    <col min="8192" max="8192" width="17" customWidth="1"/>
    <col min="8193" max="8193" width="21.4380952380952" customWidth="1"/>
    <col min="8194" max="8194" width="14.6666666666667" customWidth="1"/>
    <col min="8195" max="8195" width="17.1047619047619" customWidth="1"/>
    <col min="8196" max="8196" width="21.4380952380952" customWidth="1"/>
    <col min="8197" max="8197" width="15.4380952380952" customWidth="1"/>
    <col min="8431" max="8431" width="6.1047619047619" customWidth="1"/>
    <col min="8432" max="8432" width="54.3333333333333" customWidth="1"/>
    <col min="8433" max="8433" width="8.43809523809524" customWidth="1"/>
    <col min="8434" max="8434" width="15.8857142857143" customWidth="1"/>
    <col min="8435" max="8435" width="14.3333333333333" customWidth="1"/>
    <col min="8436" max="8436" width="13.4380952380952" customWidth="1"/>
    <col min="8437" max="8437" width="13.1047619047619" customWidth="1"/>
    <col min="8438" max="8438" width="16.6666666666667" customWidth="1"/>
    <col min="8439" max="8439" width="18.8857142857143" customWidth="1"/>
    <col min="8440" max="8440" width="19.1047619047619" customWidth="1"/>
    <col min="8441" max="8441" width="17" customWidth="1"/>
    <col min="8442" max="8442" width="15.4380952380952" customWidth="1"/>
    <col min="8443" max="8443" width="18.1047619047619" customWidth="1"/>
    <col min="8444" max="8444" width="25.4380952380952" customWidth="1"/>
    <col min="8445" max="8445" width="14.8857142857143" customWidth="1"/>
    <col min="8446" max="8446" width="18" customWidth="1"/>
    <col min="8447" max="8447" width="21.8857142857143" customWidth="1"/>
    <col min="8448" max="8448" width="17" customWidth="1"/>
    <col min="8449" max="8449" width="21.4380952380952" customWidth="1"/>
    <col min="8450" max="8450" width="14.6666666666667" customWidth="1"/>
    <col min="8451" max="8451" width="17.1047619047619" customWidth="1"/>
    <col min="8452" max="8452" width="21.4380952380952" customWidth="1"/>
    <col min="8453" max="8453" width="15.4380952380952" customWidth="1"/>
    <col min="8687" max="8687" width="6.1047619047619" customWidth="1"/>
    <col min="8688" max="8688" width="54.3333333333333" customWidth="1"/>
    <col min="8689" max="8689" width="8.43809523809524" customWidth="1"/>
    <col min="8690" max="8690" width="15.8857142857143" customWidth="1"/>
    <col min="8691" max="8691" width="14.3333333333333" customWidth="1"/>
    <col min="8692" max="8692" width="13.4380952380952" customWidth="1"/>
    <col min="8693" max="8693" width="13.1047619047619" customWidth="1"/>
    <col min="8694" max="8694" width="16.6666666666667" customWidth="1"/>
    <col min="8695" max="8695" width="18.8857142857143" customWidth="1"/>
    <col min="8696" max="8696" width="19.1047619047619" customWidth="1"/>
    <col min="8697" max="8697" width="17" customWidth="1"/>
    <col min="8698" max="8698" width="15.4380952380952" customWidth="1"/>
    <col min="8699" max="8699" width="18.1047619047619" customWidth="1"/>
    <col min="8700" max="8700" width="25.4380952380952" customWidth="1"/>
    <col min="8701" max="8701" width="14.8857142857143" customWidth="1"/>
    <col min="8702" max="8702" width="18" customWidth="1"/>
    <col min="8703" max="8703" width="21.8857142857143" customWidth="1"/>
    <col min="8704" max="8704" width="17" customWidth="1"/>
    <col min="8705" max="8705" width="21.4380952380952" customWidth="1"/>
    <col min="8706" max="8706" width="14.6666666666667" customWidth="1"/>
    <col min="8707" max="8707" width="17.1047619047619" customWidth="1"/>
    <col min="8708" max="8708" width="21.4380952380952" customWidth="1"/>
    <col min="8709" max="8709" width="15.4380952380952" customWidth="1"/>
    <col min="8943" max="8943" width="6.1047619047619" customWidth="1"/>
    <col min="8944" max="8944" width="54.3333333333333" customWidth="1"/>
    <col min="8945" max="8945" width="8.43809523809524" customWidth="1"/>
    <col min="8946" max="8946" width="15.8857142857143" customWidth="1"/>
    <col min="8947" max="8947" width="14.3333333333333" customWidth="1"/>
    <col min="8948" max="8948" width="13.4380952380952" customWidth="1"/>
    <col min="8949" max="8949" width="13.1047619047619" customWidth="1"/>
    <col min="8950" max="8950" width="16.6666666666667" customWidth="1"/>
    <col min="8951" max="8951" width="18.8857142857143" customWidth="1"/>
    <col min="8952" max="8952" width="19.1047619047619" customWidth="1"/>
    <col min="8953" max="8953" width="17" customWidth="1"/>
    <col min="8954" max="8954" width="15.4380952380952" customWidth="1"/>
    <col min="8955" max="8955" width="18.1047619047619" customWidth="1"/>
    <col min="8956" max="8956" width="25.4380952380952" customWidth="1"/>
    <col min="8957" max="8957" width="14.8857142857143" customWidth="1"/>
    <col min="8958" max="8958" width="18" customWidth="1"/>
    <col min="8959" max="8959" width="21.8857142857143" customWidth="1"/>
    <col min="8960" max="8960" width="17" customWidth="1"/>
    <col min="8961" max="8961" width="21.4380952380952" customWidth="1"/>
    <col min="8962" max="8962" width="14.6666666666667" customWidth="1"/>
    <col min="8963" max="8963" width="17.1047619047619" customWidth="1"/>
    <col min="8964" max="8964" width="21.4380952380952" customWidth="1"/>
    <col min="8965" max="8965" width="15.4380952380952" customWidth="1"/>
    <col min="9199" max="9199" width="6.1047619047619" customWidth="1"/>
    <col min="9200" max="9200" width="54.3333333333333" customWidth="1"/>
    <col min="9201" max="9201" width="8.43809523809524" customWidth="1"/>
    <col min="9202" max="9202" width="15.8857142857143" customWidth="1"/>
    <col min="9203" max="9203" width="14.3333333333333" customWidth="1"/>
    <col min="9204" max="9204" width="13.4380952380952" customWidth="1"/>
    <col min="9205" max="9205" width="13.1047619047619" customWidth="1"/>
    <col min="9206" max="9206" width="16.6666666666667" customWidth="1"/>
    <col min="9207" max="9207" width="18.8857142857143" customWidth="1"/>
    <col min="9208" max="9208" width="19.1047619047619" customWidth="1"/>
    <col min="9209" max="9209" width="17" customWidth="1"/>
    <col min="9210" max="9210" width="15.4380952380952" customWidth="1"/>
    <col min="9211" max="9211" width="18.1047619047619" customWidth="1"/>
    <col min="9212" max="9212" width="25.4380952380952" customWidth="1"/>
    <col min="9213" max="9213" width="14.8857142857143" customWidth="1"/>
    <col min="9214" max="9214" width="18" customWidth="1"/>
    <col min="9215" max="9215" width="21.8857142857143" customWidth="1"/>
    <col min="9216" max="9216" width="17" customWidth="1"/>
    <col min="9217" max="9217" width="21.4380952380952" customWidth="1"/>
    <col min="9218" max="9218" width="14.6666666666667" customWidth="1"/>
    <col min="9219" max="9219" width="17.1047619047619" customWidth="1"/>
    <col min="9220" max="9220" width="21.4380952380952" customWidth="1"/>
    <col min="9221" max="9221" width="15.4380952380952" customWidth="1"/>
    <col min="9455" max="9455" width="6.1047619047619" customWidth="1"/>
    <col min="9456" max="9456" width="54.3333333333333" customWidth="1"/>
    <col min="9457" max="9457" width="8.43809523809524" customWidth="1"/>
    <col min="9458" max="9458" width="15.8857142857143" customWidth="1"/>
    <col min="9459" max="9459" width="14.3333333333333" customWidth="1"/>
    <col min="9460" max="9460" width="13.4380952380952" customWidth="1"/>
    <col min="9461" max="9461" width="13.1047619047619" customWidth="1"/>
    <col min="9462" max="9462" width="16.6666666666667" customWidth="1"/>
    <col min="9463" max="9463" width="18.8857142857143" customWidth="1"/>
    <col min="9464" max="9464" width="19.1047619047619" customWidth="1"/>
    <col min="9465" max="9465" width="17" customWidth="1"/>
    <col min="9466" max="9466" width="15.4380952380952" customWidth="1"/>
    <col min="9467" max="9467" width="18.1047619047619" customWidth="1"/>
    <col min="9468" max="9468" width="25.4380952380952" customWidth="1"/>
    <col min="9469" max="9469" width="14.8857142857143" customWidth="1"/>
    <col min="9470" max="9470" width="18" customWidth="1"/>
    <col min="9471" max="9471" width="21.8857142857143" customWidth="1"/>
    <col min="9472" max="9472" width="17" customWidth="1"/>
    <col min="9473" max="9473" width="21.4380952380952" customWidth="1"/>
    <col min="9474" max="9474" width="14.6666666666667" customWidth="1"/>
    <col min="9475" max="9475" width="17.1047619047619" customWidth="1"/>
    <col min="9476" max="9476" width="21.4380952380952" customWidth="1"/>
    <col min="9477" max="9477" width="15.4380952380952" customWidth="1"/>
    <col min="9711" max="9711" width="6.1047619047619" customWidth="1"/>
    <col min="9712" max="9712" width="54.3333333333333" customWidth="1"/>
    <col min="9713" max="9713" width="8.43809523809524" customWidth="1"/>
    <col min="9714" max="9714" width="15.8857142857143" customWidth="1"/>
    <col min="9715" max="9715" width="14.3333333333333" customWidth="1"/>
    <col min="9716" max="9716" width="13.4380952380952" customWidth="1"/>
    <col min="9717" max="9717" width="13.1047619047619" customWidth="1"/>
    <col min="9718" max="9718" width="16.6666666666667" customWidth="1"/>
    <col min="9719" max="9719" width="18.8857142857143" customWidth="1"/>
    <col min="9720" max="9720" width="19.1047619047619" customWidth="1"/>
    <col min="9721" max="9721" width="17" customWidth="1"/>
    <col min="9722" max="9722" width="15.4380952380952" customWidth="1"/>
    <col min="9723" max="9723" width="18.1047619047619" customWidth="1"/>
    <col min="9724" max="9724" width="25.4380952380952" customWidth="1"/>
    <col min="9725" max="9725" width="14.8857142857143" customWidth="1"/>
    <col min="9726" max="9726" width="18" customWidth="1"/>
    <col min="9727" max="9727" width="21.8857142857143" customWidth="1"/>
    <col min="9728" max="9728" width="17" customWidth="1"/>
    <col min="9729" max="9729" width="21.4380952380952" customWidth="1"/>
    <col min="9730" max="9730" width="14.6666666666667" customWidth="1"/>
    <col min="9731" max="9731" width="17.1047619047619" customWidth="1"/>
    <col min="9732" max="9732" width="21.4380952380952" customWidth="1"/>
    <col min="9733" max="9733" width="15.4380952380952" customWidth="1"/>
    <col min="9967" max="9967" width="6.1047619047619" customWidth="1"/>
    <col min="9968" max="9968" width="54.3333333333333" customWidth="1"/>
    <col min="9969" max="9969" width="8.43809523809524" customWidth="1"/>
    <col min="9970" max="9970" width="15.8857142857143" customWidth="1"/>
    <col min="9971" max="9971" width="14.3333333333333" customWidth="1"/>
    <col min="9972" max="9972" width="13.4380952380952" customWidth="1"/>
    <col min="9973" max="9973" width="13.1047619047619" customWidth="1"/>
    <col min="9974" max="9974" width="16.6666666666667" customWidth="1"/>
    <col min="9975" max="9975" width="18.8857142857143" customWidth="1"/>
    <col min="9976" max="9976" width="19.1047619047619" customWidth="1"/>
    <col min="9977" max="9977" width="17" customWidth="1"/>
    <col min="9978" max="9978" width="15.4380952380952" customWidth="1"/>
    <col min="9979" max="9979" width="18.1047619047619" customWidth="1"/>
    <col min="9980" max="9980" width="25.4380952380952" customWidth="1"/>
    <col min="9981" max="9981" width="14.8857142857143" customWidth="1"/>
    <col min="9982" max="9982" width="18" customWidth="1"/>
    <col min="9983" max="9983" width="21.8857142857143" customWidth="1"/>
    <col min="9984" max="9984" width="17" customWidth="1"/>
    <col min="9985" max="9985" width="21.4380952380952" customWidth="1"/>
    <col min="9986" max="9986" width="14.6666666666667" customWidth="1"/>
    <col min="9987" max="9987" width="17.1047619047619" customWidth="1"/>
    <col min="9988" max="9988" width="21.4380952380952" customWidth="1"/>
    <col min="9989" max="9989" width="15.4380952380952" customWidth="1"/>
    <col min="10223" max="10223" width="6.1047619047619" customWidth="1"/>
    <col min="10224" max="10224" width="54.3333333333333" customWidth="1"/>
    <col min="10225" max="10225" width="8.43809523809524" customWidth="1"/>
    <col min="10226" max="10226" width="15.8857142857143" customWidth="1"/>
    <col min="10227" max="10227" width="14.3333333333333" customWidth="1"/>
    <col min="10228" max="10228" width="13.4380952380952" customWidth="1"/>
    <col min="10229" max="10229" width="13.1047619047619" customWidth="1"/>
    <col min="10230" max="10230" width="16.6666666666667" customWidth="1"/>
    <col min="10231" max="10231" width="18.8857142857143" customWidth="1"/>
    <col min="10232" max="10232" width="19.1047619047619" customWidth="1"/>
    <col min="10233" max="10233" width="17" customWidth="1"/>
    <col min="10234" max="10234" width="15.4380952380952" customWidth="1"/>
    <col min="10235" max="10235" width="18.1047619047619" customWidth="1"/>
    <col min="10236" max="10236" width="25.4380952380952" customWidth="1"/>
    <col min="10237" max="10237" width="14.8857142857143" customWidth="1"/>
    <col min="10238" max="10238" width="18" customWidth="1"/>
    <col min="10239" max="10239" width="21.8857142857143" customWidth="1"/>
    <col min="10240" max="10240" width="17" customWidth="1"/>
    <col min="10241" max="10241" width="21.4380952380952" customWidth="1"/>
    <col min="10242" max="10242" width="14.6666666666667" customWidth="1"/>
    <col min="10243" max="10243" width="17.1047619047619" customWidth="1"/>
    <col min="10244" max="10244" width="21.4380952380952" customWidth="1"/>
    <col min="10245" max="10245" width="15.4380952380952" customWidth="1"/>
    <col min="10479" max="10479" width="6.1047619047619" customWidth="1"/>
    <col min="10480" max="10480" width="54.3333333333333" customWidth="1"/>
    <col min="10481" max="10481" width="8.43809523809524" customWidth="1"/>
    <col min="10482" max="10482" width="15.8857142857143" customWidth="1"/>
    <col min="10483" max="10483" width="14.3333333333333" customWidth="1"/>
    <col min="10484" max="10484" width="13.4380952380952" customWidth="1"/>
    <col min="10485" max="10485" width="13.1047619047619" customWidth="1"/>
    <col min="10486" max="10486" width="16.6666666666667" customWidth="1"/>
    <col min="10487" max="10487" width="18.8857142857143" customWidth="1"/>
    <col min="10488" max="10488" width="19.1047619047619" customWidth="1"/>
    <col min="10489" max="10489" width="17" customWidth="1"/>
    <col min="10490" max="10490" width="15.4380952380952" customWidth="1"/>
    <col min="10491" max="10491" width="18.1047619047619" customWidth="1"/>
    <col min="10492" max="10492" width="25.4380952380952" customWidth="1"/>
    <col min="10493" max="10493" width="14.8857142857143" customWidth="1"/>
    <col min="10494" max="10494" width="18" customWidth="1"/>
    <col min="10495" max="10495" width="21.8857142857143" customWidth="1"/>
    <col min="10496" max="10496" width="17" customWidth="1"/>
    <col min="10497" max="10497" width="21.4380952380952" customWidth="1"/>
    <col min="10498" max="10498" width="14.6666666666667" customWidth="1"/>
    <col min="10499" max="10499" width="17.1047619047619" customWidth="1"/>
    <col min="10500" max="10500" width="21.4380952380952" customWidth="1"/>
    <col min="10501" max="10501" width="15.4380952380952" customWidth="1"/>
    <col min="10735" max="10735" width="6.1047619047619" customWidth="1"/>
    <col min="10736" max="10736" width="54.3333333333333" customWidth="1"/>
    <col min="10737" max="10737" width="8.43809523809524" customWidth="1"/>
    <col min="10738" max="10738" width="15.8857142857143" customWidth="1"/>
    <col min="10739" max="10739" width="14.3333333333333" customWidth="1"/>
    <col min="10740" max="10740" width="13.4380952380952" customWidth="1"/>
    <col min="10741" max="10741" width="13.1047619047619" customWidth="1"/>
    <col min="10742" max="10742" width="16.6666666666667" customWidth="1"/>
    <col min="10743" max="10743" width="18.8857142857143" customWidth="1"/>
    <col min="10744" max="10744" width="19.1047619047619" customWidth="1"/>
    <col min="10745" max="10745" width="17" customWidth="1"/>
    <col min="10746" max="10746" width="15.4380952380952" customWidth="1"/>
    <col min="10747" max="10747" width="18.1047619047619" customWidth="1"/>
    <col min="10748" max="10748" width="25.4380952380952" customWidth="1"/>
    <col min="10749" max="10749" width="14.8857142857143" customWidth="1"/>
    <col min="10750" max="10750" width="18" customWidth="1"/>
    <col min="10751" max="10751" width="21.8857142857143" customWidth="1"/>
    <col min="10752" max="10752" width="17" customWidth="1"/>
    <col min="10753" max="10753" width="21.4380952380952" customWidth="1"/>
    <col min="10754" max="10754" width="14.6666666666667" customWidth="1"/>
    <col min="10755" max="10755" width="17.1047619047619" customWidth="1"/>
    <col min="10756" max="10756" width="21.4380952380952" customWidth="1"/>
    <col min="10757" max="10757" width="15.4380952380952" customWidth="1"/>
    <col min="10991" max="10991" width="6.1047619047619" customWidth="1"/>
    <col min="10992" max="10992" width="54.3333333333333" customWidth="1"/>
    <col min="10993" max="10993" width="8.43809523809524" customWidth="1"/>
    <col min="10994" max="10994" width="15.8857142857143" customWidth="1"/>
    <col min="10995" max="10995" width="14.3333333333333" customWidth="1"/>
    <col min="10996" max="10996" width="13.4380952380952" customWidth="1"/>
    <col min="10997" max="10997" width="13.1047619047619" customWidth="1"/>
    <col min="10998" max="10998" width="16.6666666666667" customWidth="1"/>
    <col min="10999" max="10999" width="18.8857142857143" customWidth="1"/>
    <col min="11000" max="11000" width="19.1047619047619" customWidth="1"/>
    <col min="11001" max="11001" width="17" customWidth="1"/>
    <col min="11002" max="11002" width="15.4380952380952" customWidth="1"/>
    <col min="11003" max="11003" width="18.1047619047619" customWidth="1"/>
    <col min="11004" max="11004" width="25.4380952380952" customWidth="1"/>
    <col min="11005" max="11005" width="14.8857142857143" customWidth="1"/>
    <col min="11006" max="11006" width="18" customWidth="1"/>
    <col min="11007" max="11007" width="21.8857142857143" customWidth="1"/>
    <col min="11008" max="11008" width="17" customWidth="1"/>
    <col min="11009" max="11009" width="21.4380952380952" customWidth="1"/>
    <col min="11010" max="11010" width="14.6666666666667" customWidth="1"/>
    <col min="11011" max="11011" width="17.1047619047619" customWidth="1"/>
    <col min="11012" max="11012" width="21.4380952380952" customWidth="1"/>
    <col min="11013" max="11013" width="15.4380952380952" customWidth="1"/>
    <col min="11247" max="11247" width="6.1047619047619" customWidth="1"/>
    <col min="11248" max="11248" width="54.3333333333333" customWidth="1"/>
    <col min="11249" max="11249" width="8.43809523809524" customWidth="1"/>
    <col min="11250" max="11250" width="15.8857142857143" customWidth="1"/>
    <col min="11251" max="11251" width="14.3333333333333" customWidth="1"/>
    <col min="11252" max="11252" width="13.4380952380952" customWidth="1"/>
    <col min="11253" max="11253" width="13.1047619047619" customWidth="1"/>
    <col min="11254" max="11254" width="16.6666666666667" customWidth="1"/>
    <col min="11255" max="11255" width="18.8857142857143" customWidth="1"/>
    <col min="11256" max="11256" width="19.1047619047619" customWidth="1"/>
    <col min="11257" max="11257" width="17" customWidth="1"/>
    <col min="11258" max="11258" width="15.4380952380952" customWidth="1"/>
    <col min="11259" max="11259" width="18.1047619047619" customWidth="1"/>
    <col min="11260" max="11260" width="25.4380952380952" customWidth="1"/>
    <col min="11261" max="11261" width="14.8857142857143" customWidth="1"/>
    <col min="11262" max="11262" width="18" customWidth="1"/>
    <col min="11263" max="11263" width="21.8857142857143" customWidth="1"/>
    <col min="11264" max="11264" width="17" customWidth="1"/>
    <col min="11265" max="11265" width="21.4380952380952" customWidth="1"/>
    <col min="11266" max="11266" width="14.6666666666667" customWidth="1"/>
    <col min="11267" max="11267" width="17.1047619047619" customWidth="1"/>
    <col min="11268" max="11268" width="21.4380952380952" customWidth="1"/>
    <col min="11269" max="11269" width="15.4380952380952" customWidth="1"/>
    <col min="11503" max="11503" width="6.1047619047619" customWidth="1"/>
    <col min="11504" max="11504" width="54.3333333333333" customWidth="1"/>
    <col min="11505" max="11505" width="8.43809523809524" customWidth="1"/>
    <col min="11506" max="11506" width="15.8857142857143" customWidth="1"/>
    <col min="11507" max="11507" width="14.3333333333333" customWidth="1"/>
    <col min="11508" max="11508" width="13.4380952380952" customWidth="1"/>
    <col min="11509" max="11509" width="13.1047619047619" customWidth="1"/>
    <col min="11510" max="11510" width="16.6666666666667" customWidth="1"/>
    <col min="11511" max="11511" width="18.8857142857143" customWidth="1"/>
    <col min="11512" max="11512" width="19.1047619047619" customWidth="1"/>
    <col min="11513" max="11513" width="17" customWidth="1"/>
    <col min="11514" max="11514" width="15.4380952380952" customWidth="1"/>
    <col min="11515" max="11515" width="18.1047619047619" customWidth="1"/>
    <col min="11516" max="11516" width="25.4380952380952" customWidth="1"/>
    <col min="11517" max="11517" width="14.8857142857143" customWidth="1"/>
    <col min="11518" max="11518" width="18" customWidth="1"/>
    <col min="11519" max="11519" width="21.8857142857143" customWidth="1"/>
    <col min="11520" max="11520" width="17" customWidth="1"/>
    <col min="11521" max="11521" width="21.4380952380952" customWidth="1"/>
    <col min="11522" max="11522" width="14.6666666666667" customWidth="1"/>
    <col min="11523" max="11523" width="17.1047619047619" customWidth="1"/>
    <col min="11524" max="11524" width="21.4380952380952" customWidth="1"/>
    <col min="11525" max="11525" width="15.4380952380952" customWidth="1"/>
    <col min="11759" max="11759" width="6.1047619047619" customWidth="1"/>
    <col min="11760" max="11760" width="54.3333333333333" customWidth="1"/>
    <col min="11761" max="11761" width="8.43809523809524" customWidth="1"/>
    <col min="11762" max="11762" width="15.8857142857143" customWidth="1"/>
    <col min="11763" max="11763" width="14.3333333333333" customWidth="1"/>
    <col min="11764" max="11764" width="13.4380952380952" customWidth="1"/>
    <col min="11765" max="11765" width="13.1047619047619" customWidth="1"/>
    <col min="11766" max="11766" width="16.6666666666667" customWidth="1"/>
    <col min="11767" max="11767" width="18.8857142857143" customWidth="1"/>
    <col min="11768" max="11768" width="19.1047619047619" customWidth="1"/>
    <col min="11769" max="11769" width="17" customWidth="1"/>
    <col min="11770" max="11770" width="15.4380952380952" customWidth="1"/>
    <col min="11771" max="11771" width="18.1047619047619" customWidth="1"/>
    <col min="11772" max="11772" width="25.4380952380952" customWidth="1"/>
    <col min="11773" max="11773" width="14.8857142857143" customWidth="1"/>
    <col min="11774" max="11774" width="18" customWidth="1"/>
    <col min="11775" max="11775" width="21.8857142857143" customWidth="1"/>
    <col min="11776" max="11776" width="17" customWidth="1"/>
    <col min="11777" max="11777" width="21.4380952380952" customWidth="1"/>
    <col min="11778" max="11778" width="14.6666666666667" customWidth="1"/>
    <col min="11779" max="11779" width="17.1047619047619" customWidth="1"/>
    <col min="11780" max="11780" width="21.4380952380952" customWidth="1"/>
    <col min="11781" max="11781" width="15.4380952380952" customWidth="1"/>
    <col min="12015" max="12015" width="6.1047619047619" customWidth="1"/>
    <col min="12016" max="12016" width="54.3333333333333" customWidth="1"/>
    <col min="12017" max="12017" width="8.43809523809524" customWidth="1"/>
    <col min="12018" max="12018" width="15.8857142857143" customWidth="1"/>
    <col min="12019" max="12019" width="14.3333333333333" customWidth="1"/>
    <col min="12020" max="12020" width="13.4380952380952" customWidth="1"/>
    <col min="12021" max="12021" width="13.1047619047619" customWidth="1"/>
    <col min="12022" max="12022" width="16.6666666666667" customWidth="1"/>
    <col min="12023" max="12023" width="18.8857142857143" customWidth="1"/>
    <col min="12024" max="12024" width="19.1047619047619" customWidth="1"/>
    <col min="12025" max="12025" width="17" customWidth="1"/>
    <col min="12026" max="12026" width="15.4380952380952" customWidth="1"/>
    <col min="12027" max="12027" width="18.1047619047619" customWidth="1"/>
    <col min="12028" max="12028" width="25.4380952380952" customWidth="1"/>
    <col min="12029" max="12029" width="14.8857142857143" customWidth="1"/>
    <col min="12030" max="12030" width="18" customWidth="1"/>
    <col min="12031" max="12031" width="21.8857142857143" customWidth="1"/>
    <col min="12032" max="12032" width="17" customWidth="1"/>
    <col min="12033" max="12033" width="21.4380952380952" customWidth="1"/>
    <col min="12034" max="12034" width="14.6666666666667" customWidth="1"/>
    <col min="12035" max="12035" width="17.1047619047619" customWidth="1"/>
    <col min="12036" max="12036" width="21.4380952380952" customWidth="1"/>
    <col min="12037" max="12037" width="15.4380952380952" customWidth="1"/>
    <col min="12271" max="12271" width="6.1047619047619" customWidth="1"/>
    <col min="12272" max="12272" width="54.3333333333333" customWidth="1"/>
    <col min="12273" max="12273" width="8.43809523809524" customWidth="1"/>
    <col min="12274" max="12274" width="15.8857142857143" customWidth="1"/>
    <col min="12275" max="12275" width="14.3333333333333" customWidth="1"/>
    <col min="12276" max="12276" width="13.4380952380952" customWidth="1"/>
    <col min="12277" max="12277" width="13.1047619047619" customWidth="1"/>
    <col min="12278" max="12278" width="16.6666666666667" customWidth="1"/>
    <col min="12279" max="12279" width="18.8857142857143" customWidth="1"/>
    <col min="12280" max="12280" width="19.1047619047619" customWidth="1"/>
    <col min="12281" max="12281" width="17" customWidth="1"/>
    <col min="12282" max="12282" width="15.4380952380952" customWidth="1"/>
    <col min="12283" max="12283" width="18.1047619047619" customWidth="1"/>
    <col min="12284" max="12284" width="25.4380952380952" customWidth="1"/>
    <col min="12285" max="12285" width="14.8857142857143" customWidth="1"/>
    <col min="12286" max="12286" width="18" customWidth="1"/>
    <col min="12287" max="12287" width="21.8857142857143" customWidth="1"/>
    <col min="12288" max="12288" width="17" customWidth="1"/>
    <col min="12289" max="12289" width="21.4380952380952" customWidth="1"/>
    <col min="12290" max="12290" width="14.6666666666667" customWidth="1"/>
    <col min="12291" max="12291" width="17.1047619047619" customWidth="1"/>
    <col min="12292" max="12292" width="21.4380952380952" customWidth="1"/>
    <col min="12293" max="12293" width="15.4380952380952" customWidth="1"/>
    <col min="12527" max="12527" width="6.1047619047619" customWidth="1"/>
    <col min="12528" max="12528" width="54.3333333333333" customWidth="1"/>
    <col min="12529" max="12529" width="8.43809523809524" customWidth="1"/>
    <col min="12530" max="12530" width="15.8857142857143" customWidth="1"/>
    <col min="12531" max="12531" width="14.3333333333333" customWidth="1"/>
    <col min="12532" max="12532" width="13.4380952380952" customWidth="1"/>
    <col min="12533" max="12533" width="13.1047619047619" customWidth="1"/>
    <col min="12534" max="12534" width="16.6666666666667" customWidth="1"/>
    <col min="12535" max="12535" width="18.8857142857143" customWidth="1"/>
    <col min="12536" max="12536" width="19.1047619047619" customWidth="1"/>
    <col min="12537" max="12537" width="17" customWidth="1"/>
    <col min="12538" max="12538" width="15.4380952380952" customWidth="1"/>
    <col min="12539" max="12539" width="18.1047619047619" customWidth="1"/>
    <col min="12540" max="12540" width="25.4380952380952" customWidth="1"/>
    <col min="12541" max="12541" width="14.8857142857143" customWidth="1"/>
    <col min="12542" max="12542" width="18" customWidth="1"/>
    <col min="12543" max="12543" width="21.8857142857143" customWidth="1"/>
    <col min="12544" max="12544" width="17" customWidth="1"/>
    <col min="12545" max="12545" width="21.4380952380952" customWidth="1"/>
    <col min="12546" max="12546" width="14.6666666666667" customWidth="1"/>
    <col min="12547" max="12547" width="17.1047619047619" customWidth="1"/>
    <col min="12548" max="12548" width="21.4380952380952" customWidth="1"/>
    <col min="12549" max="12549" width="15.4380952380952" customWidth="1"/>
    <col min="12783" max="12783" width="6.1047619047619" customWidth="1"/>
    <col min="12784" max="12784" width="54.3333333333333" customWidth="1"/>
    <col min="12785" max="12785" width="8.43809523809524" customWidth="1"/>
    <col min="12786" max="12786" width="15.8857142857143" customWidth="1"/>
    <col min="12787" max="12787" width="14.3333333333333" customWidth="1"/>
    <col min="12788" max="12788" width="13.4380952380952" customWidth="1"/>
    <col min="12789" max="12789" width="13.1047619047619" customWidth="1"/>
    <col min="12790" max="12790" width="16.6666666666667" customWidth="1"/>
    <col min="12791" max="12791" width="18.8857142857143" customWidth="1"/>
    <col min="12792" max="12792" width="19.1047619047619" customWidth="1"/>
    <col min="12793" max="12793" width="17" customWidth="1"/>
    <col min="12794" max="12794" width="15.4380952380952" customWidth="1"/>
    <col min="12795" max="12795" width="18.1047619047619" customWidth="1"/>
    <col min="12796" max="12796" width="25.4380952380952" customWidth="1"/>
    <col min="12797" max="12797" width="14.8857142857143" customWidth="1"/>
    <col min="12798" max="12798" width="18" customWidth="1"/>
    <col min="12799" max="12799" width="21.8857142857143" customWidth="1"/>
    <col min="12800" max="12800" width="17" customWidth="1"/>
    <col min="12801" max="12801" width="21.4380952380952" customWidth="1"/>
    <col min="12802" max="12802" width="14.6666666666667" customWidth="1"/>
    <col min="12803" max="12803" width="17.1047619047619" customWidth="1"/>
    <col min="12804" max="12804" width="21.4380952380952" customWidth="1"/>
    <col min="12805" max="12805" width="15.4380952380952" customWidth="1"/>
    <col min="13039" max="13039" width="6.1047619047619" customWidth="1"/>
    <col min="13040" max="13040" width="54.3333333333333" customWidth="1"/>
    <col min="13041" max="13041" width="8.43809523809524" customWidth="1"/>
    <col min="13042" max="13042" width="15.8857142857143" customWidth="1"/>
    <col min="13043" max="13043" width="14.3333333333333" customWidth="1"/>
    <col min="13044" max="13044" width="13.4380952380952" customWidth="1"/>
    <col min="13045" max="13045" width="13.1047619047619" customWidth="1"/>
    <col min="13046" max="13046" width="16.6666666666667" customWidth="1"/>
    <col min="13047" max="13047" width="18.8857142857143" customWidth="1"/>
    <col min="13048" max="13048" width="19.1047619047619" customWidth="1"/>
    <col min="13049" max="13049" width="17" customWidth="1"/>
    <col min="13050" max="13050" width="15.4380952380952" customWidth="1"/>
    <col min="13051" max="13051" width="18.1047619047619" customWidth="1"/>
    <col min="13052" max="13052" width="25.4380952380952" customWidth="1"/>
    <col min="13053" max="13053" width="14.8857142857143" customWidth="1"/>
    <col min="13054" max="13054" width="18" customWidth="1"/>
    <col min="13055" max="13055" width="21.8857142857143" customWidth="1"/>
    <col min="13056" max="13056" width="17" customWidth="1"/>
    <col min="13057" max="13057" width="21.4380952380952" customWidth="1"/>
    <col min="13058" max="13058" width="14.6666666666667" customWidth="1"/>
    <col min="13059" max="13059" width="17.1047619047619" customWidth="1"/>
    <col min="13060" max="13060" width="21.4380952380952" customWidth="1"/>
    <col min="13061" max="13061" width="15.4380952380952" customWidth="1"/>
    <col min="13295" max="13295" width="6.1047619047619" customWidth="1"/>
    <col min="13296" max="13296" width="54.3333333333333" customWidth="1"/>
    <col min="13297" max="13297" width="8.43809523809524" customWidth="1"/>
    <col min="13298" max="13298" width="15.8857142857143" customWidth="1"/>
    <col min="13299" max="13299" width="14.3333333333333" customWidth="1"/>
    <col min="13300" max="13300" width="13.4380952380952" customWidth="1"/>
    <col min="13301" max="13301" width="13.1047619047619" customWidth="1"/>
    <col min="13302" max="13302" width="16.6666666666667" customWidth="1"/>
    <col min="13303" max="13303" width="18.8857142857143" customWidth="1"/>
    <col min="13304" max="13304" width="19.1047619047619" customWidth="1"/>
    <col min="13305" max="13305" width="17" customWidth="1"/>
    <col min="13306" max="13306" width="15.4380952380952" customWidth="1"/>
    <col min="13307" max="13307" width="18.1047619047619" customWidth="1"/>
    <col min="13308" max="13308" width="25.4380952380952" customWidth="1"/>
    <col min="13309" max="13309" width="14.8857142857143" customWidth="1"/>
    <col min="13310" max="13310" width="18" customWidth="1"/>
    <col min="13311" max="13311" width="21.8857142857143" customWidth="1"/>
    <col min="13312" max="13312" width="17" customWidth="1"/>
    <col min="13313" max="13313" width="21.4380952380952" customWidth="1"/>
    <col min="13314" max="13314" width="14.6666666666667" customWidth="1"/>
    <col min="13315" max="13315" width="17.1047619047619" customWidth="1"/>
    <col min="13316" max="13316" width="21.4380952380952" customWidth="1"/>
    <col min="13317" max="13317" width="15.4380952380952" customWidth="1"/>
    <col min="13551" max="13551" width="6.1047619047619" customWidth="1"/>
    <col min="13552" max="13552" width="54.3333333333333" customWidth="1"/>
    <col min="13553" max="13553" width="8.43809523809524" customWidth="1"/>
    <col min="13554" max="13554" width="15.8857142857143" customWidth="1"/>
    <col min="13555" max="13555" width="14.3333333333333" customWidth="1"/>
    <col min="13556" max="13556" width="13.4380952380952" customWidth="1"/>
    <col min="13557" max="13557" width="13.1047619047619" customWidth="1"/>
    <col min="13558" max="13558" width="16.6666666666667" customWidth="1"/>
    <col min="13559" max="13559" width="18.8857142857143" customWidth="1"/>
    <col min="13560" max="13560" width="19.1047619047619" customWidth="1"/>
    <col min="13561" max="13561" width="17" customWidth="1"/>
    <col min="13562" max="13562" width="15.4380952380952" customWidth="1"/>
    <col min="13563" max="13563" width="18.1047619047619" customWidth="1"/>
    <col min="13564" max="13564" width="25.4380952380952" customWidth="1"/>
    <col min="13565" max="13565" width="14.8857142857143" customWidth="1"/>
    <col min="13566" max="13566" width="18" customWidth="1"/>
    <col min="13567" max="13567" width="21.8857142857143" customWidth="1"/>
    <col min="13568" max="13568" width="17" customWidth="1"/>
    <col min="13569" max="13569" width="21.4380952380952" customWidth="1"/>
    <col min="13570" max="13570" width="14.6666666666667" customWidth="1"/>
    <col min="13571" max="13571" width="17.1047619047619" customWidth="1"/>
    <col min="13572" max="13572" width="21.4380952380952" customWidth="1"/>
    <col min="13573" max="13573" width="15.4380952380952" customWidth="1"/>
    <col min="13807" max="13807" width="6.1047619047619" customWidth="1"/>
    <col min="13808" max="13808" width="54.3333333333333" customWidth="1"/>
    <col min="13809" max="13809" width="8.43809523809524" customWidth="1"/>
    <col min="13810" max="13810" width="15.8857142857143" customWidth="1"/>
    <col min="13811" max="13811" width="14.3333333333333" customWidth="1"/>
    <col min="13812" max="13812" width="13.4380952380952" customWidth="1"/>
    <col min="13813" max="13813" width="13.1047619047619" customWidth="1"/>
    <col min="13814" max="13814" width="16.6666666666667" customWidth="1"/>
    <col min="13815" max="13815" width="18.8857142857143" customWidth="1"/>
    <col min="13816" max="13816" width="19.1047619047619" customWidth="1"/>
    <col min="13817" max="13817" width="17" customWidth="1"/>
    <col min="13818" max="13818" width="15.4380952380952" customWidth="1"/>
    <col min="13819" max="13819" width="18.1047619047619" customWidth="1"/>
    <col min="13820" max="13820" width="25.4380952380952" customWidth="1"/>
    <col min="13821" max="13821" width="14.8857142857143" customWidth="1"/>
    <col min="13822" max="13822" width="18" customWidth="1"/>
    <col min="13823" max="13823" width="21.8857142857143" customWidth="1"/>
    <col min="13824" max="13824" width="17" customWidth="1"/>
    <col min="13825" max="13825" width="21.4380952380952" customWidth="1"/>
    <col min="13826" max="13826" width="14.6666666666667" customWidth="1"/>
    <col min="13827" max="13827" width="17.1047619047619" customWidth="1"/>
    <col min="13828" max="13828" width="21.4380952380952" customWidth="1"/>
    <col min="13829" max="13829" width="15.4380952380952" customWidth="1"/>
    <col min="14063" max="14063" width="6.1047619047619" customWidth="1"/>
    <col min="14064" max="14064" width="54.3333333333333" customWidth="1"/>
    <col min="14065" max="14065" width="8.43809523809524" customWidth="1"/>
    <col min="14066" max="14066" width="15.8857142857143" customWidth="1"/>
    <col min="14067" max="14067" width="14.3333333333333" customWidth="1"/>
    <col min="14068" max="14068" width="13.4380952380952" customWidth="1"/>
    <col min="14069" max="14069" width="13.1047619047619" customWidth="1"/>
    <col min="14070" max="14070" width="16.6666666666667" customWidth="1"/>
    <col min="14071" max="14071" width="18.8857142857143" customWidth="1"/>
    <col min="14072" max="14072" width="19.1047619047619" customWidth="1"/>
    <col min="14073" max="14073" width="17" customWidth="1"/>
    <col min="14074" max="14074" width="15.4380952380952" customWidth="1"/>
    <col min="14075" max="14075" width="18.1047619047619" customWidth="1"/>
    <col min="14076" max="14076" width="25.4380952380952" customWidth="1"/>
    <col min="14077" max="14077" width="14.8857142857143" customWidth="1"/>
    <col min="14078" max="14078" width="18" customWidth="1"/>
    <col min="14079" max="14079" width="21.8857142857143" customWidth="1"/>
    <col min="14080" max="14080" width="17" customWidth="1"/>
    <col min="14081" max="14081" width="21.4380952380952" customWidth="1"/>
    <col min="14082" max="14082" width="14.6666666666667" customWidth="1"/>
    <col min="14083" max="14083" width="17.1047619047619" customWidth="1"/>
    <col min="14084" max="14084" width="21.4380952380952" customWidth="1"/>
    <col min="14085" max="14085" width="15.4380952380952" customWidth="1"/>
    <col min="14319" max="14319" width="6.1047619047619" customWidth="1"/>
    <col min="14320" max="14320" width="54.3333333333333" customWidth="1"/>
    <col min="14321" max="14321" width="8.43809523809524" customWidth="1"/>
    <col min="14322" max="14322" width="15.8857142857143" customWidth="1"/>
    <col min="14323" max="14323" width="14.3333333333333" customWidth="1"/>
    <col min="14324" max="14324" width="13.4380952380952" customWidth="1"/>
    <col min="14325" max="14325" width="13.1047619047619" customWidth="1"/>
    <col min="14326" max="14326" width="16.6666666666667" customWidth="1"/>
    <col min="14327" max="14327" width="18.8857142857143" customWidth="1"/>
    <col min="14328" max="14328" width="19.1047619047619" customWidth="1"/>
    <col min="14329" max="14329" width="17" customWidth="1"/>
    <col min="14330" max="14330" width="15.4380952380952" customWidth="1"/>
    <col min="14331" max="14331" width="18.1047619047619" customWidth="1"/>
    <col min="14332" max="14332" width="25.4380952380952" customWidth="1"/>
    <col min="14333" max="14333" width="14.8857142857143" customWidth="1"/>
    <col min="14334" max="14334" width="18" customWidth="1"/>
    <col min="14335" max="14335" width="21.8857142857143" customWidth="1"/>
    <col min="14336" max="14336" width="17" customWidth="1"/>
    <col min="14337" max="14337" width="21.4380952380952" customWidth="1"/>
    <col min="14338" max="14338" width="14.6666666666667" customWidth="1"/>
    <col min="14339" max="14339" width="17.1047619047619" customWidth="1"/>
    <col min="14340" max="14340" width="21.4380952380952" customWidth="1"/>
    <col min="14341" max="14341" width="15.4380952380952" customWidth="1"/>
    <col min="14575" max="14575" width="6.1047619047619" customWidth="1"/>
    <col min="14576" max="14576" width="54.3333333333333" customWidth="1"/>
    <col min="14577" max="14577" width="8.43809523809524" customWidth="1"/>
    <col min="14578" max="14578" width="15.8857142857143" customWidth="1"/>
    <col min="14579" max="14579" width="14.3333333333333" customWidth="1"/>
    <col min="14580" max="14580" width="13.4380952380952" customWidth="1"/>
    <col min="14581" max="14581" width="13.1047619047619" customWidth="1"/>
    <col min="14582" max="14582" width="16.6666666666667" customWidth="1"/>
    <col min="14583" max="14583" width="18.8857142857143" customWidth="1"/>
    <col min="14584" max="14584" width="19.1047619047619" customWidth="1"/>
    <col min="14585" max="14585" width="17" customWidth="1"/>
    <col min="14586" max="14586" width="15.4380952380952" customWidth="1"/>
    <col min="14587" max="14587" width="18.1047619047619" customWidth="1"/>
    <col min="14588" max="14588" width="25.4380952380952" customWidth="1"/>
    <col min="14589" max="14589" width="14.8857142857143" customWidth="1"/>
    <col min="14590" max="14590" width="18" customWidth="1"/>
    <col min="14591" max="14591" width="21.8857142857143" customWidth="1"/>
    <col min="14592" max="14592" width="17" customWidth="1"/>
    <col min="14593" max="14593" width="21.4380952380952" customWidth="1"/>
    <col min="14594" max="14594" width="14.6666666666667" customWidth="1"/>
    <col min="14595" max="14595" width="17.1047619047619" customWidth="1"/>
    <col min="14596" max="14596" width="21.4380952380952" customWidth="1"/>
    <col min="14597" max="14597" width="15.4380952380952" customWidth="1"/>
    <col min="14831" max="14831" width="6.1047619047619" customWidth="1"/>
    <col min="14832" max="14832" width="54.3333333333333" customWidth="1"/>
    <col min="14833" max="14833" width="8.43809523809524" customWidth="1"/>
    <col min="14834" max="14834" width="15.8857142857143" customWidth="1"/>
    <col min="14835" max="14835" width="14.3333333333333" customWidth="1"/>
    <col min="14836" max="14836" width="13.4380952380952" customWidth="1"/>
    <col min="14837" max="14837" width="13.1047619047619" customWidth="1"/>
    <col min="14838" max="14838" width="16.6666666666667" customWidth="1"/>
    <col min="14839" max="14839" width="18.8857142857143" customWidth="1"/>
    <col min="14840" max="14840" width="19.1047619047619" customWidth="1"/>
    <col min="14841" max="14841" width="17" customWidth="1"/>
    <col min="14842" max="14842" width="15.4380952380952" customWidth="1"/>
    <col min="14843" max="14843" width="18.1047619047619" customWidth="1"/>
    <col min="14844" max="14844" width="25.4380952380952" customWidth="1"/>
    <col min="14845" max="14845" width="14.8857142857143" customWidth="1"/>
    <col min="14846" max="14846" width="18" customWidth="1"/>
    <col min="14847" max="14847" width="21.8857142857143" customWidth="1"/>
    <col min="14848" max="14848" width="17" customWidth="1"/>
    <col min="14849" max="14849" width="21.4380952380952" customWidth="1"/>
    <col min="14850" max="14850" width="14.6666666666667" customWidth="1"/>
    <col min="14851" max="14851" width="17.1047619047619" customWidth="1"/>
    <col min="14852" max="14852" width="21.4380952380952" customWidth="1"/>
    <col min="14853" max="14853" width="15.4380952380952" customWidth="1"/>
    <col min="15087" max="15087" width="6.1047619047619" customWidth="1"/>
    <col min="15088" max="15088" width="54.3333333333333" customWidth="1"/>
    <col min="15089" max="15089" width="8.43809523809524" customWidth="1"/>
    <col min="15090" max="15090" width="15.8857142857143" customWidth="1"/>
    <col min="15091" max="15091" width="14.3333333333333" customWidth="1"/>
    <col min="15092" max="15092" width="13.4380952380952" customWidth="1"/>
    <col min="15093" max="15093" width="13.1047619047619" customWidth="1"/>
    <col min="15094" max="15094" width="16.6666666666667" customWidth="1"/>
    <col min="15095" max="15095" width="18.8857142857143" customWidth="1"/>
    <col min="15096" max="15096" width="19.1047619047619" customWidth="1"/>
    <col min="15097" max="15097" width="17" customWidth="1"/>
    <col min="15098" max="15098" width="15.4380952380952" customWidth="1"/>
    <col min="15099" max="15099" width="18.1047619047619" customWidth="1"/>
    <col min="15100" max="15100" width="25.4380952380952" customWidth="1"/>
    <col min="15101" max="15101" width="14.8857142857143" customWidth="1"/>
    <col min="15102" max="15102" width="18" customWidth="1"/>
    <col min="15103" max="15103" width="21.8857142857143" customWidth="1"/>
    <col min="15104" max="15104" width="17" customWidth="1"/>
    <col min="15105" max="15105" width="21.4380952380952" customWidth="1"/>
    <col min="15106" max="15106" width="14.6666666666667" customWidth="1"/>
    <col min="15107" max="15107" width="17.1047619047619" customWidth="1"/>
    <col min="15108" max="15108" width="21.4380952380952" customWidth="1"/>
    <col min="15109" max="15109" width="15.4380952380952" customWidth="1"/>
    <col min="15343" max="15343" width="6.1047619047619" customWidth="1"/>
    <col min="15344" max="15344" width="54.3333333333333" customWidth="1"/>
    <col min="15345" max="15345" width="8.43809523809524" customWidth="1"/>
    <col min="15346" max="15346" width="15.8857142857143" customWidth="1"/>
    <col min="15347" max="15347" width="14.3333333333333" customWidth="1"/>
    <col min="15348" max="15348" width="13.4380952380952" customWidth="1"/>
    <col min="15349" max="15349" width="13.1047619047619" customWidth="1"/>
    <col min="15350" max="15350" width="16.6666666666667" customWidth="1"/>
    <col min="15351" max="15351" width="18.8857142857143" customWidth="1"/>
    <col min="15352" max="15352" width="19.1047619047619" customWidth="1"/>
    <col min="15353" max="15353" width="17" customWidth="1"/>
    <col min="15354" max="15354" width="15.4380952380952" customWidth="1"/>
    <col min="15355" max="15355" width="18.1047619047619" customWidth="1"/>
    <col min="15356" max="15356" width="25.4380952380952" customWidth="1"/>
    <col min="15357" max="15357" width="14.8857142857143" customWidth="1"/>
    <col min="15358" max="15358" width="18" customWidth="1"/>
    <col min="15359" max="15359" width="21.8857142857143" customWidth="1"/>
    <col min="15360" max="15360" width="17" customWidth="1"/>
    <col min="15361" max="15361" width="21.4380952380952" customWidth="1"/>
    <col min="15362" max="15362" width="14.6666666666667" customWidth="1"/>
    <col min="15363" max="15363" width="17.1047619047619" customWidth="1"/>
    <col min="15364" max="15364" width="21.4380952380952" customWidth="1"/>
    <col min="15365" max="15365" width="15.4380952380952" customWidth="1"/>
    <col min="15599" max="15599" width="6.1047619047619" customWidth="1"/>
    <col min="15600" max="15600" width="54.3333333333333" customWidth="1"/>
    <col min="15601" max="15601" width="8.43809523809524" customWidth="1"/>
    <col min="15602" max="15602" width="15.8857142857143" customWidth="1"/>
    <col min="15603" max="15603" width="14.3333333333333" customWidth="1"/>
    <col min="15604" max="15604" width="13.4380952380952" customWidth="1"/>
    <col min="15605" max="15605" width="13.1047619047619" customWidth="1"/>
    <col min="15606" max="15606" width="16.6666666666667" customWidth="1"/>
    <col min="15607" max="15607" width="18.8857142857143" customWidth="1"/>
    <col min="15608" max="15608" width="19.1047619047619" customWidth="1"/>
    <col min="15609" max="15609" width="17" customWidth="1"/>
    <col min="15610" max="15610" width="15.4380952380952" customWidth="1"/>
    <col min="15611" max="15611" width="18.1047619047619" customWidth="1"/>
    <col min="15612" max="15612" width="25.4380952380952" customWidth="1"/>
    <col min="15613" max="15613" width="14.8857142857143" customWidth="1"/>
    <col min="15614" max="15614" width="18" customWidth="1"/>
    <col min="15615" max="15615" width="21.8857142857143" customWidth="1"/>
    <col min="15616" max="15616" width="17" customWidth="1"/>
    <col min="15617" max="15617" width="21.4380952380952" customWidth="1"/>
    <col min="15618" max="15618" width="14.6666666666667" customWidth="1"/>
    <col min="15619" max="15619" width="17.1047619047619" customWidth="1"/>
    <col min="15620" max="15620" width="21.4380952380952" customWidth="1"/>
    <col min="15621" max="15621" width="15.4380952380952" customWidth="1"/>
    <col min="15855" max="15855" width="6.1047619047619" customWidth="1"/>
    <col min="15856" max="15856" width="54.3333333333333" customWidth="1"/>
    <col min="15857" max="15857" width="8.43809523809524" customWidth="1"/>
    <col min="15858" max="15858" width="15.8857142857143" customWidth="1"/>
    <col min="15859" max="15859" width="14.3333333333333" customWidth="1"/>
    <col min="15860" max="15860" width="13.4380952380952" customWidth="1"/>
    <col min="15861" max="15861" width="13.1047619047619" customWidth="1"/>
    <col min="15862" max="15862" width="16.6666666666667" customWidth="1"/>
    <col min="15863" max="15863" width="18.8857142857143" customWidth="1"/>
    <col min="15864" max="15864" width="19.1047619047619" customWidth="1"/>
    <col min="15865" max="15865" width="17" customWidth="1"/>
    <col min="15866" max="15866" width="15.4380952380952" customWidth="1"/>
    <col min="15867" max="15867" width="18.1047619047619" customWidth="1"/>
    <col min="15868" max="15868" width="25.4380952380952" customWidth="1"/>
    <col min="15869" max="15869" width="14.8857142857143" customWidth="1"/>
    <col min="15870" max="15870" width="18" customWidth="1"/>
    <col min="15871" max="15871" width="21.8857142857143" customWidth="1"/>
    <col min="15872" max="15872" width="17" customWidth="1"/>
    <col min="15873" max="15873" width="21.4380952380952" customWidth="1"/>
    <col min="15874" max="15874" width="14.6666666666667" customWidth="1"/>
    <col min="15875" max="15875" width="17.1047619047619" customWidth="1"/>
    <col min="15876" max="15876" width="21.4380952380952" customWidth="1"/>
    <col min="15877" max="15877" width="15.4380952380952" customWidth="1"/>
    <col min="16111" max="16111" width="6.1047619047619" customWidth="1"/>
    <col min="16112" max="16112" width="54.3333333333333" customWidth="1"/>
    <col min="16113" max="16113" width="8.43809523809524" customWidth="1"/>
    <col min="16114" max="16114" width="15.8857142857143" customWidth="1"/>
    <col min="16115" max="16115" width="14.3333333333333" customWidth="1"/>
    <col min="16116" max="16116" width="13.4380952380952" customWidth="1"/>
    <col min="16117" max="16117" width="13.1047619047619" customWidth="1"/>
    <col min="16118" max="16118" width="16.6666666666667" customWidth="1"/>
    <col min="16119" max="16119" width="18.8857142857143" customWidth="1"/>
    <col min="16120" max="16120" width="19.1047619047619" customWidth="1"/>
    <col min="16121" max="16121" width="17" customWidth="1"/>
    <col min="16122" max="16122" width="15.4380952380952" customWidth="1"/>
    <col min="16123" max="16123" width="18.1047619047619" customWidth="1"/>
    <col min="16124" max="16124" width="25.4380952380952" customWidth="1"/>
    <col min="16125" max="16125" width="14.8857142857143" customWidth="1"/>
    <col min="16126" max="16126" width="18" customWidth="1"/>
    <col min="16127" max="16127" width="21.8857142857143" customWidth="1"/>
    <col min="16128" max="16128" width="17" customWidth="1"/>
    <col min="16129" max="16129" width="21.4380952380952" customWidth="1"/>
    <col min="16130" max="16130" width="14.6666666666667" customWidth="1"/>
    <col min="16131" max="16131" width="17.1047619047619" customWidth="1"/>
    <col min="16132" max="16132" width="21.4380952380952" customWidth="1"/>
    <col min="16133" max="16133" width="15.4380952380952" customWidth="1"/>
  </cols>
  <sheetData>
    <row r="1" ht="27.75" customHeight="1" spans="1:9">
      <c r="A1" t="s">
        <v>210</v>
      </c>
    </row>
    <row r="2" ht="30" customHeight="1" spans="1:9">
      <c r="A2" t="s">
        <v>134</v>
      </c>
      <c r="B2" t="s">
        <v>27</v>
      </c>
      <c r="C2" t="s">
        <v>211</v>
      </c>
      <c r="D2" t="s">
        <v>212</v>
      </c>
      <c r="E2" s="34" t="s">
        <v>213</v>
      </c>
      <c r="F2" s="36" t="s">
        <v>137</v>
      </c>
    </row>
    <row r="3" s="785" customFormat="1" spans="1:9">
      <c r="A3" s="785">
        <v>0</v>
      </c>
      <c r="E3" s="808"/>
      <c r="F3" s="808"/>
      <c r="G3" s="809"/>
    </row>
    <row r="4" s="785" customFormat="1" spans="1:9">
      <c r="A4" s="785">
        <v>1</v>
      </c>
      <c r="B4" s="785" t="s">
        <v>214</v>
      </c>
      <c r="C4" s="785" t="s">
        <v>215</v>
      </c>
      <c r="E4" s="808"/>
      <c r="F4" s="810">
        <v>8</v>
      </c>
      <c r="G4" s="811"/>
      <c r="I4" s="785" t="s">
        <v>216</v>
      </c>
    </row>
    <row r="5" s="785" customFormat="1" spans="1:9">
      <c r="A5" s="785">
        <v>2</v>
      </c>
      <c r="B5" s="785" t="s">
        <v>217</v>
      </c>
      <c r="C5" s="785" t="s">
        <v>215</v>
      </c>
      <c r="E5" s="808"/>
      <c r="F5" s="810">
        <v>6</v>
      </c>
      <c r="G5" s="811"/>
    </row>
    <row r="6" s="785" customFormat="1" spans="1:9">
      <c r="A6" s="785">
        <v>3</v>
      </c>
      <c r="B6" s="785" t="s">
        <v>218</v>
      </c>
      <c r="C6" s="785" t="s">
        <v>219</v>
      </c>
      <c r="E6" s="808"/>
      <c r="F6" s="808">
        <v>920</v>
      </c>
      <c r="G6" s="811"/>
    </row>
    <row r="7" s="785" customFormat="1" spans="1:9">
      <c r="A7" s="785">
        <v>4</v>
      </c>
      <c r="B7" s="785" t="s">
        <v>220</v>
      </c>
      <c r="C7" s="785" t="s">
        <v>219</v>
      </c>
      <c r="E7" s="808"/>
      <c r="F7" s="808">
        <v>350</v>
      </c>
      <c r="G7" s="811"/>
    </row>
    <row r="8" s="785" customFormat="1" spans="1:9">
      <c r="A8" s="785">
        <v>5</v>
      </c>
      <c r="B8" s="785" t="s">
        <v>221</v>
      </c>
      <c r="C8" s="785" t="s">
        <v>219</v>
      </c>
      <c r="E8" s="808">
        <v>0</v>
      </c>
      <c r="F8" s="808"/>
      <c r="G8" s="811"/>
    </row>
    <row r="9" s="785" customFormat="1" spans="1:9">
      <c r="A9" s="785">
        <v>6</v>
      </c>
      <c r="B9" s="785" t="s">
        <v>222</v>
      </c>
      <c r="C9" s="785" t="s">
        <v>219</v>
      </c>
      <c r="E9" s="808"/>
      <c r="F9" s="808">
        <v>5486</v>
      </c>
      <c r="G9" s="811"/>
    </row>
    <row r="10" s="785" customFormat="1" spans="1:9">
      <c r="A10" s="785">
        <v>7</v>
      </c>
      <c r="B10" s="785" t="s">
        <v>223</v>
      </c>
      <c r="C10" s="785" t="s">
        <v>219</v>
      </c>
      <c r="E10" s="808"/>
      <c r="F10" s="808">
        <v>800</v>
      </c>
      <c r="G10" s="811"/>
    </row>
    <row r="11" s="785" customFormat="1" spans="1:9">
      <c r="A11" s="785">
        <v>8</v>
      </c>
      <c r="B11" s="785" t="s">
        <v>224</v>
      </c>
      <c r="C11" s="785" t="s">
        <v>219</v>
      </c>
      <c r="D11" s="785" t="s">
        <v>214</v>
      </c>
      <c r="E11" s="808">
        <f>22*(30/3)</f>
        <v>220</v>
      </c>
      <c r="F11" s="810">
        <v>8000</v>
      </c>
      <c r="G11" s="811"/>
    </row>
    <row r="12" s="785" customFormat="1" spans="1:9">
      <c r="A12" s="785">
        <v>9</v>
      </c>
      <c r="B12" s="785" t="s">
        <v>225</v>
      </c>
      <c r="C12" s="785" t="s">
        <v>219</v>
      </c>
      <c r="D12" s="785" t="s">
        <v>214</v>
      </c>
      <c r="E12" s="808">
        <f>(22*(45))/2.5</f>
        <v>396</v>
      </c>
      <c r="F12" s="810">
        <v>14000</v>
      </c>
      <c r="G12" s="811"/>
    </row>
    <row r="13" s="785" customFormat="1" spans="1:9">
      <c r="A13" s="785">
        <v>10</v>
      </c>
      <c r="B13" s="785" t="s">
        <v>226</v>
      </c>
      <c r="C13" s="785" t="s">
        <v>219</v>
      </c>
      <c r="D13" s="785" t="s">
        <v>214</v>
      </c>
      <c r="E13" s="808">
        <f>22*(40/2)</f>
        <v>440</v>
      </c>
      <c r="F13" s="808"/>
      <c r="G13" s="811"/>
    </row>
    <row r="14" s="785" customFormat="1" spans="1:9">
      <c r="A14" s="785">
        <v>11</v>
      </c>
      <c r="B14" s="785" t="s">
        <v>227</v>
      </c>
      <c r="C14" s="785" t="s">
        <v>219</v>
      </c>
      <c r="D14" s="785" t="s">
        <v>214</v>
      </c>
      <c r="E14" s="808">
        <f>22*(40/3)</f>
        <v>293.333333333333</v>
      </c>
      <c r="F14" s="810">
        <v>18000</v>
      </c>
      <c r="G14" s="811" t="s">
        <v>228</v>
      </c>
    </row>
    <row r="15" s="785" customFormat="1" spans="1:9">
      <c r="A15" s="785">
        <v>12</v>
      </c>
      <c r="B15" s="785" t="s">
        <v>229</v>
      </c>
      <c r="C15" s="785" t="s">
        <v>230</v>
      </c>
      <c r="D15" s="785" t="s">
        <v>214</v>
      </c>
      <c r="E15" s="808">
        <v>10</v>
      </c>
      <c r="F15" s="808"/>
      <c r="G15" s="811"/>
    </row>
    <row r="16" s="785" customFormat="1" spans="1:9">
      <c r="A16" s="785">
        <v>13</v>
      </c>
      <c r="B16" s="785" t="s">
        <v>231</v>
      </c>
      <c r="C16" s="785" t="s">
        <v>219</v>
      </c>
      <c r="D16" s="785" t="s">
        <v>217</v>
      </c>
      <c r="E16" s="808">
        <f>8.8*1.5*22</f>
        <v>290.4</v>
      </c>
      <c r="F16" s="810">
        <v>1040</v>
      </c>
      <c r="G16" s="811"/>
    </row>
    <row r="17" s="785" customFormat="1" spans="1:7">
      <c r="A17" s="785">
        <v>14</v>
      </c>
      <c r="B17" s="785" t="s">
        <v>232</v>
      </c>
      <c r="C17" s="785" t="s">
        <v>219</v>
      </c>
      <c r="D17" s="785" t="s">
        <v>214</v>
      </c>
      <c r="E17" s="808">
        <f>22*(8*0.6)*16</f>
        <v>1689.6</v>
      </c>
      <c r="F17" s="810">
        <v>34000</v>
      </c>
      <c r="G17" s="811"/>
    </row>
    <row r="18" s="785" customFormat="1" spans="1:7">
      <c r="A18" s="785">
        <v>15</v>
      </c>
      <c r="B18" s="785" t="s">
        <v>233</v>
      </c>
      <c r="C18" s="785" t="s">
        <v>219</v>
      </c>
      <c r="D18" s="785" t="s">
        <v>217</v>
      </c>
      <c r="E18" s="808">
        <f>22*10</f>
        <v>220</v>
      </c>
      <c r="F18" s="808"/>
      <c r="G18" s="811"/>
    </row>
    <row r="19" s="785" customFormat="1" spans="1:7">
      <c r="A19" s="785">
        <v>16</v>
      </c>
      <c r="B19" s="785" t="s">
        <v>234</v>
      </c>
      <c r="C19" s="785" t="s">
        <v>235</v>
      </c>
      <c r="D19" s="785" t="s">
        <v>214</v>
      </c>
      <c r="E19" s="808">
        <v>30</v>
      </c>
      <c r="F19" s="808"/>
      <c r="G19" s="811"/>
    </row>
    <row r="20" s="785" customFormat="1" spans="1:7">
      <c r="A20" s="785">
        <v>17</v>
      </c>
      <c r="B20" s="785" t="s">
        <v>236</v>
      </c>
      <c r="C20" s="785" t="s">
        <v>219</v>
      </c>
      <c r="D20" s="785" t="s">
        <v>217</v>
      </c>
      <c r="E20" s="808">
        <v>200</v>
      </c>
      <c r="F20" s="810">
        <v>1920</v>
      </c>
      <c r="G20" s="811"/>
    </row>
    <row r="21" s="785" customFormat="1" spans="1:7">
      <c r="A21" s="785">
        <v>18</v>
      </c>
      <c r="B21" s="785" t="s">
        <v>237</v>
      </c>
      <c r="C21" s="785" t="s">
        <v>219</v>
      </c>
      <c r="D21" s="785" t="s">
        <v>214</v>
      </c>
      <c r="E21" s="808">
        <v>500</v>
      </c>
      <c r="F21" s="808"/>
      <c r="G21" s="811"/>
    </row>
    <row r="22" s="785" customFormat="1" spans="1:7">
      <c r="A22" s="785">
        <v>19</v>
      </c>
      <c r="B22" s="785" t="s">
        <v>238</v>
      </c>
      <c r="C22" s="785" t="s">
        <v>219</v>
      </c>
      <c r="E22" s="808"/>
      <c r="F22" s="808"/>
      <c r="G22" s="811"/>
    </row>
    <row r="23" s="785" customFormat="1" spans="1:7">
      <c r="A23" s="785">
        <v>20</v>
      </c>
      <c r="B23" s="785" t="s">
        <v>239</v>
      </c>
      <c r="C23" s="785" t="s">
        <v>219</v>
      </c>
      <c r="D23" s="785" t="s">
        <v>214</v>
      </c>
      <c r="E23" s="808">
        <f>22*(8*0.6)*16</f>
        <v>1689.6</v>
      </c>
      <c r="F23" s="810">
        <v>42000</v>
      </c>
      <c r="G23" s="811"/>
    </row>
    <row r="24" s="785" customFormat="1" spans="1:7">
      <c r="A24" s="785">
        <v>21</v>
      </c>
      <c r="B24" s="785" t="s">
        <v>240</v>
      </c>
      <c r="C24" s="785" t="s">
        <v>219</v>
      </c>
      <c r="D24" s="785" t="s">
        <v>217</v>
      </c>
      <c r="E24" s="808">
        <v>100</v>
      </c>
      <c r="F24" s="808"/>
      <c r="G24" s="811"/>
    </row>
    <row r="25" s="785" customFormat="1" spans="1:7">
      <c r="A25" s="785">
        <v>22</v>
      </c>
      <c r="B25" s="785" t="s">
        <v>241</v>
      </c>
      <c r="C25" s="785" t="s">
        <v>230</v>
      </c>
      <c r="D25" s="785" t="s">
        <v>214</v>
      </c>
      <c r="E25" s="808">
        <f>8*0.6</f>
        <v>4.8</v>
      </c>
      <c r="F25" s="810">
        <f>19000/180</f>
        <v>105.555555555556</v>
      </c>
      <c r="G25" s="811"/>
    </row>
    <row r="26" s="785" customFormat="1" spans="1:7">
      <c r="A26" s="785">
        <v>23</v>
      </c>
      <c r="B26" s="785" t="s">
        <v>242</v>
      </c>
      <c r="C26" s="785" t="s">
        <v>230</v>
      </c>
      <c r="D26" s="785" t="s">
        <v>217</v>
      </c>
      <c r="E26" s="808">
        <v>3</v>
      </c>
      <c r="F26" s="808">
        <f>10500/180</f>
        <v>58.3333333333333</v>
      </c>
      <c r="G26" s="811"/>
    </row>
    <row r="27" s="785" customFormat="1" spans="1:7">
      <c r="A27" s="785">
        <v>24</v>
      </c>
      <c r="B27" s="785" t="s">
        <v>243</v>
      </c>
      <c r="C27" s="785" t="s">
        <v>230</v>
      </c>
      <c r="D27" s="785" t="s">
        <v>214</v>
      </c>
      <c r="E27" s="808">
        <v>8</v>
      </c>
      <c r="F27" s="810">
        <v>138.89</v>
      </c>
      <c r="G27" s="811"/>
    </row>
    <row r="28" s="785" customFormat="1" spans="1:7">
      <c r="A28" s="785">
        <v>25</v>
      </c>
      <c r="B28" s="785" t="s">
        <v>244</v>
      </c>
      <c r="C28" s="785" t="s">
        <v>230</v>
      </c>
      <c r="D28" s="785" t="s">
        <v>214</v>
      </c>
      <c r="E28" s="808">
        <v>10</v>
      </c>
      <c r="F28" s="810">
        <v>138.89</v>
      </c>
      <c r="G28" s="811"/>
    </row>
    <row r="29" s="785" customFormat="1" spans="1:7">
      <c r="A29" s="785">
        <v>26</v>
      </c>
      <c r="B29" s="785" t="s">
        <v>245</v>
      </c>
      <c r="C29" s="785" t="s">
        <v>219</v>
      </c>
      <c r="D29" s="785" t="s">
        <v>214</v>
      </c>
      <c r="E29" s="808">
        <f>22*5</f>
        <v>110</v>
      </c>
      <c r="F29" s="808"/>
      <c r="G29" s="811"/>
    </row>
    <row r="30" s="785" customFormat="1" spans="1:7">
      <c r="A30" s="785">
        <v>27</v>
      </c>
      <c r="B30" s="785" t="s">
        <v>246</v>
      </c>
      <c r="C30" s="785" t="s">
        <v>219</v>
      </c>
      <c r="E30" s="808"/>
      <c r="F30" s="810">
        <v>220</v>
      </c>
      <c r="G30" s="811"/>
    </row>
    <row r="31" s="785" customFormat="1" spans="1:7">
      <c r="A31" s="785">
        <v>28</v>
      </c>
      <c r="B31" s="785" t="s">
        <v>247</v>
      </c>
      <c r="C31" s="785" t="s">
        <v>219</v>
      </c>
      <c r="D31" s="785" t="s">
        <v>217</v>
      </c>
      <c r="E31" s="808">
        <f>2.8*22</f>
        <v>61.6</v>
      </c>
      <c r="F31" s="810">
        <f>450+(340*4)</f>
        <v>1810</v>
      </c>
      <c r="G31" s="811"/>
    </row>
    <row r="32" s="785" customFormat="1" spans="1:7">
      <c r="A32" s="785">
        <v>29</v>
      </c>
      <c r="B32" s="785" t="s">
        <v>248</v>
      </c>
      <c r="C32" s="785" t="s">
        <v>230</v>
      </c>
      <c r="D32" s="785" t="s">
        <v>214</v>
      </c>
      <c r="E32" s="808">
        <v>20</v>
      </c>
      <c r="F32" s="808"/>
      <c r="G32" s="811"/>
    </row>
    <row r="33" s="785" customFormat="1" spans="1:7">
      <c r="A33" s="785">
        <v>30</v>
      </c>
      <c r="B33" s="785" t="s">
        <v>249</v>
      </c>
      <c r="C33" s="785" t="s">
        <v>219</v>
      </c>
      <c r="E33" s="808"/>
      <c r="F33" s="808">
        <f>750+300</f>
        <v>1050</v>
      </c>
      <c r="G33" s="811"/>
    </row>
    <row r="34" s="785" customFormat="1" spans="1:7">
      <c r="A34" s="785">
        <v>31</v>
      </c>
      <c r="B34" s="785" t="s">
        <v>250</v>
      </c>
      <c r="C34" s="785" t="s">
        <v>219</v>
      </c>
      <c r="E34" s="808"/>
      <c r="F34" s="808">
        <v>550</v>
      </c>
      <c r="G34" s="811"/>
    </row>
    <row r="35" s="785" customFormat="1" spans="1:7">
      <c r="A35" s="785">
        <v>32</v>
      </c>
      <c r="B35" s="785" t="s">
        <v>251</v>
      </c>
      <c r="C35" s="785" t="s">
        <v>141</v>
      </c>
      <c r="E35" s="808"/>
      <c r="F35" s="808">
        <v>950</v>
      </c>
      <c r="G35" s="811"/>
    </row>
    <row r="36" s="785" customFormat="1" spans="1:7">
      <c r="A36" s="785">
        <v>33</v>
      </c>
      <c r="B36" s="785" t="s">
        <v>252</v>
      </c>
      <c r="C36" s="785" t="s">
        <v>219</v>
      </c>
      <c r="E36" s="808"/>
      <c r="F36" s="808"/>
      <c r="G36" s="811"/>
    </row>
    <row r="37" s="785" customFormat="1" spans="1:7">
      <c r="A37" s="785">
        <v>34</v>
      </c>
      <c r="E37" s="808"/>
      <c r="F37" s="808"/>
      <c r="G37" s="811"/>
    </row>
    <row r="38" s="785" customFormat="1" spans="1:7">
      <c r="A38" s="785">
        <v>35</v>
      </c>
      <c r="E38" s="808"/>
      <c r="F38" s="808"/>
      <c r="G38" s="811"/>
    </row>
    <row r="39" s="785" customFormat="1" spans="1:7">
      <c r="A39" s="785">
        <v>36</v>
      </c>
      <c r="E39" s="808"/>
      <c r="F39" s="808"/>
      <c r="G39" s="811"/>
    </row>
    <row r="40" s="785" customFormat="1" spans="1:7">
      <c r="A40" s="785">
        <v>37</v>
      </c>
      <c r="E40" s="808"/>
      <c r="F40" s="808"/>
      <c r="G40" s="809"/>
    </row>
    <row r="41" s="785" customFormat="1" spans="1:7">
      <c r="A41" s="785">
        <v>38</v>
      </c>
      <c r="E41" s="808"/>
      <c r="F41" s="808"/>
      <c r="G41" s="809"/>
    </row>
    <row r="42" s="785" customFormat="1" spans="1:7">
      <c r="A42" s="785">
        <v>39</v>
      </c>
      <c r="E42" s="808"/>
      <c r="F42" s="808"/>
      <c r="G42" s="809"/>
    </row>
    <row r="43" s="785" customFormat="1" spans="1:7">
      <c r="A43" s="785">
        <v>40</v>
      </c>
      <c r="B43" s="785" t="s">
        <v>253</v>
      </c>
      <c r="C43" s="785" t="s">
        <v>254</v>
      </c>
      <c r="E43" s="808"/>
      <c r="F43" s="808">
        <v>6</v>
      </c>
      <c r="G43" s="811"/>
    </row>
    <row r="44" s="806" customFormat="1" spans="1:7">
      <c r="A44" s="806">
        <v>41</v>
      </c>
      <c r="B44" s="806" t="s">
        <v>255</v>
      </c>
      <c r="C44" s="806" t="s">
        <v>256</v>
      </c>
      <c r="E44" s="812"/>
      <c r="F44" s="812">
        <v>1.8</v>
      </c>
      <c r="G44" s="813" t="s">
        <v>257</v>
      </c>
    </row>
    <row r="45" s="785" customFormat="1" spans="1:7">
      <c r="A45" s="785">
        <v>42</v>
      </c>
      <c r="B45" s="785" t="s">
        <v>258</v>
      </c>
      <c r="C45" s="785" t="s">
        <v>259</v>
      </c>
      <c r="E45" s="808"/>
      <c r="F45" s="808"/>
      <c r="G45" s="811"/>
    </row>
    <row r="46" spans="1:7">
      <c r="A46">
        <v>43</v>
      </c>
    </row>
    <row r="47" spans="1:7">
      <c r="A47">
        <v>44</v>
      </c>
    </row>
    <row r="48" spans="1:7">
      <c r="A48">
        <v>45</v>
      </c>
    </row>
    <row r="49" spans="1:1">
      <c r="A49">
        <v>46</v>
      </c>
    </row>
    <row r="50" spans="1:1">
      <c r="A50">
        <v>47</v>
      </c>
    </row>
    <row r="51" spans="1:1">
      <c r="A51">
        <v>48</v>
      </c>
    </row>
    <row r="52" spans="1:1">
      <c r="A52">
        <v>49</v>
      </c>
    </row>
    <row r="53" spans="1:1">
      <c r="A53">
        <v>50</v>
      </c>
    </row>
    <row r="54" spans="1:1">
      <c r="A54">
        <v>51</v>
      </c>
    </row>
    <row r="55" spans="1:1">
      <c r="A55">
        <v>52</v>
      </c>
    </row>
    <row r="56" spans="1:1">
      <c r="A56">
        <v>53</v>
      </c>
    </row>
    <row r="57" spans="1:1">
      <c r="A57">
        <v>54</v>
      </c>
    </row>
    <row r="58" spans="1:1">
      <c r="A58">
        <v>55</v>
      </c>
    </row>
    <row r="59" spans="1:1">
      <c r="A59">
        <v>56</v>
      </c>
    </row>
    <row r="60" spans="1:1">
      <c r="A60">
        <v>57</v>
      </c>
    </row>
  </sheetData>
  <sheetProtection formatCells="0" formatColumns="0" formatRows="0" insertRows="0" insertColumns="0" deleteColumns="0" deleteRows="0" sort="0" autoFilter="0" pivotTables="0"/>
  <sortState ref="B6:F36">
    <sortCondition ref="B6:B36"/>
  </sortState>
  <pageMargins left="0.787401575" right="0.787401575" top="0.984251969" bottom="0.984251969" header="0.492125985" footer="0.492125985"/>
  <pageSetup paperSize="9" scale="69"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Planilha8">
    <tabColor theme="9" tint="-0.499984740745262"/>
  </sheetPr>
  <dimension ref="B2:D28"/>
  <sheetViews>
    <sheetView showGridLines="0" zoomScale="130" zoomScaleNormal="130" topLeftCell="A10" workbookViewId="0">
      <selection activeCell="B15" sqref="B15"/>
    </sheetView>
  </sheetViews>
  <sheetFormatPr defaultColWidth="8.88571428571429" defaultRowHeight="12.75" outlineLevelCol="3"/>
  <cols>
    <col min="1" max="1" width="18.3333333333333" style="660" customWidth="1"/>
    <col min="2" max="2" width="8.88571428571429" style="660"/>
    <col min="3" max="3" width="103.104761904762" style="660" customWidth="1"/>
    <col min="4" max="4" width="8.88571428571429" style="660"/>
    <col min="5" max="5" width="16.3333333333333" style="660" customWidth="1"/>
    <col min="6" max="16384" width="8.88571428571429" style="660"/>
  </cols>
  <sheetData>
    <row r="2" ht="109.2" customHeight="1"/>
    <row r="3" ht="14.4" customHeight="1"/>
    <row r="4" ht="18.75" spans="2:4">
      <c r="B4" s="789"/>
      <c r="C4" s="790"/>
      <c r="D4" s="791"/>
    </row>
    <row r="5" ht="20.25" spans="2:4">
      <c r="B5" s="792"/>
      <c r="C5" s="793" t="s">
        <v>260</v>
      </c>
      <c r="D5" s="794"/>
    </row>
    <row r="6" ht="31.2" customHeight="1" spans="2:4">
      <c r="B6" s="792"/>
      <c r="C6" s="795"/>
      <c r="D6" s="794"/>
    </row>
    <row r="7" ht="57" spans="2:4">
      <c r="B7" s="792"/>
      <c r="C7" s="796" t="s">
        <v>261</v>
      </c>
      <c r="D7" s="794"/>
    </row>
    <row r="8" ht="14.25" spans="2:4">
      <c r="B8" s="792"/>
      <c r="C8" s="796"/>
      <c r="D8" s="794"/>
    </row>
    <row r="9" ht="28.5" spans="2:4">
      <c r="B9" s="792"/>
      <c r="C9" s="797" t="s">
        <v>262</v>
      </c>
      <c r="D9" s="798"/>
    </row>
    <row r="10" ht="14.25" spans="2:4">
      <c r="B10" s="792"/>
      <c r="C10" s="796"/>
      <c r="D10" s="798"/>
    </row>
    <row r="11" ht="42.75" spans="2:4">
      <c r="B11" s="792"/>
      <c r="C11" s="799" t="s">
        <v>263</v>
      </c>
      <c r="D11" s="794"/>
    </row>
    <row r="12" ht="99.75" spans="2:4">
      <c r="B12" s="792"/>
      <c r="C12" s="799" t="s">
        <v>264</v>
      </c>
      <c r="D12" s="794"/>
    </row>
    <row r="13" ht="127.2" customHeight="1" spans="2:4">
      <c r="B13" s="792"/>
      <c r="C13" s="799" t="s">
        <v>265</v>
      </c>
      <c r="D13" s="794"/>
    </row>
    <row r="14" ht="28.5" spans="2:4">
      <c r="B14" s="792"/>
      <c r="C14" s="799" t="s">
        <v>266</v>
      </c>
      <c r="D14" s="794"/>
    </row>
    <row r="15" ht="99.75" spans="2:4">
      <c r="B15" s="792"/>
      <c r="C15" s="799" t="s">
        <v>267</v>
      </c>
      <c r="D15" s="794"/>
    </row>
    <row r="16" ht="14.25" spans="2:4">
      <c r="B16" s="792"/>
      <c r="C16" s="799"/>
      <c r="D16" s="794"/>
    </row>
    <row r="17" ht="28.95" customHeight="1" spans="2:4">
      <c r="B17" s="792"/>
      <c r="C17" s="799" t="s">
        <v>268</v>
      </c>
      <c r="D17" s="794"/>
    </row>
    <row r="18" ht="14.25" spans="2:4">
      <c r="B18" s="792"/>
      <c r="C18" s="799"/>
      <c r="D18" s="794"/>
    </row>
    <row r="19" ht="14.25" spans="2:4">
      <c r="B19" s="792"/>
      <c r="C19" s="796" t="s">
        <v>269</v>
      </c>
      <c r="D19" s="794"/>
    </row>
    <row r="20" ht="44.25" spans="2:4">
      <c r="B20" s="792"/>
      <c r="C20" s="800" t="s">
        <v>270</v>
      </c>
      <c r="D20" s="794"/>
    </row>
    <row r="21" ht="72.75" spans="2:4">
      <c r="B21" s="792"/>
      <c r="C21" s="800" t="s">
        <v>271</v>
      </c>
      <c r="D21" s="794"/>
    </row>
    <row r="22" ht="14.25" spans="2:4">
      <c r="B22" s="792"/>
      <c r="C22" s="799"/>
      <c r="D22" s="794"/>
    </row>
    <row r="23" ht="14.25" spans="2:4">
      <c r="B23" s="792"/>
      <c r="C23" s="801" t="s">
        <v>272</v>
      </c>
      <c r="D23" s="794"/>
    </row>
    <row r="24" spans="2:4">
      <c r="B24" s="792"/>
      <c r="C24" s="802" t="s">
        <v>273</v>
      </c>
      <c r="D24" s="794"/>
    </row>
    <row r="25" ht="14.25" spans="2:4">
      <c r="B25" s="792"/>
      <c r="C25" s="801" t="s">
        <v>274</v>
      </c>
      <c r="D25" s="794"/>
    </row>
    <row r="26" ht="14.25" spans="2:4">
      <c r="B26" s="792"/>
      <c r="C26" s="801"/>
      <c r="D26" s="794"/>
    </row>
    <row r="27" spans="2:4">
      <c r="B27" s="792"/>
      <c r="C27"/>
      <c r="D27" s="794"/>
    </row>
    <row r="28" ht="13.5" spans="2:4">
      <c r="B28" s="803"/>
      <c r="C28" s="804"/>
      <c r="D28" s="805"/>
    </row>
  </sheetData>
  <sheetProtection formatCells="0" formatColumns="0" formatRows="0" insertRows="0" insertColumns="0" deleteColumns="0" deleteRows="0" sort="0" autoFilter="0" pivotTables="0"/>
  <hyperlinks>
    <hyperlink ref="C24" r:id="rId4" display="alexandre.nisgoski@cigne.com.br"/>
  </hyperlinks>
  <pageMargins left="0.511811024" right="0.511811024" top="0.787401575" bottom="0.787401575" header="0.31496062" footer="0.31496062"/>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14338" name="Button 2" r:id="rId3">
              <controlPr print="0" defaultSize="0">
                <anchor moveWithCells="1">
                  <from>
                    <xdr:col>2</xdr:col>
                    <xdr:colOff>327660</xdr:colOff>
                    <xdr:row>0</xdr:row>
                    <xdr:rowOff>175260</xdr:rowOff>
                  </from>
                  <to>
                    <xdr:col>2</xdr:col>
                    <xdr:colOff>6766560</xdr:colOff>
                    <xdr:row>1</xdr:row>
                    <xdr:rowOff>1379220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Planilha5">
    <tabColor theme="4" tint="0.599993896298105"/>
    <pageSetUpPr autoPageBreaks="0"/>
  </sheetPr>
  <dimension ref="B1:AA40"/>
  <sheetViews>
    <sheetView showGridLines="0" zoomScale="85" zoomScaleNormal="85" workbookViewId="0">
      <selection activeCell="G38" sqref="G38"/>
    </sheetView>
  </sheetViews>
  <sheetFormatPr defaultColWidth="9" defaultRowHeight="12.75"/>
  <cols>
    <col min="2" max="2" width="26.3333333333333" customWidth="1"/>
    <col min="3" max="3" width="20.4380952380952" customWidth="1"/>
    <col min="4" max="5" width="16.1047619047619" customWidth="1"/>
    <col min="6" max="6" width="16.4380952380952" customWidth="1"/>
    <col min="7" max="7" width="20.3333333333333" customWidth="1"/>
    <col min="8" max="8" width="18.4380952380952" customWidth="1"/>
    <col min="9" max="9" width="14.3333333333333" customWidth="1"/>
    <col min="11" max="11" width="13.1047619047619" customWidth="1"/>
    <col min="13" max="13" width="14.1047619047619" customWidth="1"/>
    <col min="15" max="15" width="13.1047619047619" customWidth="1"/>
    <col min="17" max="17" width="13.1047619047619" customWidth="1"/>
    <col min="19" max="19" width="13.1047619047619" customWidth="1"/>
    <col min="21" max="21" width="13.1047619047619" customWidth="1"/>
    <col min="23" max="23" width="13.1047619047619" customWidth="1"/>
    <col min="25" max="25" width="13.1047619047619" customWidth="1"/>
    <col min="27" max="27" width="13.1047619047619" customWidth="1"/>
    <col min="29" max="29" width="13.1047619047619" customWidth="1"/>
  </cols>
  <sheetData>
    <row r="1" customHeight="1"/>
    <row r="2" ht="19.5" spans="2:9">
      <c r="B2" s="705" t="s">
        <v>275</v>
      </c>
      <c r="C2" s="706"/>
      <c r="D2" s="707"/>
      <c r="E2" s="708"/>
      <c r="F2" s="709"/>
    </row>
    <row r="3" ht="16.95" customHeight="1" spans="2:9">
      <c r="B3" s="710" t="s">
        <v>276</v>
      </c>
      <c r="C3" s="711" t="s">
        <v>277</v>
      </c>
      <c r="D3" s="712" t="s">
        <v>278</v>
      </c>
      <c r="E3" s="713"/>
      <c r="F3" s="714"/>
      <c r="G3" s="714"/>
      <c r="H3" s="714"/>
      <c r="I3" s="714"/>
    </row>
    <row r="4" ht="13.2" customHeight="1" spans="2:9">
      <c r="B4" s="715" t="s">
        <v>279</v>
      </c>
      <c r="C4" s="716">
        <f>'CUSTO DIRETO'!D3</f>
        <v>514672.70906303</v>
      </c>
      <c r="D4" s="717">
        <f>IFERROR(C4/$D$19,"")</f>
        <v>0.140037226185298</v>
      </c>
      <c r="F4" s="714"/>
      <c r="G4" s="714"/>
      <c r="H4" s="714"/>
      <c r="I4" s="714"/>
    </row>
    <row r="5" ht="15" spans="2:9">
      <c r="B5" s="718" t="s">
        <v>280</v>
      </c>
      <c r="C5" s="719">
        <f>'CUSTO DIRETO'!D4</f>
        <v>262932.786165458</v>
      </c>
      <c r="D5" s="720">
        <f t="shared" ref="D5:D7" si="0">IFERROR(C5/$D$19,"")</f>
        <v>0.0715413454014588</v>
      </c>
      <c r="F5" s="714"/>
    </row>
    <row r="6" ht="15" spans="2:9">
      <c r="B6" s="718" t="s">
        <v>281</v>
      </c>
      <c r="C6" s="719">
        <f>'CUSTO INDIRETO'!P100</f>
        <v>533396.6854</v>
      </c>
      <c r="D6" s="720">
        <f t="shared" si="0"/>
        <v>0.145131830315682</v>
      </c>
      <c r="F6" s="714"/>
    </row>
    <row r="7" s="703" customFormat="1" ht="15.75" spans="2:9">
      <c r="B7" s="721" t="s">
        <v>282</v>
      </c>
      <c r="C7" s="722">
        <f>'ABC INSUMO'!K2</f>
        <v>2364254.2</v>
      </c>
      <c r="D7" s="723">
        <f t="shared" si="0"/>
        <v>0.643289598097562</v>
      </c>
      <c r="E7" s="724">
        <f>'ABC INSUMO'!L2</f>
        <v>2665901.96</v>
      </c>
      <c r="F7" s="725"/>
    </row>
    <row r="8" customHeight="1" spans="2:9">
      <c r="B8" s="726"/>
      <c r="C8" s="727"/>
      <c r="D8" s="728"/>
      <c r="E8" s="714"/>
      <c r="F8" s="714"/>
    </row>
    <row r="9" ht="19.5" spans="2:9">
      <c r="B9" s="729" t="s">
        <v>283</v>
      </c>
      <c r="C9" s="730"/>
      <c r="D9" s="731"/>
      <c r="E9" s="732" t="s">
        <v>284</v>
      </c>
    </row>
    <row r="10" customHeight="1" spans="2:9">
      <c r="B10" s="715" t="s">
        <v>285</v>
      </c>
      <c r="C10" s="733">
        <v>9</v>
      </c>
      <c r="D10" s="734"/>
      <c r="E10" s="714"/>
      <c r="F10" s="714"/>
    </row>
    <row r="11" customHeight="1" spans="2:9">
      <c r="B11" s="718" t="s">
        <v>286</v>
      </c>
      <c r="C11" s="735">
        <f>'CUSTO DIRETO'!D5</f>
        <v>7.45733801652892</v>
      </c>
      <c r="D11" s="736"/>
      <c r="E11" s="714"/>
      <c r="F11" s="714"/>
    </row>
    <row r="12" customHeight="1" spans="2:9">
      <c r="B12" s="718" t="s">
        <v>287</v>
      </c>
      <c r="C12" s="735" t="s">
        <v>288</v>
      </c>
      <c r="D12" s="736"/>
      <c r="E12" s="714"/>
      <c r="F12" s="714"/>
    </row>
    <row r="13" customHeight="1" spans="2:9">
      <c r="B13" s="718" t="s">
        <v>289</v>
      </c>
      <c r="C13" s="907" t="s">
        <v>290</v>
      </c>
      <c r="D13" s="736"/>
      <c r="E13" s="714"/>
      <c r="F13" s="714"/>
    </row>
    <row r="14" customHeight="1" spans="2:9">
      <c r="B14" s="718" t="s">
        <v>291</v>
      </c>
      <c r="C14" s="735" t="s">
        <v>292</v>
      </c>
      <c r="D14" s="736"/>
      <c r="E14" s="714"/>
      <c r="F14" s="714"/>
    </row>
    <row r="15" customHeight="1" spans="2:9">
      <c r="B15" s="718" t="s">
        <v>293</v>
      </c>
      <c r="C15" s="735"/>
      <c r="D15" s="736"/>
      <c r="E15" s="714"/>
      <c r="F15" s="714"/>
    </row>
    <row r="16" customHeight="1" spans="2:9">
      <c r="B16" s="721" t="s">
        <v>294</v>
      </c>
      <c r="C16" s="737"/>
      <c r="D16" s="738"/>
      <c r="E16" s="714"/>
      <c r="F16" s="714"/>
    </row>
    <row r="17" ht="13.5" spans="2:27">
      <c r="E17" s="714"/>
      <c r="F17" s="714"/>
      <c r="G17" s="714"/>
      <c r="H17" s="714"/>
      <c r="I17" s="714"/>
    </row>
    <row r="18" ht="15" spans="2:27">
      <c r="B18" s="739" t="s">
        <v>295</v>
      </c>
      <c r="C18" s="740"/>
      <c r="D18" s="741">
        <v>5279428.31</v>
      </c>
      <c r="E18" s="742"/>
      <c r="F18" s="714"/>
      <c r="G18" s="714"/>
      <c r="H18" s="714"/>
      <c r="I18" s="714"/>
    </row>
    <row r="19" ht="15" spans="2:27">
      <c r="B19" s="743" t="s">
        <v>296</v>
      </c>
      <c r="C19" s="744"/>
      <c r="D19" s="745">
        <f>SUM(C4:C7)</f>
        <v>3675256.38062849</v>
      </c>
      <c r="E19" s="714"/>
      <c r="F19" s="746"/>
      <c r="G19" s="747"/>
      <c r="H19" s="748"/>
      <c r="I19" s="747"/>
      <c r="J19" s="749"/>
      <c r="K19" s="750"/>
      <c r="L19" s="749"/>
      <c r="M19" s="750"/>
      <c r="N19" s="749"/>
      <c r="O19" s="750"/>
      <c r="P19" s="749"/>
      <c r="Q19" s="750"/>
      <c r="R19" s="749"/>
      <c r="S19" s="750"/>
      <c r="T19" s="749"/>
      <c r="U19" s="750"/>
      <c r="V19" s="749"/>
      <c r="W19" s="750"/>
      <c r="X19" s="749"/>
      <c r="Y19" s="750"/>
      <c r="Z19" s="749"/>
    </row>
    <row r="20" ht="15" spans="2:27">
      <c r="B20" s="743" t="s">
        <v>297</v>
      </c>
      <c r="C20" s="744"/>
      <c r="D20" s="751">
        <f>D19*D21</f>
        <v>367525.638062849</v>
      </c>
      <c r="E20" s="714"/>
      <c r="F20" s="746"/>
      <c r="G20" s="747"/>
      <c r="H20" s="748"/>
      <c r="I20" s="747"/>
      <c r="J20" s="749"/>
      <c r="K20" s="750"/>
      <c r="L20" s="749"/>
      <c r="M20" s="750"/>
      <c r="N20" s="749"/>
      <c r="O20" s="750"/>
      <c r="P20" s="749"/>
      <c r="Q20" s="750"/>
      <c r="R20" s="749"/>
      <c r="S20" s="750"/>
      <c r="T20" s="749"/>
      <c r="U20" s="750"/>
      <c r="V20" s="749"/>
      <c r="W20" s="750"/>
      <c r="X20" s="749"/>
      <c r="Y20" s="750"/>
      <c r="Z20" s="749"/>
    </row>
    <row r="21" ht="15" spans="2:27">
      <c r="B21" s="743" t="s">
        <v>298</v>
      </c>
      <c r="C21" s="744"/>
      <c r="D21" s="752">
        <v>0.1</v>
      </c>
      <c r="E21" s="714"/>
      <c r="F21" s="746"/>
      <c r="G21" s="747"/>
      <c r="H21" s="748"/>
      <c r="I21" s="747"/>
      <c r="J21" s="749"/>
      <c r="K21" s="750"/>
      <c r="L21" s="749"/>
      <c r="M21" s="750"/>
      <c r="N21" s="749"/>
      <c r="O21" s="750"/>
      <c r="P21" s="749"/>
      <c r="Q21" s="750"/>
      <c r="R21" s="749"/>
      <c r="S21" s="750"/>
      <c r="T21" s="749"/>
      <c r="U21" s="750"/>
      <c r="V21" s="749"/>
      <c r="W21" s="750"/>
      <c r="X21" s="749"/>
    </row>
    <row r="22" ht="15" spans="2:27">
      <c r="B22" s="743" t="s">
        <v>299</v>
      </c>
      <c r="C22" s="744"/>
      <c r="D22" s="753">
        <v>0.05</v>
      </c>
      <c r="E22" s="714"/>
      <c r="F22" s="746"/>
      <c r="G22" s="747"/>
      <c r="H22" s="748"/>
      <c r="I22" s="747"/>
      <c r="J22" s="749"/>
      <c r="K22" s="750"/>
      <c r="L22" s="749"/>
      <c r="M22" s="750"/>
      <c r="N22" s="749"/>
      <c r="O22" s="750"/>
      <c r="P22" s="749"/>
      <c r="Q22" s="750"/>
      <c r="R22" s="749"/>
      <c r="S22" s="750"/>
      <c r="T22" s="749"/>
      <c r="U22" s="750"/>
      <c r="V22" s="749"/>
      <c r="W22" s="750"/>
      <c r="X22" s="749"/>
    </row>
    <row r="23" ht="15" spans="2:27">
      <c r="B23" s="743" t="s">
        <v>300</v>
      </c>
      <c r="C23" s="744"/>
      <c r="D23" s="753">
        <v>0.01</v>
      </c>
      <c r="E23" s="714"/>
      <c r="F23" s="746"/>
      <c r="G23" s="747"/>
      <c r="H23" s="748"/>
      <c r="I23" s="747"/>
      <c r="J23" s="749"/>
      <c r="K23" s="750"/>
      <c r="L23" s="749"/>
      <c r="M23" s="750"/>
      <c r="N23" s="749"/>
      <c r="O23" s="750"/>
      <c r="P23" s="749"/>
      <c r="Q23" s="750"/>
      <c r="R23" s="749"/>
      <c r="S23" s="750"/>
      <c r="T23" s="749"/>
      <c r="U23" s="750"/>
      <c r="V23" s="749"/>
      <c r="W23" s="750"/>
      <c r="X23" s="749"/>
    </row>
    <row r="24" ht="15" spans="2:27">
      <c r="B24" s="743" t="s">
        <v>301</v>
      </c>
      <c r="C24" s="744"/>
      <c r="D24" s="754">
        <v>0.02</v>
      </c>
      <c r="E24" s="714"/>
      <c r="F24" s="746"/>
      <c r="G24" s="747"/>
      <c r="H24" s="748"/>
      <c r="I24" s="747"/>
      <c r="J24" s="749"/>
      <c r="K24" s="750"/>
      <c r="L24" s="749"/>
      <c r="M24" s="750"/>
      <c r="N24" s="749"/>
      <c r="O24" s="750"/>
      <c r="P24" s="749"/>
      <c r="Q24" s="750"/>
      <c r="R24" s="749"/>
      <c r="S24" s="750"/>
      <c r="T24" s="749"/>
      <c r="U24" s="750"/>
      <c r="V24" s="749"/>
      <c r="W24" s="750"/>
      <c r="X24" s="749"/>
    </row>
    <row r="25" ht="15.75" spans="2:27">
      <c r="B25" s="755" t="s">
        <v>302</v>
      </c>
      <c r="C25" s="756"/>
      <c r="D25" s="757">
        <v>0.065</v>
      </c>
      <c r="E25" s="714"/>
      <c r="F25" s="746"/>
      <c r="G25" s="747"/>
      <c r="H25" s="748"/>
      <c r="I25" s="747"/>
      <c r="J25" s="749"/>
      <c r="K25" s="750"/>
      <c r="L25" s="749"/>
      <c r="M25" s="750"/>
      <c r="N25" s="749"/>
      <c r="O25" s="750"/>
      <c r="P25" s="749"/>
      <c r="Q25" s="750"/>
      <c r="R25" s="749"/>
      <c r="S25" s="750"/>
      <c r="T25" s="749"/>
      <c r="U25" s="750"/>
      <c r="V25" s="749"/>
      <c r="W25" s="750"/>
      <c r="X25" s="749"/>
    </row>
    <row r="26" ht="14.4" customHeight="1" spans="2:27">
      <c r="B26" s="758" t="s">
        <v>303</v>
      </c>
      <c r="C26" s="759"/>
      <c r="D26" s="760">
        <f>SUM(D19:D20)/(1-SUM(D22:D25))</f>
        <v>4728400.02186121</v>
      </c>
      <c r="E26" s="761"/>
      <c r="F26" s="748"/>
      <c r="G26" s="747"/>
      <c r="H26" s="762"/>
      <c r="I26" s="747"/>
      <c r="J26" s="749"/>
      <c r="K26" s="750"/>
      <c r="L26" s="749"/>
      <c r="M26" s="750"/>
      <c r="N26" s="749"/>
      <c r="O26" s="750"/>
      <c r="P26" s="749"/>
      <c r="Q26" s="750"/>
      <c r="R26" s="749"/>
      <c r="S26" s="750"/>
      <c r="T26" s="749"/>
      <c r="U26" s="750"/>
      <c r="V26" s="749"/>
      <c r="W26" s="750"/>
      <c r="X26" s="749"/>
    </row>
    <row r="27" ht="15.75" spans="2:27">
      <c r="B27" s="763" t="s">
        <v>304</v>
      </c>
      <c r="C27" s="764"/>
      <c r="D27" s="765">
        <f>1-(D26/D18)</f>
        <v>0.104372719124732</v>
      </c>
      <c r="E27" s="766"/>
      <c r="F27" s="746"/>
      <c r="G27" s="747"/>
      <c r="H27" s="748"/>
      <c r="I27" s="747"/>
      <c r="J27" s="749"/>
      <c r="K27" s="750"/>
      <c r="L27" s="749"/>
      <c r="M27" s="750"/>
      <c r="N27" s="749"/>
      <c r="O27" s="750"/>
      <c r="P27" s="749"/>
      <c r="Q27" s="750"/>
      <c r="R27" s="749"/>
      <c r="S27" s="750"/>
      <c r="T27" s="749"/>
      <c r="U27" s="750"/>
      <c r="V27" s="749"/>
      <c r="W27" s="750"/>
      <c r="X27" s="749"/>
    </row>
    <row r="28" spans="2:27">
      <c r="B28" s="767"/>
      <c r="C28" s="768"/>
      <c r="D28" s="769">
        <f>D18-D26</f>
        <v>551028.28813879</v>
      </c>
      <c r="E28" s="714"/>
      <c r="F28" s="746"/>
      <c r="G28" s="770" t="s">
        <v>305</v>
      </c>
      <c r="H28" s="771"/>
      <c r="I28" s="747"/>
      <c r="J28" s="749"/>
      <c r="K28" s="750"/>
      <c r="L28" s="749"/>
      <c r="M28" s="750"/>
      <c r="N28" s="749"/>
      <c r="O28" s="750"/>
      <c r="P28" s="749"/>
      <c r="Q28" s="750"/>
      <c r="R28" s="749"/>
      <c r="S28" s="750"/>
      <c r="T28" s="749"/>
      <c r="U28" s="750"/>
      <c r="V28" s="749"/>
      <c r="W28" s="750"/>
      <c r="X28" s="749"/>
    </row>
    <row r="29" s="704" customFormat="1" ht="15" spans="2:27">
      <c r="B29" s="772"/>
      <c r="C29" s="773"/>
      <c r="D29" s="774"/>
      <c r="E29" s="775"/>
      <c r="F29" s="776"/>
      <c r="G29" s="777" t="s">
        <v>306</v>
      </c>
      <c r="H29" s="778"/>
      <c r="I29" s="779"/>
      <c r="J29" s="780"/>
      <c r="K29" s="781"/>
      <c r="L29" s="780"/>
      <c r="M29" s="781"/>
      <c r="N29" s="780"/>
      <c r="O29" s="781"/>
      <c r="P29" s="780"/>
      <c r="Q29" s="781"/>
      <c r="R29" s="780"/>
      <c r="S29" s="781"/>
      <c r="T29" s="780"/>
      <c r="U29" s="781"/>
      <c r="V29" s="780"/>
      <c r="W29" s="781"/>
      <c r="X29" s="780"/>
    </row>
    <row r="30" spans="2:27">
      <c r="B30" s="782"/>
      <c r="C30" s="782"/>
      <c r="D30" s="782"/>
      <c r="E30" s="782"/>
      <c r="F30" s="782"/>
      <c r="G30" s="783" t="s">
        <v>307</v>
      </c>
      <c r="H30" s="783"/>
      <c r="I30" s="784"/>
      <c r="J30" s="750"/>
      <c r="K30" s="749"/>
      <c r="L30" s="750"/>
      <c r="M30" s="749"/>
      <c r="N30" s="750"/>
      <c r="O30" s="749"/>
      <c r="P30" s="750"/>
      <c r="Q30" s="749"/>
      <c r="R30" s="750"/>
      <c r="S30" s="749"/>
      <c r="T30" s="750"/>
      <c r="U30" s="749"/>
      <c r="V30" s="750"/>
      <c r="W30" s="749"/>
      <c r="X30" s="750"/>
      <c r="Y30" s="749"/>
      <c r="Z30" s="750"/>
      <c r="AA30" s="749"/>
    </row>
    <row r="31" spans="2:27">
      <c r="B31" s="782"/>
      <c r="C31" s="782"/>
      <c r="D31" s="782"/>
      <c r="E31" s="782"/>
      <c r="F31" s="782"/>
      <c r="G31" s="785"/>
      <c r="H31" s="783"/>
      <c r="I31" s="784"/>
      <c r="J31" s="750"/>
      <c r="K31" s="749"/>
      <c r="L31" s="750"/>
      <c r="M31" s="749"/>
      <c r="N31" s="750"/>
      <c r="O31" s="749"/>
      <c r="P31" s="750"/>
      <c r="Q31" s="749"/>
      <c r="R31" s="750"/>
      <c r="S31" s="749"/>
      <c r="T31" s="750"/>
      <c r="U31" s="749"/>
      <c r="V31" s="750"/>
      <c r="W31" s="749"/>
      <c r="X31" s="750"/>
      <c r="Y31" s="749"/>
      <c r="Z31" s="750"/>
      <c r="AA31" s="749"/>
    </row>
    <row r="32" spans="2:27">
      <c r="B32" s="786"/>
      <c r="G32" s="783"/>
      <c r="H32" s="704"/>
      <c r="I32" s="787"/>
    </row>
    <row r="33" spans="3:9">
      <c r="G33" s="785"/>
      <c r="H33" s="704"/>
      <c r="I33" s="787"/>
    </row>
    <row r="34" spans="3:9">
      <c r="C34" s="786"/>
      <c r="D34" s="786"/>
      <c r="G34" s="786"/>
      <c r="I34" s="788"/>
    </row>
    <row r="35" spans="3:9">
      <c r="C35" s="786"/>
      <c r="D35" s="786"/>
      <c r="I35" s="788"/>
    </row>
    <row r="36" spans="3:9">
      <c r="C36" s="786"/>
      <c r="I36" s="788"/>
    </row>
    <row r="37" spans="3:9">
      <c r="I37" s="788"/>
    </row>
    <row r="38" spans="3:9">
      <c r="C38" s="786"/>
      <c r="I38" s="788"/>
    </row>
    <row r="39" spans="3:9">
      <c r="C39" s="786"/>
      <c r="I39" s="788"/>
    </row>
    <row r="40" spans="3:9">
      <c r="C40" s="786"/>
      <c r="D40" s="786"/>
      <c r="I40" s="788"/>
    </row>
  </sheetData>
  <sheetProtection formatCells="0" formatColumns="0" formatRows="0" insertRows="0" insertColumns="0" deleteColumns="0" deleteRows="0" sort="0" autoFilter="0" pivotTables="0"/>
  <mergeCells count="9">
    <mergeCell ref="E2:F2"/>
    <mergeCell ref="C10:D10"/>
    <mergeCell ref="C11:D11"/>
    <mergeCell ref="C12:D12"/>
    <mergeCell ref="C13:D13"/>
    <mergeCell ref="C14:D14"/>
    <mergeCell ref="C15:D15"/>
    <mergeCell ref="C16:D16"/>
    <mergeCell ref="B27:C28"/>
  </mergeCells>
  <hyperlinks>
    <hyperlink ref="G29" r:id="rId2" display="https://maps.app.goo.gl/ALs93rBE5F5a2vKWA"/>
  </hyperlinks>
  <pageMargins left="0.511811024" right="0.511811024" top="0.787401575" bottom="0.787401575" header="0.31496062" footer="0.31496062"/>
  <pageSetup paperSize="9" orientation="portrait"/>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Planilha6">
    <tabColor theme="9" tint="0.799981688894314"/>
  </sheetPr>
  <dimension ref="A1:J1058"/>
  <sheetViews>
    <sheetView showGridLines="0" zoomScale="85" zoomScaleNormal="85" workbookViewId="0">
      <pane ySplit="3" topLeftCell="A4" activePane="bottomLeft" state="frozen"/>
      <selection/>
      <selection pane="bottomLeft" activeCell="I7" sqref="I7"/>
    </sheetView>
  </sheetViews>
  <sheetFormatPr defaultColWidth="9.1047619047619" defaultRowHeight="15.75"/>
  <cols>
    <col min="1" max="1" width="5.66666666666667" style="661" customWidth="1"/>
    <col min="2" max="2" width="63.6666666666667" style="662" customWidth="1"/>
    <col min="3" max="3" width="15.6666666666667" style="662" customWidth="1"/>
    <col min="4" max="4" width="23.552380952381" style="661" customWidth="1"/>
    <col min="5" max="5" width="25.3333333333333" style="661" customWidth="1"/>
    <col min="6" max="6" width="24.1047619047619" style="661" customWidth="1"/>
    <col min="7" max="7" width="8.88571428571429" style="663" customWidth="1"/>
    <col min="8" max="8" width="9.1047619047619" style="664"/>
    <col min="9" max="9" width="15.6666666666667" style="664" customWidth="1"/>
    <col min="10" max="16384" width="9.1047619047619" style="664"/>
  </cols>
  <sheetData>
    <row r="1" ht="20.4" customHeight="1" spans="1:10">
      <c r="F1"/>
      <c r="H1" s="660"/>
      <c r="I1" s="660"/>
      <c r="J1" s="660"/>
    </row>
    <row r="2" ht="49.2" customHeight="1" spans="1:10">
      <c r="B2" s="665" t="s">
        <v>308</v>
      </c>
      <c r="C2" s="666"/>
      <c r="D2" s="667"/>
      <c r="F2"/>
      <c r="H2" s="660"/>
      <c r="I2" s="660"/>
      <c r="J2" s="660"/>
    </row>
    <row r="3" ht="20.4" customHeight="1" spans="1:10">
      <c r="B3" s="661"/>
      <c r="D3" s="662"/>
      <c r="H3" s="660"/>
      <c r="I3" s="660"/>
      <c r="J3" s="660"/>
    </row>
    <row r="4" ht="18.75" spans="1:10">
      <c r="B4" s="668" t="s">
        <v>309</v>
      </c>
      <c r="C4" s="669"/>
      <c r="D4" s="669"/>
      <c r="E4" s="670"/>
      <c r="F4" s="671">
        <f>F17/22</f>
        <v>1.83159090909091</v>
      </c>
      <c r="H4" s="660"/>
      <c r="I4" s="660"/>
      <c r="J4" s="660"/>
    </row>
    <row r="5" spans="1:10">
      <c r="B5" s="672" t="s">
        <v>310</v>
      </c>
      <c r="C5" s="672" t="s">
        <v>311</v>
      </c>
      <c r="D5" s="672" t="s">
        <v>312</v>
      </c>
      <c r="E5" s="672" t="s">
        <v>313</v>
      </c>
      <c r="F5" s="672" t="s">
        <v>314</v>
      </c>
      <c r="H5" s="660"/>
      <c r="I5" s="660"/>
      <c r="J5" s="660"/>
    </row>
    <row r="6" s="658" customFormat="1" ht="63" spans="1:10">
      <c r="A6" s="673"/>
      <c r="B6" s="674" t="s">
        <v>315</v>
      </c>
      <c r="C6" s="675" t="s">
        <v>112</v>
      </c>
      <c r="D6" s="676">
        <v>8</v>
      </c>
      <c r="E6" s="677">
        <v>10</v>
      </c>
      <c r="F6" s="678">
        <f t="shared" ref="F6:F16" si="0">IFERROR(D6/E6,"")</f>
        <v>0.8</v>
      </c>
      <c r="G6" s="679"/>
      <c r="H6" s="680"/>
      <c r="I6" s="680"/>
      <c r="J6" s="680"/>
    </row>
    <row r="7" s="658" customFormat="1" ht="63" spans="1:10">
      <c r="A7" s="673"/>
      <c r="B7" s="674" t="s">
        <v>316</v>
      </c>
      <c r="C7" s="675" t="s">
        <v>112</v>
      </c>
      <c r="D7" s="676">
        <v>4</v>
      </c>
      <c r="E7" s="677">
        <v>10</v>
      </c>
      <c r="F7" s="678">
        <f t="shared" si="0"/>
        <v>0.4</v>
      </c>
      <c r="G7" s="679"/>
      <c r="H7" s="680"/>
      <c r="I7" s="680"/>
      <c r="J7" s="680"/>
    </row>
    <row r="8" s="658" customFormat="1" ht="47.25" spans="1:10">
      <c r="A8" s="673"/>
      <c r="B8" s="674" t="s">
        <v>317</v>
      </c>
      <c r="C8" s="675" t="s">
        <v>112</v>
      </c>
      <c r="D8" s="676">
        <v>13.25</v>
      </c>
      <c r="E8" s="677">
        <v>10</v>
      </c>
      <c r="F8" s="678">
        <f t="shared" si="0"/>
        <v>1.325</v>
      </c>
      <c r="G8" s="679"/>
      <c r="H8" s="680"/>
      <c r="I8" s="680"/>
      <c r="J8" s="680"/>
    </row>
    <row r="9" s="658" customFormat="1" ht="47.25" spans="1:10">
      <c r="A9" s="673"/>
      <c r="B9" s="674" t="s">
        <v>318</v>
      </c>
      <c r="C9" s="675" t="s">
        <v>112</v>
      </c>
      <c r="D9" s="676">
        <v>14.2</v>
      </c>
      <c r="E9" s="677">
        <v>10</v>
      </c>
      <c r="F9" s="678">
        <f t="shared" si="0"/>
        <v>1.42</v>
      </c>
      <c r="G9" s="679"/>
      <c r="H9" s="680"/>
      <c r="I9" s="680"/>
      <c r="J9" s="680"/>
    </row>
    <row r="10" s="658" customFormat="1" ht="63" spans="1:10">
      <c r="A10" s="673"/>
      <c r="B10" s="674" t="s">
        <v>319</v>
      </c>
      <c r="C10" s="675" t="s">
        <v>112</v>
      </c>
      <c r="D10" s="676">
        <v>2</v>
      </c>
      <c r="E10" s="677">
        <v>10</v>
      </c>
      <c r="F10" s="678">
        <f t="shared" si="0"/>
        <v>0.2</v>
      </c>
      <c r="G10" s="679"/>
      <c r="H10" s="680"/>
      <c r="I10" s="680"/>
      <c r="J10" s="680"/>
    </row>
    <row r="11" s="658" customFormat="1" ht="47.25" spans="1:10">
      <c r="A11" s="673"/>
      <c r="B11" s="674" t="s">
        <v>320</v>
      </c>
      <c r="C11" s="675" t="s">
        <v>112</v>
      </c>
      <c r="D11" s="676">
        <v>43.5</v>
      </c>
      <c r="E11" s="677">
        <v>10</v>
      </c>
      <c r="F11" s="678">
        <f t="shared" si="0"/>
        <v>4.35</v>
      </c>
      <c r="G11" s="679"/>
      <c r="H11" s="680"/>
      <c r="I11" s="680"/>
      <c r="J11" s="680"/>
    </row>
    <row r="12" s="659" customFormat="1" ht="47.25" spans="1:10">
      <c r="A12" s="681"/>
      <c r="B12" s="682" t="s">
        <v>321</v>
      </c>
      <c r="C12" s="683" t="s">
        <v>112</v>
      </c>
      <c r="D12" s="684">
        <v>2529</v>
      </c>
      <c r="E12" s="685">
        <v>80</v>
      </c>
      <c r="F12" s="686">
        <f t="shared" si="0"/>
        <v>31.6125</v>
      </c>
      <c r="G12" s="687">
        <f>D12/12</f>
        <v>210.75</v>
      </c>
      <c r="H12" s="688"/>
      <c r="I12" s="688"/>
      <c r="J12" s="688"/>
    </row>
    <row r="13" ht="47.25" spans="1:10">
      <c r="B13" s="689" t="s">
        <v>322</v>
      </c>
      <c r="C13" s="690" t="s">
        <v>112</v>
      </c>
      <c r="D13" s="691">
        <v>15</v>
      </c>
      <c r="E13" s="692">
        <v>80</v>
      </c>
      <c r="F13" s="693">
        <f t="shared" si="0"/>
        <v>0.1875</v>
      </c>
      <c r="H13" s="660"/>
      <c r="I13" s="660"/>
      <c r="J13" s="660"/>
    </row>
    <row r="14" spans="1:10">
      <c r="B14" s="689"/>
      <c r="C14" s="690"/>
      <c r="D14" s="691"/>
      <c r="E14" s="692"/>
      <c r="F14" s="693" t="str">
        <f t="shared" si="0"/>
        <v/>
      </c>
      <c r="G14" s="694"/>
      <c r="H14" s="660"/>
      <c r="I14" s="660"/>
      <c r="J14" s="660"/>
    </row>
    <row r="15" spans="1:10">
      <c r="B15" s="689"/>
      <c r="C15" s="690"/>
      <c r="D15" s="691"/>
      <c r="E15" s="692"/>
      <c r="F15" s="693" t="str">
        <f t="shared" si="0"/>
        <v/>
      </c>
      <c r="H15" s="660"/>
      <c r="I15" s="660"/>
      <c r="J15" s="660"/>
    </row>
    <row r="16" s="660" customFormat="1" spans="1:10">
      <c r="A16" s="661"/>
      <c r="B16" s="689"/>
      <c r="C16" s="690"/>
      <c r="D16" s="691"/>
      <c r="E16" s="692"/>
      <c r="F16" s="693" t="str">
        <f t="shared" si="0"/>
        <v/>
      </c>
      <c r="G16"/>
    </row>
    <row r="17" spans="1:10">
      <c r="B17" s="695"/>
      <c r="C17" s="696"/>
      <c r="D17" s="697"/>
      <c r="E17" s="698" t="s">
        <v>323</v>
      </c>
      <c r="F17" s="699">
        <f>SUM(F6:F16)</f>
        <v>40.295</v>
      </c>
    </row>
    <row r="18" ht="15" customHeight="1"/>
    <row r="19" ht="18.75" spans="1:10">
      <c r="B19" s="668" t="s">
        <v>324</v>
      </c>
      <c r="C19" s="669"/>
      <c r="D19" s="669"/>
      <c r="E19" s="670"/>
      <c r="F19" s="671">
        <f>F32/22</f>
        <v>0</v>
      </c>
      <c r="H19" s="660"/>
      <c r="I19" s="660"/>
      <c r="J19" s="660"/>
    </row>
    <row r="20" spans="1:10">
      <c r="B20" s="672" t="s">
        <v>310</v>
      </c>
      <c r="C20" s="672" t="s">
        <v>311</v>
      </c>
      <c r="D20" s="672" t="s">
        <v>312</v>
      </c>
      <c r="E20" s="672" t="s">
        <v>313</v>
      </c>
      <c r="F20" s="672" t="s">
        <v>314</v>
      </c>
      <c r="H20" s="660"/>
      <c r="I20" s="660"/>
      <c r="J20" s="660"/>
    </row>
    <row r="21" spans="1:10">
      <c r="B21" s="689"/>
      <c r="C21" s="690"/>
      <c r="D21" s="691"/>
      <c r="E21" s="692"/>
      <c r="F21" s="693" t="str">
        <f t="shared" ref="F21:F31" si="1">IFERROR(D21/E21,"")</f>
        <v/>
      </c>
      <c r="H21" s="660"/>
      <c r="I21" s="660"/>
      <c r="J21" s="660"/>
    </row>
    <row r="22" spans="1:10">
      <c r="B22" s="689"/>
      <c r="C22" s="690"/>
      <c r="D22" s="691"/>
      <c r="E22" s="692"/>
      <c r="F22" s="693" t="str">
        <f t="shared" si="1"/>
        <v/>
      </c>
      <c r="H22" s="660"/>
      <c r="I22" s="660"/>
      <c r="J22" s="660"/>
    </row>
    <row r="23" spans="1:10">
      <c r="B23" s="689"/>
      <c r="C23" s="690"/>
      <c r="D23" s="691"/>
      <c r="E23" s="692"/>
      <c r="F23" s="693" t="str">
        <f t="shared" si="1"/>
        <v/>
      </c>
      <c r="H23" s="660"/>
      <c r="I23" s="660"/>
      <c r="J23" s="660"/>
    </row>
    <row r="24" spans="1:10">
      <c r="B24" s="689"/>
      <c r="C24" s="690"/>
      <c r="D24" s="691"/>
      <c r="E24" s="700"/>
      <c r="F24" s="693" t="str">
        <f t="shared" si="1"/>
        <v/>
      </c>
      <c r="H24" s="660"/>
      <c r="I24" s="660"/>
      <c r="J24" s="660"/>
    </row>
    <row r="25" spans="1:10">
      <c r="B25" s="689"/>
      <c r="C25" s="690"/>
      <c r="D25" s="691"/>
      <c r="E25" s="700"/>
      <c r="F25" s="693" t="str">
        <f t="shared" si="1"/>
        <v/>
      </c>
      <c r="H25" s="660"/>
      <c r="I25" s="660"/>
      <c r="J25" s="660"/>
    </row>
    <row r="26" spans="1:10">
      <c r="B26" s="689"/>
      <c r="C26" s="690"/>
      <c r="D26" s="691"/>
      <c r="E26" s="700"/>
      <c r="F26" s="693" t="str">
        <f t="shared" si="1"/>
        <v/>
      </c>
      <c r="H26" s="660"/>
      <c r="I26" s="660"/>
      <c r="J26" s="660"/>
    </row>
    <row r="27" spans="1:10">
      <c r="B27" s="689"/>
      <c r="C27" s="690"/>
      <c r="D27" s="691"/>
      <c r="E27" s="700"/>
      <c r="F27" s="693" t="str">
        <f t="shared" si="1"/>
        <v/>
      </c>
      <c r="H27" s="660"/>
      <c r="I27" s="660"/>
      <c r="J27" s="660"/>
    </row>
    <row r="28" spans="1:10">
      <c r="B28" s="689"/>
      <c r="C28" s="690"/>
      <c r="D28" s="691"/>
      <c r="E28" s="692"/>
      <c r="F28" s="693" t="str">
        <f t="shared" si="1"/>
        <v/>
      </c>
      <c r="H28" s="660"/>
      <c r="I28" s="660"/>
      <c r="J28" s="660"/>
    </row>
    <row r="29" spans="1:10">
      <c r="B29" s="689"/>
      <c r="C29" s="690"/>
      <c r="D29" s="691"/>
      <c r="E29" s="692"/>
      <c r="F29" s="693" t="str">
        <f t="shared" si="1"/>
        <v/>
      </c>
      <c r="G29" s="694"/>
      <c r="H29" s="660"/>
      <c r="I29" s="660"/>
      <c r="J29" s="660"/>
    </row>
    <row r="30" spans="1:10">
      <c r="B30" s="689"/>
      <c r="C30" s="690"/>
      <c r="D30" s="691"/>
      <c r="E30" s="692"/>
      <c r="F30" s="693" t="str">
        <f t="shared" si="1"/>
        <v/>
      </c>
      <c r="G30" s="701"/>
      <c r="H30" s="660"/>
      <c r="I30" s="660"/>
      <c r="J30" s="660"/>
    </row>
    <row r="31" s="660" customFormat="1" spans="1:10">
      <c r="A31" s="661"/>
      <c r="B31" s="689"/>
      <c r="C31" s="690"/>
      <c r="D31" s="691"/>
      <c r="E31" s="692"/>
      <c r="F31" s="693" t="str">
        <f t="shared" si="1"/>
        <v/>
      </c>
      <c r="G31"/>
    </row>
    <row r="32" spans="1:10">
      <c r="B32" s="695"/>
      <c r="C32" s="696"/>
      <c r="D32" s="697"/>
      <c r="E32" s="698" t="s">
        <v>323</v>
      </c>
      <c r="F32" s="699">
        <f>SUM(F21:F31)</f>
        <v>0</v>
      </c>
    </row>
    <row r="33" ht="15" customHeight="1"/>
    <row r="34" ht="15" customHeight="1"/>
    <row r="35" ht="18.75" hidden="1" spans="1:10">
      <c r="B35" s="668" t="s">
        <v>325</v>
      </c>
      <c r="C35" s="669"/>
      <c r="D35" s="669"/>
      <c r="E35" s="670"/>
      <c r="F35" s="671">
        <f>F48/22</f>
        <v>0</v>
      </c>
      <c r="H35" s="660"/>
      <c r="I35" s="660"/>
      <c r="J35" s="660"/>
    </row>
    <row r="36" hidden="1" spans="1:10">
      <c r="B36" s="672" t="s">
        <v>310</v>
      </c>
      <c r="C36" s="672" t="s">
        <v>311</v>
      </c>
      <c r="D36" s="672" t="s">
        <v>312</v>
      </c>
      <c r="E36" s="672" t="s">
        <v>313</v>
      </c>
      <c r="F36" s="672" t="s">
        <v>314</v>
      </c>
      <c r="H36" s="660"/>
      <c r="I36" s="660"/>
      <c r="J36" s="660"/>
    </row>
    <row r="37" ht="47.25" hidden="1" spans="1:10">
      <c r="B37" s="689" t="s">
        <v>326</v>
      </c>
      <c r="C37" s="690" t="s">
        <v>327</v>
      </c>
      <c r="D37" s="691" t="e">
        <f>PLANILHA!#REF!+PLANILHA!#REF!+PLANILHA!#REF!+PLANILHA!#REF!</f>
        <v>#REF!</v>
      </c>
      <c r="E37" s="692"/>
      <c r="F37" s="693" t="str">
        <f t="shared" ref="F37:F47" si="2">IFERROR(D37/E37,"")</f>
        <v/>
      </c>
      <c r="H37" s="660"/>
      <c r="I37" s="660"/>
      <c r="J37" s="660"/>
    </row>
    <row r="38" hidden="1" spans="1:10">
      <c r="B38" s="689"/>
      <c r="C38" s="690"/>
      <c r="D38" s="691"/>
      <c r="E38" s="692"/>
      <c r="F38" s="693" t="str">
        <f t="shared" si="2"/>
        <v/>
      </c>
      <c r="H38" s="660"/>
      <c r="I38" s="660"/>
      <c r="J38" s="660"/>
    </row>
    <row r="39" hidden="1" spans="1:10">
      <c r="B39" s="689"/>
      <c r="C39" s="690"/>
      <c r="D39" s="691"/>
      <c r="E39" s="692"/>
      <c r="F39" s="693" t="str">
        <f t="shared" si="2"/>
        <v/>
      </c>
      <c r="H39" s="660"/>
      <c r="I39" s="660"/>
      <c r="J39" s="660"/>
    </row>
    <row r="40" hidden="1" spans="1:10">
      <c r="B40" s="689"/>
      <c r="C40" s="690"/>
      <c r="D40" s="691"/>
      <c r="E40" s="692"/>
      <c r="F40" s="693" t="str">
        <f t="shared" si="2"/>
        <v/>
      </c>
      <c r="H40" s="660"/>
      <c r="I40" s="660"/>
      <c r="J40" s="660"/>
    </row>
    <row r="41" hidden="1" spans="1:10">
      <c r="B41" s="689"/>
      <c r="C41" s="690"/>
      <c r="D41" s="691"/>
      <c r="E41" s="692"/>
      <c r="F41" s="693" t="str">
        <f t="shared" si="2"/>
        <v/>
      </c>
      <c r="H41" s="660"/>
      <c r="I41" s="660"/>
      <c r="J41" s="660"/>
    </row>
    <row r="42" hidden="1" spans="1:10">
      <c r="B42" s="689"/>
      <c r="C42" s="690"/>
      <c r="D42" s="691"/>
      <c r="E42" s="692"/>
      <c r="F42" s="693" t="str">
        <f t="shared" si="2"/>
        <v/>
      </c>
      <c r="H42" s="660"/>
      <c r="I42" s="660"/>
      <c r="J42" s="660"/>
    </row>
    <row r="43" hidden="1" spans="1:10">
      <c r="B43" s="689"/>
      <c r="C43" s="690"/>
      <c r="D43" s="691"/>
      <c r="E43" s="692"/>
      <c r="F43" s="693" t="str">
        <f t="shared" si="2"/>
        <v/>
      </c>
      <c r="H43" s="660"/>
      <c r="I43" s="660"/>
      <c r="J43" s="660"/>
    </row>
    <row r="44" hidden="1" spans="1:10">
      <c r="B44" s="689"/>
      <c r="C44" s="690"/>
      <c r="D44" s="691"/>
      <c r="E44" s="692"/>
      <c r="F44" s="693" t="str">
        <f t="shared" si="2"/>
        <v/>
      </c>
      <c r="H44" s="660"/>
      <c r="I44" s="660"/>
      <c r="J44" s="660"/>
    </row>
    <row r="45" hidden="1" spans="1:10">
      <c r="B45" s="689"/>
      <c r="C45" s="690"/>
      <c r="D45" s="691"/>
      <c r="E45" s="692"/>
      <c r="F45" s="693" t="str">
        <f t="shared" si="2"/>
        <v/>
      </c>
      <c r="G45" s="694"/>
      <c r="H45" s="660"/>
      <c r="I45" s="660"/>
      <c r="J45" s="660"/>
    </row>
    <row r="46" hidden="1" spans="1:10">
      <c r="B46" s="689"/>
      <c r="C46" s="690"/>
      <c r="D46" s="691"/>
      <c r="E46" s="692"/>
      <c r="F46" s="693" t="str">
        <f t="shared" si="2"/>
        <v/>
      </c>
      <c r="H46" s="660"/>
      <c r="I46" s="660"/>
      <c r="J46" s="660"/>
    </row>
    <row r="47" s="660" customFormat="1" hidden="1" spans="1:10">
      <c r="A47" s="661"/>
      <c r="B47" s="689"/>
      <c r="C47" s="690"/>
      <c r="D47" s="691"/>
      <c r="E47" s="692"/>
      <c r="F47" s="693" t="str">
        <f t="shared" si="2"/>
        <v/>
      </c>
      <c r="G47"/>
    </row>
    <row r="48" hidden="1" spans="1:10">
      <c r="B48" s="695"/>
      <c r="C48" s="696"/>
      <c r="D48" s="697"/>
      <c r="E48" s="698" t="s">
        <v>323</v>
      </c>
      <c r="F48" s="699">
        <f>SUM(F37:F47)</f>
        <v>0</v>
      </c>
    </row>
    <row r="49" ht="15" hidden="1"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1058" spans="1:1">
      <c r="A1058" s="702"/>
    </row>
  </sheetData>
  <sheetProtection formatCells="0" formatColumns="0" formatRows="0" insertRows="0" insertColumns="0" deleteColumns="0" deleteRows="0" sort="0" autoFilter="0" pivotTables="0"/>
  <pageMargins left="0.511811024" right="0.511811024" top="0.787401575" bottom="0.787401575" header="0.31496062" footer="0.31496062"/>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7169" name="Button 1" r:id="rId3">
              <controlPr print="0" defaultSize="0">
                <anchor moveWithCells="1" sizeWithCells="1">
                  <from>
                    <xdr:col>4</xdr:col>
                    <xdr:colOff>121920</xdr:colOff>
                    <xdr:row>1</xdr:row>
                    <xdr:rowOff>7620</xdr:rowOff>
                  </from>
                  <to>
                    <xdr:col>4</xdr:col>
                    <xdr:colOff>1661160</xdr:colOff>
                    <xdr:row>2</xdr:row>
                    <xdr:rowOff>7620</xdr:rowOff>
                  </to>
                </anchor>
              </controlPr>
            </control>
          </mc:Choice>
        </mc:AlternateContent>
        <mc:AlternateContent xmlns:mc="http://schemas.openxmlformats.org/markup-compatibility/2006">
          <mc:Choice Requires="x14">
            <control shapeId="7170" name="Button 2" r:id="rId4">
              <controlPr print="0" defaultSize="0">
                <anchor moveWithCells="1" sizeWithCells="1">
                  <from>
                    <xdr:col>5</xdr:col>
                    <xdr:colOff>68580</xdr:colOff>
                    <xdr:row>1</xdr:row>
                    <xdr:rowOff>0</xdr:rowOff>
                  </from>
                  <to>
                    <xdr:col>5</xdr:col>
                    <xdr:colOff>1607820</xdr:colOff>
                    <xdr:row>2</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Planilha1">
    <tabColor theme="9" tint="0.799981688894314"/>
  </sheetPr>
  <dimension ref="B1:U107"/>
  <sheetViews>
    <sheetView showGridLines="0" showZeros="0" zoomScale="70" zoomScaleNormal="70" workbookViewId="0">
      <pane ySplit="2" topLeftCell="A7" activePane="bottomLeft" state="frozen"/>
      <selection/>
      <selection pane="bottomLeft" activeCell="G24" sqref="G24"/>
    </sheetView>
  </sheetViews>
  <sheetFormatPr defaultColWidth="11.4380952380952" defaultRowHeight="12.75"/>
  <cols>
    <col min="1" max="1" width="2.43809523809524" style="576" customWidth="1"/>
    <col min="2" max="2" width="7.55238095238095" style="577" customWidth="1"/>
    <col min="3" max="3" width="56.4380952380952" style="576" customWidth="1"/>
    <col min="4" max="12" width="11.3333333333333" style="578" customWidth="1"/>
    <col min="13" max="13" width="11.6666666666667" style="579" customWidth="1"/>
    <col min="14" max="14" width="13.6666666666667" style="580" customWidth="1"/>
    <col min="15" max="15" width="11.1047619047619" style="576" customWidth="1"/>
    <col min="16" max="16" width="24.4380952380952" style="580" customWidth="1"/>
    <col min="17" max="17" width="3.33333333333333" style="576" customWidth="1"/>
    <col min="18" max="267" width="11.4380952380952" style="576"/>
    <col min="268" max="268" width="7.55238095238095" style="576" customWidth="1"/>
    <col min="269" max="269" width="47" style="576" customWidth="1"/>
    <col min="270" max="270" width="9.33333333333333" style="576" customWidth="1"/>
    <col min="271" max="272" width="13.6666666666667" style="576" customWidth="1"/>
    <col min="273" max="273" width="3.33333333333333" style="576" customWidth="1"/>
    <col min="274" max="523" width="11.4380952380952" style="576"/>
    <col min="524" max="524" width="7.55238095238095" style="576" customWidth="1"/>
    <col min="525" max="525" width="47" style="576" customWidth="1"/>
    <col min="526" max="526" width="9.33333333333333" style="576" customWidth="1"/>
    <col min="527" max="528" width="13.6666666666667" style="576" customWidth="1"/>
    <col min="529" max="529" width="3.33333333333333" style="576" customWidth="1"/>
    <col min="530" max="779" width="11.4380952380952" style="576"/>
    <col min="780" max="780" width="7.55238095238095" style="576" customWidth="1"/>
    <col min="781" max="781" width="47" style="576" customWidth="1"/>
    <col min="782" max="782" width="9.33333333333333" style="576" customWidth="1"/>
    <col min="783" max="784" width="13.6666666666667" style="576" customWidth="1"/>
    <col min="785" max="785" width="3.33333333333333" style="576" customWidth="1"/>
    <col min="786" max="1035" width="11.4380952380952" style="576"/>
    <col min="1036" max="1036" width="7.55238095238095" style="576" customWidth="1"/>
    <col min="1037" max="1037" width="47" style="576" customWidth="1"/>
    <col min="1038" max="1038" width="9.33333333333333" style="576" customWidth="1"/>
    <col min="1039" max="1040" width="13.6666666666667" style="576" customWidth="1"/>
    <col min="1041" max="1041" width="3.33333333333333" style="576" customWidth="1"/>
    <col min="1042" max="1291" width="11.4380952380952" style="576"/>
    <col min="1292" max="1292" width="7.55238095238095" style="576" customWidth="1"/>
    <col min="1293" max="1293" width="47" style="576" customWidth="1"/>
    <col min="1294" max="1294" width="9.33333333333333" style="576" customWidth="1"/>
    <col min="1295" max="1296" width="13.6666666666667" style="576" customWidth="1"/>
    <col min="1297" max="1297" width="3.33333333333333" style="576" customWidth="1"/>
    <col min="1298" max="1547" width="11.4380952380952" style="576"/>
    <col min="1548" max="1548" width="7.55238095238095" style="576" customWidth="1"/>
    <col min="1549" max="1549" width="47" style="576" customWidth="1"/>
    <col min="1550" max="1550" width="9.33333333333333" style="576" customWidth="1"/>
    <col min="1551" max="1552" width="13.6666666666667" style="576" customWidth="1"/>
    <col min="1553" max="1553" width="3.33333333333333" style="576" customWidth="1"/>
    <col min="1554" max="1803" width="11.4380952380952" style="576"/>
    <col min="1804" max="1804" width="7.55238095238095" style="576" customWidth="1"/>
    <col min="1805" max="1805" width="47" style="576" customWidth="1"/>
    <col min="1806" max="1806" width="9.33333333333333" style="576" customWidth="1"/>
    <col min="1807" max="1808" width="13.6666666666667" style="576" customWidth="1"/>
    <col min="1809" max="1809" width="3.33333333333333" style="576" customWidth="1"/>
    <col min="1810" max="2059" width="11.4380952380952" style="576"/>
    <col min="2060" max="2060" width="7.55238095238095" style="576" customWidth="1"/>
    <col min="2061" max="2061" width="47" style="576" customWidth="1"/>
    <col min="2062" max="2062" width="9.33333333333333" style="576" customWidth="1"/>
    <col min="2063" max="2064" width="13.6666666666667" style="576" customWidth="1"/>
    <col min="2065" max="2065" width="3.33333333333333" style="576" customWidth="1"/>
    <col min="2066" max="2315" width="11.4380952380952" style="576"/>
    <col min="2316" max="2316" width="7.55238095238095" style="576" customWidth="1"/>
    <col min="2317" max="2317" width="47" style="576" customWidth="1"/>
    <col min="2318" max="2318" width="9.33333333333333" style="576" customWidth="1"/>
    <col min="2319" max="2320" width="13.6666666666667" style="576" customWidth="1"/>
    <col min="2321" max="2321" width="3.33333333333333" style="576" customWidth="1"/>
    <col min="2322" max="2571" width="11.4380952380952" style="576"/>
    <col min="2572" max="2572" width="7.55238095238095" style="576" customWidth="1"/>
    <col min="2573" max="2573" width="47" style="576" customWidth="1"/>
    <col min="2574" max="2574" width="9.33333333333333" style="576" customWidth="1"/>
    <col min="2575" max="2576" width="13.6666666666667" style="576" customWidth="1"/>
    <col min="2577" max="2577" width="3.33333333333333" style="576" customWidth="1"/>
    <col min="2578" max="2827" width="11.4380952380952" style="576"/>
    <col min="2828" max="2828" width="7.55238095238095" style="576" customWidth="1"/>
    <col min="2829" max="2829" width="47" style="576" customWidth="1"/>
    <col min="2830" max="2830" width="9.33333333333333" style="576" customWidth="1"/>
    <col min="2831" max="2832" width="13.6666666666667" style="576" customWidth="1"/>
    <col min="2833" max="2833" width="3.33333333333333" style="576" customWidth="1"/>
    <col min="2834" max="3083" width="11.4380952380952" style="576"/>
    <col min="3084" max="3084" width="7.55238095238095" style="576" customWidth="1"/>
    <col min="3085" max="3085" width="47" style="576" customWidth="1"/>
    <col min="3086" max="3086" width="9.33333333333333" style="576" customWidth="1"/>
    <col min="3087" max="3088" width="13.6666666666667" style="576" customWidth="1"/>
    <col min="3089" max="3089" width="3.33333333333333" style="576" customWidth="1"/>
    <col min="3090" max="3339" width="11.4380952380952" style="576"/>
    <col min="3340" max="3340" width="7.55238095238095" style="576" customWidth="1"/>
    <col min="3341" max="3341" width="47" style="576" customWidth="1"/>
    <col min="3342" max="3342" width="9.33333333333333" style="576" customWidth="1"/>
    <col min="3343" max="3344" width="13.6666666666667" style="576" customWidth="1"/>
    <col min="3345" max="3345" width="3.33333333333333" style="576" customWidth="1"/>
    <col min="3346" max="3595" width="11.4380952380952" style="576"/>
    <col min="3596" max="3596" width="7.55238095238095" style="576" customWidth="1"/>
    <col min="3597" max="3597" width="47" style="576" customWidth="1"/>
    <col min="3598" max="3598" width="9.33333333333333" style="576" customWidth="1"/>
    <col min="3599" max="3600" width="13.6666666666667" style="576" customWidth="1"/>
    <col min="3601" max="3601" width="3.33333333333333" style="576" customWidth="1"/>
    <col min="3602" max="3851" width="11.4380952380952" style="576"/>
    <col min="3852" max="3852" width="7.55238095238095" style="576" customWidth="1"/>
    <col min="3853" max="3853" width="47" style="576" customWidth="1"/>
    <col min="3854" max="3854" width="9.33333333333333" style="576" customWidth="1"/>
    <col min="3855" max="3856" width="13.6666666666667" style="576" customWidth="1"/>
    <col min="3857" max="3857" width="3.33333333333333" style="576" customWidth="1"/>
    <col min="3858" max="4107" width="11.4380952380952" style="576"/>
    <col min="4108" max="4108" width="7.55238095238095" style="576" customWidth="1"/>
    <col min="4109" max="4109" width="47" style="576" customWidth="1"/>
    <col min="4110" max="4110" width="9.33333333333333" style="576" customWidth="1"/>
    <col min="4111" max="4112" width="13.6666666666667" style="576" customWidth="1"/>
    <col min="4113" max="4113" width="3.33333333333333" style="576" customWidth="1"/>
    <col min="4114" max="4363" width="11.4380952380952" style="576"/>
    <col min="4364" max="4364" width="7.55238095238095" style="576" customWidth="1"/>
    <col min="4365" max="4365" width="47" style="576" customWidth="1"/>
    <col min="4366" max="4366" width="9.33333333333333" style="576" customWidth="1"/>
    <col min="4367" max="4368" width="13.6666666666667" style="576" customWidth="1"/>
    <col min="4369" max="4369" width="3.33333333333333" style="576" customWidth="1"/>
    <col min="4370" max="4619" width="11.4380952380952" style="576"/>
    <col min="4620" max="4620" width="7.55238095238095" style="576" customWidth="1"/>
    <col min="4621" max="4621" width="47" style="576" customWidth="1"/>
    <col min="4622" max="4622" width="9.33333333333333" style="576" customWidth="1"/>
    <col min="4623" max="4624" width="13.6666666666667" style="576" customWidth="1"/>
    <col min="4625" max="4625" width="3.33333333333333" style="576" customWidth="1"/>
    <col min="4626" max="4875" width="11.4380952380952" style="576"/>
    <col min="4876" max="4876" width="7.55238095238095" style="576" customWidth="1"/>
    <col min="4877" max="4877" width="47" style="576" customWidth="1"/>
    <col min="4878" max="4878" width="9.33333333333333" style="576" customWidth="1"/>
    <col min="4879" max="4880" width="13.6666666666667" style="576" customWidth="1"/>
    <col min="4881" max="4881" width="3.33333333333333" style="576" customWidth="1"/>
    <col min="4882" max="5131" width="11.4380952380952" style="576"/>
    <col min="5132" max="5132" width="7.55238095238095" style="576" customWidth="1"/>
    <col min="5133" max="5133" width="47" style="576" customWidth="1"/>
    <col min="5134" max="5134" width="9.33333333333333" style="576" customWidth="1"/>
    <col min="5135" max="5136" width="13.6666666666667" style="576" customWidth="1"/>
    <col min="5137" max="5137" width="3.33333333333333" style="576" customWidth="1"/>
    <col min="5138" max="5387" width="11.4380952380952" style="576"/>
    <col min="5388" max="5388" width="7.55238095238095" style="576" customWidth="1"/>
    <col min="5389" max="5389" width="47" style="576" customWidth="1"/>
    <col min="5390" max="5390" width="9.33333333333333" style="576" customWidth="1"/>
    <col min="5391" max="5392" width="13.6666666666667" style="576" customWidth="1"/>
    <col min="5393" max="5393" width="3.33333333333333" style="576" customWidth="1"/>
    <col min="5394" max="5643" width="11.4380952380952" style="576"/>
    <col min="5644" max="5644" width="7.55238095238095" style="576" customWidth="1"/>
    <col min="5645" max="5645" width="47" style="576" customWidth="1"/>
    <col min="5646" max="5646" width="9.33333333333333" style="576" customWidth="1"/>
    <col min="5647" max="5648" width="13.6666666666667" style="576" customWidth="1"/>
    <col min="5649" max="5649" width="3.33333333333333" style="576" customWidth="1"/>
    <col min="5650" max="5899" width="11.4380952380952" style="576"/>
    <col min="5900" max="5900" width="7.55238095238095" style="576" customWidth="1"/>
    <col min="5901" max="5901" width="47" style="576" customWidth="1"/>
    <col min="5902" max="5902" width="9.33333333333333" style="576" customWidth="1"/>
    <col min="5903" max="5904" width="13.6666666666667" style="576" customWidth="1"/>
    <col min="5905" max="5905" width="3.33333333333333" style="576" customWidth="1"/>
    <col min="5906" max="6155" width="11.4380952380952" style="576"/>
    <col min="6156" max="6156" width="7.55238095238095" style="576" customWidth="1"/>
    <col min="6157" max="6157" width="47" style="576" customWidth="1"/>
    <col min="6158" max="6158" width="9.33333333333333" style="576" customWidth="1"/>
    <col min="6159" max="6160" width="13.6666666666667" style="576" customWidth="1"/>
    <col min="6161" max="6161" width="3.33333333333333" style="576" customWidth="1"/>
    <col min="6162" max="6411" width="11.4380952380952" style="576"/>
    <col min="6412" max="6412" width="7.55238095238095" style="576" customWidth="1"/>
    <col min="6413" max="6413" width="47" style="576" customWidth="1"/>
    <col min="6414" max="6414" width="9.33333333333333" style="576" customWidth="1"/>
    <col min="6415" max="6416" width="13.6666666666667" style="576" customWidth="1"/>
    <col min="6417" max="6417" width="3.33333333333333" style="576" customWidth="1"/>
    <col min="6418" max="6667" width="11.4380952380952" style="576"/>
    <col min="6668" max="6668" width="7.55238095238095" style="576" customWidth="1"/>
    <col min="6669" max="6669" width="47" style="576" customWidth="1"/>
    <col min="6670" max="6670" width="9.33333333333333" style="576" customWidth="1"/>
    <col min="6671" max="6672" width="13.6666666666667" style="576" customWidth="1"/>
    <col min="6673" max="6673" width="3.33333333333333" style="576" customWidth="1"/>
    <col min="6674" max="6923" width="11.4380952380952" style="576"/>
    <col min="6924" max="6924" width="7.55238095238095" style="576" customWidth="1"/>
    <col min="6925" max="6925" width="47" style="576" customWidth="1"/>
    <col min="6926" max="6926" width="9.33333333333333" style="576" customWidth="1"/>
    <col min="6927" max="6928" width="13.6666666666667" style="576" customWidth="1"/>
    <col min="6929" max="6929" width="3.33333333333333" style="576" customWidth="1"/>
    <col min="6930" max="7179" width="11.4380952380952" style="576"/>
    <col min="7180" max="7180" width="7.55238095238095" style="576" customWidth="1"/>
    <col min="7181" max="7181" width="47" style="576" customWidth="1"/>
    <col min="7182" max="7182" width="9.33333333333333" style="576" customWidth="1"/>
    <col min="7183" max="7184" width="13.6666666666667" style="576" customWidth="1"/>
    <col min="7185" max="7185" width="3.33333333333333" style="576" customWidth="1"/>
    <col min="7186" max="7435" width="11.4380952380952" style="576"/>
    <col min="7436" max="7436" width="7.55238095238095" style="576" customWidth="1"/>
    <col min="7437" max="7437" width="47" style="576" customWidth="1"/>
    <col min="7438" max="7438" width="9.33333333333333" style="576" customWidth="1"/>
    <col min="7439" max="7440" width="13.6666666666667" style="576" customWidth="1"/>
    <col min="7441" max="7441" width="3.33333333333333" style="576" customWidth="1"/>
    <col min="7442" max="7691" width="11.4380952380952" style="576"/>
    <col min="7692" max="7692" width="7.55238095238095" style="576" customWidth="1"/>
    <col min="7693" max="7693" width="47" style="576" customWidth="1"/>
    <col min="7694" max="7694" width="9.33333333333333" style="576" customWidth="1"/>
    <col min="7695" max="7696" width="13.6666666666667" style="576" customWidth="1"/>
    <col min="7697" max="7697" width="3.33333333333333" style="576" customWidth="1"/>
    <col min="7698" max="7947" width="11.4380952380952" style="576"/>
    <col min="7948" max="7948" width="7.55238095238095" style="576" customWidth="1"/>
    <col min="7949" max="7949" width="47" style="576" customWidth="1"/>
    <col min="7950" max="7950" width="9.33333333333333" style="576" customWidth="1"/>
    <col min="7951" max="7952" width="13.6666666666667" style="576" customWidth="1"/>
    <col min="7953" max="7953" width="3.33333333333333" style="576" customWidth="1"/>
    <col min="7954" max="8203" width="11.4380952380952" style="576"/>
    <col min="8204" max="8204" width="7.55238095238095" style="576" customWidth="1"/>
    <col min="8205" max="8205" width="47" style="576" customWidth="1"/>
    <col min="8206" max="8206" width="9.33333333333333" style="576" customWidth="1"/>
    <col min="8207" max="8208" width="13.6666666666667" style="576" customWidth="1"/>
    <col min="8209" max="8209" width="3.33333333333333" style="576" customWidth="1"/>
    <col min="8210" max="8459" width="11.4380952380952" style="576"/>
    <col min="8460" max="8460" width="7.55238095238095" style="576" customWidth="1"/>
    <col min="8461" max="8461" width="47" style="576" customWidth="1"/>
    <col min="8462" max="8462" width="9.33333333333333" style="576" customWidth="1"/>
    <col min="8463" max="8464" width="13.6666666666667" style="576" customWidth="1"/>
    <col min="8465" max="8465" width="3.33333333333333" style="576" customWidth="1"/>
    <col min="8466" max="8715" width="11.4380952380952" style="576"/>
    <col min="8716" max="8716" width="7.55238095238095" style="576" customWidth="1"/>
    <col min="8717" max="8717" width="47" style="576" customWidth="1"/>
    <col min="8718" max="8718" width="9.33333333333333" style="576" customWidth="1"/>
    <col min="8719" max="8720" width="13.6666666666667" style="576" customWidth="1"/>
    <col min="8721" max="8721" width="3.33333333333333" style="576" customWidth="1"/>
    <col min="8722" max="8971" width="11.4380952380952" style="576"/>
    <col min="8972" max="8972" width="7.55238095238095" style="576" customWidth="1"/>
    <col min="8973" max="8973" width="47" style="576" customWidth="1"/>
    <col min="8974" max="8974" width="9.33333333333333" style="576" customWidth="1"/>
    <col min="8975" max="8976" width="13.6666666666667" style="576" customWidth="1"/>
    <col min="8977" max="8977" width="3.33333333333333" style="576" customWidth="1"/>
    <col min="8978" max="9227" width="11.4380952380952" style="576"/>
    <col min="9228" max="9228" width="7.55238095238095" style="576" customWidth="1"/>
    <col min="9229" max="9229" width="47" style="576" customWidth="1"/>
    <col min="9230" max="9230" width="9.33333333333333" style="576" customWidth="1"/>
    <col min="9231" max="9232" width="13.6666666666667" style="576" customWidth="1"/>
    <col min="9233" max="9233" width="3.33333333333333" style="576" customWidth="1"/>
    <col min="9234" max="9483" width="11.4380952380952" style="576"/>
    <col min="9484" max="9484" width="7.55238095238095" style="576" customWidth="1"/>
    <col min="9485" max="9485" width="47" style="576" customWidth="1"/>
    <col min="9486" max="9486" width="9.33333333333333" style="576" customWidth="1"/>
    <col min="9487" max="9488" width="13.6666666666667" style="576" customWidth="1"/>
    <col min="9489" max="9489" width="3.33333333333333" style="576" customWidth="1"/>
    <col min="9490" max="9739" width="11.4380952380952" style="576"/>
    <col min="9740" max="9740" width="7.55238095238095" style="576" customWidth="1"/>
    <col min="9741" max="9741" width="47" style="576" customWidth="1"/>
    <col min="9742" max="9742" width="9.33333333333333" style="576" customWidth="1"/>
    <col min="9743" max="9744" width="13.6666666666667" style="576" customWidth="1"/>
    <col min="9745" max="9745" width="3.33333333333333" style="576" customWidth="1"/>
    <col min="9746" max="9995" width="11.4380952380952" style="576"/>
    <col min="9996" max="9996" width="7.55238095238095" style="576" customWidth="1"/>
    <col min="9997" max="9997" width="47" style="576" customWidth="1"/>
    <col min="9998" max="9998" width="9.33333333333333" style="576" customWidth="1"/>
    <col min="9999" max="10000" width="13.6666666666667" style="576" customWidth="1"/>
    <col min="10001" max="10001" width="3.33333333333333" style="576" customWidth="1"/>
    <col min="10002" max="10251" width="11.4380952380952" style="576"/>
    <col min="10252" max="10252" width="7.55238095238095" style="576" customWidth="1"/>
    <col min="10253" max="10253" width="47" style="576" customWidth="1"/>
    <col min="10254" max="10254" width="9.33333333333333" style="576" customWidth="1"/>
    <col min="10255" max="10256" width="13.6666666666667" style="576" customWidth="1"/>
    <col min="10257" max="10257" width="3.33333333333333" style="576" customWidth="1"/>
    <col min="10258" max="10507" width="11.4380952380952" style="576"/>
    <col min="10508" max="10508" width="7.55238095238095" style="576" customWidth="1"/>
    <col min="10509" max="10509" width="47" style="576" customWidth="1"/>
    <col min="10510" max="10510" width="9.33333333333333" style="576" customWidth="1"/>
    <col min="10511" max="10512" width="13.6666666666667" style="576" customWidth="1"/>
    <col min="10513" max="10513" width="3.33333333333333" style="576" customWidth="1"/>
    <col min="10514" max="10763" width="11.4380952380952" style="576"/>
    <col min="10764" max="10764" width="7.55238095238095" style="576" customWidth="1"/>
    <col min="10765" max="10765" width="47" style="576" customWidth="1"/>
    <col min="10766" max="10766" width="9.33333333333333" style="576" customWidth="1"/>
    <col min="10767" max="10768" width="13.6666666666667" style="576" customWidth="1"/>
    <col min="10769" max="10769" width="3.33333333333333" style="576" customWidth="1"/>
    <col min="10770" max="11019" width="11.4380952380952" style="576"/>
    <col min="11020" max="11020" width="7.55238095238095" style="576" customWidth="1"/>
    <col min="11021" max="11021" width="47" style="576" customWidth="1"/>
    <col min="11022" max="11022" width="9.33333333333333" style="576" customWidth="1"/>
    <col min="11023" max="11024" width="13.6666666666667" style="576" customWidth="1"/>
    <col min="11025" max="11025" width="3.33333333333333" style="576" customWidth="1"/>
    <col min="11026" max="11275" width="11.4380952380952" style="576"/>
    <col min="11276" max="11276" width="7.55238095238095" style="576" customWidth="1"/>
    <col min="11277" max="11277" width="47" style="576" customWidth="1"/>
    <col min="11278" max="11278" width="9.33333333333333" style="576" customWidth="1"/>
    <col min="11279" max="11280" width="13.6666666666667" style="576" customWidth="1"/>
    <col min="11281" max="11281" width="3.33333333333333" style="576" customWidth="1"/>
    <col min="11282" max="11531" width="11.4380952380952" style="576"/>
    <col min="11532" max="11532" width="7.55238095238095" style="576" customWidth="1"/>
    <col min="11533" max="11533" width="47" style="576" customWidth="1"/>
    <col min="11534" max="11534" width="9.33333333333333" style="576" customWidth="1"/>
    <col min="11535" max="11536" width="13.6666666666667" style="576" customWidth="1"/>
    <col min="11537" max="11537" width="3.33333333333333" style="576" customWidth="1"/>
    <col min="11538" max="11787" width="11.4380952380952" style="576"/>
    <col min="11788" max="11788" width="7.55238095238095" style="576" customWidth="1"/>
    <col min="11789" max="11789" width="47" style="576" customWidth="1"/>
    <col min="11790" max="11790" width="9.33333333333333" style="576" customWidth="1"/>
    <col min="11791" max="11792" width="13.6666666666667" style="576" customWidth="1"/>
    <col min="11793" max="11793" width="3.33333333333333" style="576" customWidth="1"/>
    <col min="11794" max="12043" width="11.4380952380952" style="576"/>
    <col min="12044" max="12044" width="7.55238095238095" style="576" customWidth="1"/>
    <col min="12045" max="12045" width="47" style="576" customWidth="1"/>
    <col min="12046" max="12046" width="9.33333333333333" style="576" customWidth="1"/>
    <col min="12047" max="12048" width="13.6666666666667" style="576" customWidth="1"/>
    <col min="12049" max="12049" width="3.33333333333333" style="576" customWidth="1"/>
    <col min="12050" max="12299" width="11.4380952380952" style="576"/>
    <col min="12300" max="12300" width="7.55238095238095" style="576" customWidth="1"/>
    <col min="12301" max="12301" width="47" style="576" customWidth="1"/>
    <col min="12302" max="12302" width="9.33333333333333" style="576" customWidth="1"/>
    <col min="12303" max="12304" width="13.6666666666667" style="576" customWidth="1"/>
    <col min="12305" max="12305" width="3.33333333333333" style="576" customWidth="1"/>
    <col min="12306" max="12555" width="11.4380952380952" style="576"/>
    <col min="12556" max="12556" width="7.55238095238095" style="576" customWidth="1"/>
    <col min="12557" max="12557" width="47" style="576" customWidth="1"/>
    <col min="12558" max="12558" width="9.33333333333333" style="576" customWidth="1"/>
    <col min="12559" max="12560" width="13.6666666666667" style="576" customWidth="1"/>
    <col min="12561" max="12561" width="3.33333333333333" style="576" customWidth="1"/>
    <col min="12562" max="12811" width="11.4380952380952" style="576"/>
    <col min="12812" max="12812" width="7.55238095238095" style="576" customWidth="1"/>
    <col min="12813" max="12813" width="47" style="576" customWidth="1"/>
    <col min="12814" max="12814" width="9.33333333333333" style="576" customWidth="1"/>
    <col min="12815" max="12816" width="13.6666666666667" style="576" customWidth="1"/>
    <col min="12817" max="12817" width="3.33333333333333" style="576" customWidth="1"/>
    <col min="12818" max="13067" width="11.4380952380952" style="576"/>
    <col min="13068" max="13068" width="7.55238095238095" style="576" customWidth="1"/>
    <col min="13069" max="13069" width="47" style="576" customWidth="1"/>
    <col min="13070" max="13070" width="9.33333333333333" style="576" customWidth="1"/>
    <col min="13071" max="13072" width="13.6666666666667" style="576" customWidth="1"/>
    <col min="13073" max="13073" width="3.33333333333333" style="576" customWidth="1"/>
    <col min="13074" max="13323" width="11.4380952380952" style="576"/>
    <col min="13324" max="13324" width="7.55238095238095" style="576" customWidth="1"/>
    <col min="13325" max="13325" width="47" style="576" customWidth="1"/>
    <col min="13326" max="13326" width="9.33333333333333" style="576" customWidth="1"/>
    <col min="13327" max="13328" width="13.6666666666667" style="576" customWidth="1"/>
    <col min="13329" max="13329" width="3.33333333333333" style="576" customWidth="1"/>
    <col min="13330" max="13579" width="11.4380952380952" style="576"/>
    <col min="13580" max="13580" width="7.55238095238095" style="576" customWidth="1"/>
    <col min="13581" max="13581" width="47" style="576" customWidth="1"/>
    <col min="13582" max="13582" width="9.33333333333333" style="576" customWidth="1"/>
    <col min="13583" max="13584" width="13.6666666666667" style="576" customWidth="1"/>
    <col min="13585" max="13585" width="3.33333333333333" style="576" customWidth="1"/>
    <col min="13586" max="13835" width="11.4380952380952" style="576"/>
    <col min="13836" max="13836" width="7.55238095238095" style="576" customWidth="1"/>
    <col min="13837" max="13837" width="47" style="576" customWidth="1"/>
    <col min="13838" max="13838" width="9.33333333333333" style="576" customWidth="1"/>
    <col min="13839" max="13840" width="13.6666666666667" style="576" customWidth="1"/>
    <col min="13841" max="13841" width="3.33333333333333" style="576" customWidth="1"/>
    <col min="13842" max="14091" width="11.4380952380952" style="576"/>
    <col min="14092" max="14092" width="7.55238095238095" style="576" customWidth="1"/>
    <col min="14093" max="14093" width="47" style="576" customWidth="1"/>
    <col min="14094" max="14094" width="9.33333333333333" style="576" customWidth="1"/>
    <col min="14095" max="14096" width="13.6666666666667" style="576" customWidth="1"/>
    <col min="14097" max="14097" width="3.33333333333333" style="576" customWidth="1"/>
    <col min="14098" max="14347" width="11.4380952380952" style="576"/>
    <col min="14348" max="14348" width="7.55238095238095" style="576" customWidth="1"/>
    <col min="14349" max="14349" width="47" style="576" customWidth="1"/>
    <col min="14350" max="14350" width="9.33333333333333" style="576" customWidth="1"/>
    <col min="14351" max="14352" width="13.6666666666667" style="576" customWidth="1"/>
    <col min="14353" max="14353" width="3.33333333333333" style="576" customWidth="1"/>
    <col min="14354" max="14603" width="11.4380952380952" style="576"/>
    <col min="14604" max="14604" width="7.55238095238095" style="576" customWidth="1"/>
    <col min="14605" max="14605" width="47" style="576" customWidth="1"/>
    <col min="14606" max="14606" width="9.33333333333333" style="576" customWidth="1"/>
    <col min="14607" max="14608" width="13.6666666666667" style="576" customWidth="1"/>
    <col min="14609" max="14609" width="3.33333333333333" style="576" customWidth="1"/>
    <col min="14610" max="14859" width="11.4380952380952" style="576"/>
    <col min="14860" max="14860" width="7.55238095238095" style="576" customWidth="1"/>
    <col min="14861" max="14861" width="47" style="576" customWidth="1"/>
    <col min="14862" max="14862" width="9.33333333333333" style="576" customWidth="1"/>
    <col min="14863" max="14864" width="13.6666666666667" style="576" customWidth="1"/>
    <col min="14865" max="14865" width="3.33333333333333" style="576" customWidth="1"/>
    <col min="14866" max="15115" width="11.4380952380952" style="576"/>
    <col min="15116" max="15116" width="7.55238095238095" style="576" customWidth="1"/>
    <col min="15117" max="15117" width="47" style="576" customWidth="1"/>
    <col min="15118" max="15118" width="9.33333333333333" style="576" customWidth="1"/>
    <col min="15119" max="15120" width="13.6666666666667" style="576" customWidth="1"/>
    <col min="15121" max="15121" width="3.33333333333333" style="576" customWidth="1"/>
    <col min="15122" max="15371" width="11.4380952380952" style="576"/>
    <col min="15372" max="15372" width="7.55238095238095" style="576" customWidth="1"/>
    <col min="15373" max="15373" width="47" style="576" customWidth="1"/>
    <col min="15374" max="15374" width="9.33333333333333" style="576" customWidth="1"/>
    <col min="15375" max="15376" width="13.6666666666667" style="576" customWidth="1"/>
    <col min="15377" max="15377" width="3.33333333333333" style="576" customWidth="1"/>
    <col min="15378" max="15627" width="11.4380952380952" style="576"/>
    <col min="15628" max="15628" width="7.55238095238095" style="576" customWidth="1"/>
    <col min="15629" max="15629" width="47" style="576" customWidth="1"/>
    <col min="15630" max="15630" width="9.33333333333333" style="576" customWidth="1"/>
    <col min="15631" max="15632" width="13.6666666666667" style="576" customWidth="1"/>
    <col min="15633" max="15633" width="3.33333333333333" style="576" customWidth="1"/>
    <col min="15634" max="15883" width="11.4380952380952" style="576"/>
    <col min="15884" max="15884" width="7.55238095238095" style="576" customWidth="1"/>
    <col min="15885" max="15885" width="47" style="576" customWidth="1"/>
    <col min="15886" max="15886" width="9.33333333333333" style="576" customWidth="1"/>
    <col min="15887" max="15888" width="13.6666666666667" style="576" customWidth="1"/>
    <col min="15889" max="15889" width="3.33333333333333" style="576" customWidth="1"/>
    <col min="15890" max="16139" width="11.4380952380952" style="576"/>
    <col min="16140" max="16140" width="7.55238095238095" style="576" customWidth="1"/>
    <col min="16141" max="16141" width="47" style="576" customWidth="1"/>
    <col min="16142" max="16142" width="9.33333333333333" style="576" customWidth="1"/>
    <col min="16143" max="16144" width="13.6666666666667" style="576" customWidth="1"/>
    <col min="16145" max="16145" width="3.33333333333333" style="576" customWidth="1"/>
    <col min="16146" max="16384" width="11.4380952380952" style="576"/>
  </cols>
  <sheetData>
    <row r="1" ht="26.25" customHeight="1" spans="2:19">
      <c r="B1" s="581" t="s">
        <v>328</v>
      </c>
      <c r="C1" s="582"/>
      <c r="D1" s="582"/>
      <c r="E1" s="582"/>
      <c r="F1" s="582"/>
      <c r="G1" s="582"/>
      <c r="H1" s="582"/>
      <c r="I1" s="582"/>
      <c r="J1" s="582"/>
      <c r="K1" s="582"/>
      <c r="L1" s="582"/>
      <c r="M1" s="582"/>
      <c r="N1" s="582"/>
      <c r="O1" s="582"/>
      <c r="P1" s="583">
        <f>P98+P57+P43+P31+P13</f>
        <v>533396.6854</v>
      </c>
    </row>
    <row r="2" s="572" customFormat="1" ht="15.9" customHeight="1" spans="2:19">
      <c r="B2" s="584"/>
      <c r="C2" s="585"/>
      <c r="D2" s="586">
        <v>46204</v>
      </c>
      <c r="E2" s="586">
        <v>46235</v>
      </c>
      <c r="F2" s="586">
        <v>46266</v>
      </c>
      <c r="G2" s="586">
        <v>46296</v>
      </c>
      <c r="H2" s="586">
        <v>46327</v>
      </c>
      <c r="I2" s="586">
        <v>46357</v>
      </c>
      <c r="J2" s="586">
        <v>46388</v>
      </c>
      <c r="K2" s="586">
        <v>46419</v>
      </c>
      <c r="L2" s="586">
        <v>46447</v>
      </c>
      <c r="M2" s="587"/>
      <c r="N2" s="587"/>
      <c r="O2" s="588"/>
      <c r="P2" s="589"/>
    </row>
    <row r="3" ht="15.9" customHeight="1" spans="2:19">
      <c r="B3" s="590" t="s">
        <v>329</v>
      </c>
      <c r="C3" s="591"/>
      <c r="D3" s="591"/>
      <c r="E3" s="591"/>
      <c r="F3" s="591"/>
      <c r="G3" s="591"/>
      <c r="H3" s="591"/>
      <c r="I3" s="591"/>
      <c r="J3" s="591"/>
      <c r="K3" s="591"/>
      <c r="L3" s="591"/>
      <c r="M3" s="592"/>
      <c r="N3" s="593"/>
      <c r="O3" s="591"/>
      <c r="P3" s="594"/>
    </row>
    <row r="4" ht="15.9" customHeight="1" spans="2:19">
      <c r="B4" s="595" t="s">
        <v>310</v>
      </c>
      <c r="C4" s="596" t="s">
        <v>330</v>
      </c>
      <c r="D4" s="597" t="s">
        <v>331</v>
      </c>
      <c r="E4" s="598"/>
      <c r="F4" s="598"/>
      <c r="G4" s="598"/>
      <c r="H4" s="598"/>
      <c r="I4" s="598"/>
      <c r="J4" s="598"/>
      <c r="K4" s="598"/>
      <c r="L4" s="598"/>
      <c r="M4" s="599" t="s">
        <v>332</v>
      </c>
      <c r="N4" s="600" t="s">
        <v>333</v>
      </c>
      <c r="O4" s="596" t="s">
        <v>334</v>
      </c>
      <c r="P4" s="601" t="s">
        <v>335</v>
      </c>
    </row>
    <row r="5" ht="15.9" customHeight="1" spans="2:19">
      <c r="B5" s="584">
        <v>1</v>
      </c>
      <c r="C5" s="585" t="s">
        <v>336</v>
      </c>
      <c r="D5" s="602"/>
      <c r="E5" s="602"/>
      <c r="F5" s="602"/>
      <c r="G5" s="602"/>
      <c r="H5" s="602"/>
      <c r="I5" s="602"/>
      <c r="J5" s="602"/>
      <c r="K5" s="602"/>
      <c r="L5" s="602"/>
      <c r="M5" s="603">
        <f t="shared" ref="M5:M11" si="0">SUM(D5:L5)</f>
        <v>0</v>
      </c>
      <c r="N5" s="604">
        <f>'CPUs INTERNAS'!E5+'CPUs INTERNAS'!H53+'CPUs INTERNAS'!G64</f>
        <v>4255.5397</v>
      </c>
      <c r="O5" s="605"/>
      <c r="P5" s="589">
        <f>(M5*N5)+(N5*O5*M5)</f>
        <v>0</v>
      </c>
    </row>
    <row r="6" ht="15.9" customHeight="1" spans="2:19">
      <c r="B6" s="584">
        <f>B5+1</f>
        <v>2</v>
      </c>
      <c r="C6" s="585"/>
      <c r="D6" s="602"/>
      <c r="E6" s="602"/>
      <c r="F6" s="602"/>
      <c r="G6" s="602"/>
      <c r="H6" s="602"/>
      <c r="I6" s="602"/>
      <c r="J6" s="602"/>
      <c r="K6" s="602"/>
      <c r="L6" s="602"/>
      <c r="M6" s="603">
        <f t="shared" si="0"/>
        <v>0</v>
      </c>
      <c r="N6" s="604"/>
      <c r="O6" s="605"/>
      <c r="P6" s="589">
        <f t="shared" ref="P6:P11" si="1">(M6*N6)+(N6*O6*M6)</f>
        <v>0</v>
      </c>
      <c r="Q6" s="606"/>
    </row>
    <row r="7" ht="15.9" customHeight="1" spans="2:19">
      <c r="B7" s="584">
        <f t="shared" ref="B7:B11" si="2">B6+1</f>
        <v>3</v>
      </c>
      <c r="C7" s="585"/>
      <c r="D7" s="602"/>
      <c r="E7" s="602"/>
      <c r="F7" s="602"/>
      <c r="G7" s="602"/>
      <c r="H7" s="602"/>
      <c r="I7" s="602"/>
      <c r="J7" s="602"/>
      <c r="K7" s="602"/>
      <c r="L7" s="602"/>
      <c r="M7" s="603">
        <f t="shared" si="0"/>
        <v>0</v>
      </c>
      <c r="N7" s="604"/>
      <c r="O7" s="605"/>
      <c r="P7" s="589">
        <f t="shared" si="1"/>
        <v>0</v>
      </c>
      <c r="Q7" s="606"/>
    </row>
    <row r="8" ht="15.9" customHeight="1" spans="2:19">
      <c r="B8" s="584">
        <f t="shared" si="2"/>
        <v>4</v>
      </c>
      <c r="C8" s="585"/>
      <c r="D8" s="602"/>
      <c r="E8" s="602"/>
      <c r="F8" s="602"/>
      <c r="G8" s="602"/>
      <c r="H8" s="602"/>
      <c r="I8" s="602"/>
      <c r="J8" s="602"/>
      <c r="K8" s="602"/>
      <c r="L8" s="602"/>
      <c r="M8" s="603">
        <f t="shared" si="0"/>
        <v>0</v>
      </c>
      <c r="N8" s="604"/>
      <c r="O8" s="605"/>
      <c r="P8" s="589">
        <f t="shared" si="1"/>
        <v>0</v>
      </c>
      <c r="Q8" s="606"/>
      <c r="S8" s="576" t="s">
        <v>216</v>
      </c>
    </row>
    <row r="9" ht="15.9" customHeight="1" spans="2:19">
      <c r="B9" s="584">
        <f t="shared" si="2"/>
        <v>5</v>
      </c>
      <c r="C9" s="585"/>
      <c r="D9" s="602"/>
      <c r="E9" s="602"/>
      <c r="F9" s="602"/>
      <c r="G9" s="602"/>
      <c r="H9" s="602"/>
      <c r="I9" s="602"/>
      <c r="J9" s="602"/>
      <c r="K9" s="602"/>
      <c r="L9" s="602"/>
      <c r="M9" s="603">
        <f t="shared" si="0"/>
        <v>0</v>
      </c>
      <c r="N9" s="604"/>
      <c r="O9" s="605"/>
      <c r="P9" s="589">
        <f t="shared" si="1"/>
        <v>0</v>
      </c>
      <c r="Q9" s="606"/>
    </row>
    <row r="10" ht="15.9" customHeight="1" spans="2:19">
      <c r="B10" s="584">
        <f t="shared" si="2"/>
        <v>6</v>
      </c>
      <c r="C10" s="607"/>
      <c r="D10" s="608"/>
      <c r="E10" s="608"/>
      <c r="F10" s="608"/>
      <c r="G10" s="608"/>
      <c r="H10" s="608"/>
      <c r="I10" s="608"/>
      <c r="J10" s="608"/>
      <c r="K10" s="608"/>
      <c r="L10" s="608"/>
      <c r="M10" s="603">
        <f t="shared" si="0"/>
        <v>0</v>
      </c>
      <c r="N10" s="604"/>
      <c r="O10" s="605"/>
      <c r="P10" s="589">
        <f t="shared" si="1"/>
        <v>0</v>
      </c>
      <c r="Q10" s="606"/>
    </row>
    <row r="11" ht="15.9" customHeight="1" spans="2:19">
      <c r="B11" s="584">
        <f t="shared" si="2"/>
        <v>7</v>
      </c>
      <c r="C11" s="607"/>
      <c r="D11" s="608"/>
      <c r="E11" s="608"/>
      <c r="F11" s="608"/>
      <c r="G11" s="608"/>
      <c r="H11" s="608"/>
      <c r="I11" s="608"/>
      <c r="J11" s="608"/>
      <c r="K11" s="608"/>
      <c r="L11" s="608"/>
      <c r="M11" s="603">
        <f t="shared" si="0"/>
        <v>0</v>
      </c>
      <c r="N11" s="604"/>
      <c r="O11" s="605"/>
      <c r="P11" s="589">
        <f t="shared" si="1"/>
        <v>0</v>
      </c>
      <c r="Q11" s="606"/>
    </row>
    <row r="12" ht="15.9" customHeight="1" spans="2:19">
      <c r="B12" s="584"/>
      <c r="C12" s="585"/>
      <c r="D12" s="609"/>
      <c r="E12" s="609"/>
      <c r="F12" s="609"/>
      <c r="G12" s="609"/>
      <c r="H12" s="609"/>
      <c r="I12" s="609"/>
      <c r="J12" s="609"/>
      <c r="K12" s="609"/>
      <c r="L12" s="609"/>
      <c r="M12" s="610"/>
      <c r="N12" s="604"/>
      <c r="O12" s="611"/>
      <c r="P12" s="589"/>
      <c r="Q12" s="606"/>
    </row>
    <row r="13" ht="15.9" customHeight="1" spans="2:19">
      <c r="B13" s="612"/>
      <c r="C13" s="613"/>
      <c r="D13" s="613"/>
      <c r="E13" s="613"/>
      <c r="F13" s="613"/>
      <c r="G13" s="613"/>
      <c r="H13" s="613"/>
      <c r="I13" s="613"/>
      <c r="J13" s="613"/>
      <c r="K13" s="613"/>
      <c r="L13" s="613"/>
      <c r="M13" s="614"/>
      <c r="N13" s="614"/>
      <c r="O13" s="615" t="s">
        <v>337</v>
      </c>
      <c r="P13" s="616">
        <f>SUM(P5:P12)</f>
        <v>0</v>
      </c>
    </row>
    <row r="14" ht="15.9" customHeight="1" spans="2:19">
      <c r="B14" s="617"/>
      <c r="C14" s="618"/>
      <c r="D14" s="619"/>
      <c r="E14" s="619"/>
      <c r="F14" s="619"/>
      <c r="G14" s="619"/>
      <c r="H14" s="619"/>
      <c r="I14" s="619"/>
      <c r="J14" s="619"/>
      <c r="K14" s="619"/>
      <c r="L14" s="619"/>
      <c r="M14" s="620"/>
      <c r="N14" s="621"/>
      <c r="O14" s="618"/>
      <c r="P14" s="622"/>
      <c r="Q14" s="623"/>
    </row>
    <row r="15" ht="15.9" customHeight="1" spans="2:19">
      <c r="B15" s="590" t="s">
        <v>338</v>
      </c>
      <c r="C15" s="591"/>
      <c r="D15" s="591"/>
      <c r="E15" s="591"/>
      <c r="F15" s="591"/>
      <c r="G15" s="591"/>
      <c r="H15" s="591"/>
      <c r="I15" s="591"/>
      <c r="J15" s="591"/>
      <c r="K15" s="591"/>
      <c r="L15" s="591"/>
      <c r="M15" s="592"/>
      <c r="N15" s="593"/>
      <c r="O15" s="591"/>
      <c r="P15" s="594"/>
    </row>
    <row r="16" spans="2:19">
      <c r="B16" s="624" t="s">
        <v>310</v>
      </c>
      <c r="C16" s="625" t="s">
        <v>330</v>
      </c>
      <c r="D16" s="597" t="s">
        <v>331</v>
      </c>
      <c r="E16" s="598"/>
      <c r="F16" s="598"/>
      <c r="G16" s="598"/>
      <c r="H16" s="598"/>
      <c r="I16" s="598"/>
      <c r="J16" s="598"/>
      <c r="K16" s="598"/>
      <c r="L16" s="598"/>
      <c r="M16" s="599" t="s">
        <v>332</v>
      </c>
      <c r="N16" s="626" t="s">
        <v>333</v>
      </c>
      <c r="O16" s="596" t="s">
        <v>334</v>
      </c>
      <c r="P16" s="627" t="s">
        <v>335</v>
      </c>
    </row>
    <row r="17" ht="15.9" customHeight="1" spans="2:21">
      <c r="B17" s="628">
        <v>1</v>
      </c>
      <c r="C17" s="607" t="s">
        <v>339</v>
      </c>
      <c r="D17" s="602"/>
      <c r="E17" s="602"/>
      <c r="F17" s="602"/>
      <c r="G17" s="602"/>
      <c r="H17" s="602"/>
      <c r="I17" s="602"/>
      <c r="J17" s="602"/>
      <c r="K17" s="602"/>
      <c r="L17" s="602"/>
      <c r="M17" s="603">
        <f t="shared" ref="M17:M22" si="3">SUM(D17:L17)</f>
        <v>0</v>
      </c>
      <c r="N17" s="604">
        <f>'CPUs INTERNAS'!E16+'CPUs INTERNAS'!H53+'CPUs INTERNAS'!G64</f>
        <v>11506.9475</v>
      </c>
      <c r="O17" s="605"/>
      <c r="P17" s="589">
        <f t="shared" ref="P17:P29" si="4">(M17*N17)+(N17*O17*M17)</f>
        <v>0</v>
      </c>
      <c r="R17" s="576" t="s">
        <v>340</v>
      </c>
      <c r="S17"/>
      <c r="T17"/>
      <c r="U17"/>
    </row>
    <row r="18" ht="15.9" customHeight="1" spans="2:21">
      <c r="B18" s="584">
        <f>B17+1</f>
        <v>2</v>
      </c>
      <c r="C18" s="585" t="s">
        <v>341</v>
      </c>
      <c r="D18" s="602">
        <v>1</v>
      </c>
      <c r="E18" s="602">
        <v>1</v>
      </c>
      <c r="F18" s="602">
        <v>1</v>
      </c>
      <c r="G18" s="602">
        <v>1</v>
      </c>
      <c r="H18" s="602">
        <v>1</v>
      </c>
      <c r="I18" s="602">
        <v>1</v>
      </c>
      <c r="J18" s="602">
        <v>1</v>
      </c>
      <c r="K18" s="602">
        <v>1</v>
      </c>
      <c r="L18" s="602">
        <v>1</v>
      </c>
      <c r="M18" s="603">
        <f t="shared" si="3"/>
        <v>9</v>
      </c>
      <c r="N18" s="604">
        <f>'CPUs INTERNAS'!E13+'CPUs INTERNAS'!H53+'CPUs INTERNAS'!G64</f>
        <v>7176.1975</v>
      </c>
      <c r="O18" s="605"/>
      <c r="P18" s="589">
        <f t="shared" si="4"/>
        <v>64585.7775</v>
      </c>
      <c r="S18"/>
      <c r="T18"/>
      <c r="U18"/>
    </row>
    <row r="19" ht="15.9" customHeight="1" spans="2:21">
      <c r="B19" s="584">
        <f t="shared" ref="B19:B29" si="5">B18+1</f>
        <v>3</v>
      </c>
      <c r="C19" s="585" t="s">
        <v>342</v>
      </c>
      <c r="D19" s="602">
        <v>1</v>
      </c>
      <c r="E19" s="602">
        <v>1</v>
      </c>
      <c r="F19" s="602">
        <v>1</v>
      </c>
      <c r="G19" s="602">
        <v>1</v>
      </c>
      <c r="H19" s="602">
        <v>1</v>
      </c>
      <c r="I19" s="602">
        <v>1</v>
      </c>
      <c r="J19" s="602">
        <v>1</v>
      </c>
      <c r="K19" s="602">
        <v>1</v>
      </c>
      <c r="L19" s="602">
        <v>1</v>
      </c>
      <c r="M19" s="603">
        <f t="shared" si="3"/>
        <v>9</v>
      </c>
      <c r="N19" s="604">
        <v>8500</v>
      </c>
      <c r="O19" s="605"/>
      <c r="P19" s="589">
        <f t="shared" si="4"/>
        <v>76500</v>
      </c>
      <c r="S19"/>
      <c r="T19"/>
      <c r="U19"/>
    </row>
    <row r="20" ht="15.9" customHeight="1" spans="2:21">
      <c r="B20" s="584">
        <f t="shared" si="5"/>
        <v>4</v>
      </c>
      <c r="C20" s="585" t="s">
        <v>343</v>
      </c>
      <c r="D20" s="602">
        <v>1</v>
      </c>
      <c r="E20" s="602">
        <v>1</v>
      </c>
      <c r="F20" s="602">
        <v>1</v>
      </c>
      <c r="G20" s="602">
        <v>1</v>
      </c>
      <c r="H20" s="602">
        <v>1</v>
      </c>
      <c r="I20" s="602">
        <v>1</v>
      </c>
      <c r="J20" s="602">
        <v>1</v>
      </c>
      <c r="K20" s="602">
        <v>1</v>
      </c>
      <c r="L20" s="602">
        <v>1</v>
      </c>
      <c r="M20" s="603">
        <f t="shared" si="3"/>
        <v>9</v>
      </c>
      <c r="N20" s="604">
        <f>'CPUs INTERNAS'!E4+'CPUs INTERNAS'!H53+'CPUs INTERNAS'!G64</f>
        <v>7176.1975</v>
      </c>
      <c r="O20" s="605"/>
      <c r="P20" s="589">
        <f t="shared" si="4"/>
        <v>64585.7775</v>
      </c>
    </row>
    <row r="21" ht="15.9" customHeight="1" spans="2:21">
      <c r="B21" s="584">
        <f t="shared" si="5"/>
        <v>5</v>
      </c>
      <c r="C21" s="585" t="s">
        <v>344</v>
      </c>
      <c r="D21" s="602"/>
      <c r="E21" s="602"/>
      <c r="F21" s="602"/>
      <c r="G21" s="602"/>
      <c r="H21" s="602"/>
      <c r="I21" s="602"/>
      <c r="J21" s="602"/>
      <c r="K21" s="602"/>
      <c r="L21" s="602"/>
      <c r="M21" s="603">
        <f t="shared" si="3"/>
        <v>0</v>
      </c>
      <c r="N21" s="604">
        <f>'CPUs INTERNAS'!F7+'CPUs INTERNAS'!H52+'CPUs INTERNAS'!G64</f>
        <v>12136.8375</v>
      </c>
      <c r="O21" s="605"/>
      <c r="P21" s="589">
        <f t="shared" si="4"/>
        <v>0</v>
      </c>
    </row>
    <row r="22" ht="15.9" customHeight="1" spans="2:21">
      <c r="B22" s="584">
        <f t="shared" si="5"/>
        <v>6</v>
      </c>
      <c r="C22" s="585" t="s">
        <v>345</v>
      </c>
      <c r="D22" s="602">
        <v>1</v>
      </c>
      <c r="E22" s="602">
        <v>1</v>
      </c>
      <c r="F22" s="602">
        <v>1</v>
      </c>
      <c r="G22" s="602">
        <v>1</v>
      </c>
      <c r="H22" s="602">
        <v>1</v>
      </c>
      <c r="I22" s="602">
        <v>1</v>
      </c>
      <c r="J22" s="602">
        <v>1</v>
      </c>
      <c r="K22" s="602">
        <v>1</v>
      </c>
      <c r="L22" s="602">
        <v>1</v>
      </c>
      <c r="M22" s="603">
        <f t="shared" si="3"/>
        <v>9</v>
      </c>
      <c r="N22" s="604">
        <v>12000</v>
      </c>
      <c r="O22" s="605"/>
      <c r="P22" s="589">
        <f t="shared" si="4"/>
        <v>108000</v>
      </c>
    </row>
    <row r="23" ht="15.9" customHeight="1" spans="2:21">
      <c r="B23" s="584">
        <f t="shared" si="5"/>
        <v>7</v>
      </c>
      <c r="C23" s="585" t="s">
        <v>346</v>
      </c>
      <c r="D23" s="602"/>
      <c r="E23" s="602"/>
      <c r="F23" s="602"/>
      <c r="G23" s="602"/>
      <c r="H23" s="602"/>
      <c r="I23" s="602"/>
      <c r="J23" s="602"/>
      <c r="K23" s="602"/>
      <c r="L23" s="602"/>
      <c r="M23" s="603"/>
      <c r="N23" s="604"/>
      <c r="O23" s="605"/>
      <c r="P23" s="589">
        <f t="shared" si="4"/>
        <v>0</v>
      </c>
    </row>
    <row r="24" ht="15.9" customHeight="1" spans="2:21">
      <c r="B24" s="584">
        <f t="shared" si="5"/>
        <v>8</v>
      </c>
      <c r="C24" s="585"/>
      <c r="D24" s="602"/>
      <c r="E24" s="602"/>
      <c r="F24" s="602"/>
      <c r="G24" s="602"/>
      <c r="H24" s="602"/>
      <c r="I24" s="602"/>
      <c r="J24" s="602"/>
      <c r="K24" s="602"/>
      <c r="L24" s="602"/>
      <c r="M24" s="603">
        <f t="shared" ref="M24:M29" si="6">SUM(D24:L24)</f>
        <v>0</v>
      </c>
      <c r="N24" s="604"/>
      <c r="O24" s="605"/>
      <c r="P24" s="589">
        <f t="shared" si="4"/>
        <v>0</v>
      </c>
    </row>
    <row r="25" ht="15.9" customHeight="1" spans="2:21">
      <c r="B25" s="584">
        <f t="shared" si="5"/>
        <v>9</v>
      </c>
      <c r="C25" s="585"/>
      <c r="D25" s="602"/>
      <c r="E25" s="602"/>
      <c r="F25" s="602"/>
      <c r="G25" s="602"/>
      <c r="H25" s="602"/>
      <c r="I25" s="602"/>
      <c r="J25" s="602"/>
      <c r="K25" s="602"/>
      <c r="L25" s="602"/>
      <c r="M25" s="603">
        <f t="shared" si="6"/>
        <v>0</v>
      </c>
      <c r="N25" s="604"/>
      <c r="O25" s="605"/>
      <c r="P25" s="589">
        <f t="shared" si="4"/>
        <v>0</v>
      </c>
    </row>
    <row r="26" ht="15.9" customHeight="1" spans="2:21">
      <c r="B26" s="584">
        <f t="shared" si="5"/>
        <v>10</v>
      </c>
      <c r="C26" s="585"/>
      <c r="D26" s="602"/>
      <c r="E26" s="602"/>
      <c r="F26" s="602"/>
      <c r="G26" s="602"/>
      <c r="H26" s="602"/>
      <c r="I26" s="602"/>
      <c r="J26" s="602"/>
      <c r="K26" s="602"/>
      <c r="L26" s="602"/>
      <c r="M26" s="603">
        <f t="shared" si="6"/>
        <v>0</v>
      </c>
      <c r="N26" s="604"/>
      <c r="O26" s="605"/>
      <c r="P26" s="589">
        <f t="shared" si="4"/>
        <v>0</v>
      </c>
    </row>
    <row r="27" ht="15.9" customHeight="1" spans="2:21">
      <c r="B27" s="584">
        <f t="shared" si="5"/>
        <v>11</v>
      </c>
      <c r="C27" s="585"/>
      <c r="D27" s="602"/>
      <c r="E27" s="602"/>
      <c r="F27" s="602"/>
      <c r="G27" s="602"/>
      <c r="H27" s="602"/>
      <c r="I27" s="602"/>
      <c r="J27" s="602"/>
      <c r="K27" s="602"/>
      <c r="L27" s="602"/>
      <c r="M27" s="603">
        <f t="shared" si="6"/>
        <v>0</v>
      </c>
      <c r="N27" s="604"/>
      <c r="O27" s="605"/>
      <c r="P27" s="589">
        <f t="shared" si="4"/>
        <v>0</v>
      </c>
    </row>
    <row r="28" ht="15.9" customHeight="1" spans="2:21">
      <c r="B28" s="584">
        <f t="shared" si="5"/>
        <v>12</v>
      </c>
      <c r="C28" s="585"/>
      <c r="D28" s="602"/>
      <c r="E28" s="602"/>
      <c r="F28" s="602"/>
      <c r="G28" s="602"/>
      <c r="H28" s="602"/>
      <c r="I28" s="602"/>
      <c r="J28" s="602"/>
      <c r="K28" s="602"/>
      <c r="L28" s="602"/>
      <c r="M28" s="603">
        <f t="shared" si="6"/>
        <v>0</v>
      </c>
      <c r="N28" s="604"/>
      <c r="O28" s="605"/>
      <c r="P28" s="589">
        <f t="shared" si="4"/>
        <v>0</v>
      </c>
    </row>
    <row r="29" ht="15.9" customHeight="1" spans="2:21">
      <c r="B29" s="584">
        <f t="shared" si="5"/>
        <v>13</v>
      </c>
      <c r="C29" s="585"/>
      <c r="D29" s="602"/>
      <c r="E29" s="602"/>
      <c r="F29" s="602"/>
      <c r="G29" s="602"/>
      <c r="H29" s="602"/>
      <c r="I29" s="602"/>
      <c r="J29" s="602"/>
      <c r="K29" s="602"/>
      <c r="L29" s="602"/>
      <c r="M29" s="603">
        <f t="shared" si="6"/>
        <v>0</v>
      </c>
      <c r="N29" s="604"/>
      <c r="O29" s="605"/>
      <c r="P29" s="589">
        <f t="shared" si="4"/>
        <v>0</v>
      </c>
    </row>
    <row r="30" ht="15.9" customHeight="1" spans="2:21">
      <c r="B30" s="584"/>
      <c r="C30" s="585"/>
      <c r="D30" s="609"/>
      <c r="E30" s="609"/>
      <c r="F30" s="609"/>
      <c r="G30" s="609"/>
      <c r="H30" s="609"/>
      <c r="I30" s="609"/>
      <c r="J30" s="609"/>
      <c r="K30" s="609"/>
      <c r="L30" s="609"/>
      <c r="M30" s="629"/>
      <c r="N30" s="604"/>
      <c r="O30" s="611"/>
      <c r="P30" s="589"/>
      <c r="Q30" s="606"/>
    </row>
    <row r="31" ht="15.9" customHeight="1" spans="2:21">
      <c r="B31" s="612"/>
      <c r="C31" s="613"/>
      <c r="D31" s="613"/>
      <c r="E31" s="613"/>
      <c r="F31" s="613"/>
      <c r="G31" s="613"/>
      <c r="H31" s="613"/>
      <c r="I31" s="613"/>
      <c r="J31" s="613"/>
      <c r="K31" s="613"/>
      <c r="L31" s="613"/>
      <c r="M31" s="614"/>
      <c r="N31" s="614"/>
      <c r="O31" s="615" t="s">
        <v>347</v>
      </c>
      <c r="P31" s="616">
        <f>SUM(P17:P30)</f>
        <v>313671.555</v>
      </c>
    </row>
    <row r="32" ht="18" customHeight="1" spans="2:21">
      <c r="B32" s="617"/>
      <c r="C32" s="630"/>
      <c r="D32" s="619"/>
      <c r="E32" s="619"/>
      <c r="F32" s="619"/>
      <c r="G32" s="619"/>
      <c r="H32" s="619"/>
      <c r="I32" s="619"/>
      <c r="J32" s="619"/>
      <c r="K32" s="619"/>
      <c r="L32" s="619"/>
      <c r="M32" s="631"/>
      <c r="N32" s="632"/>
      <c r="O32" s="630"/>
      <c r="P32" s="633"/>
    </row>
    <row r="33" ht="15.75" spans="2:16">
      <c r="B33" s="590" t="s">
        <v>348</v>
      </c>
      <c r="C33" s="591"/>
      <c r="D33" s="591"/>
      <c r="E33" s="591"/>
      <c r="F33" s="591"/>
      <c r="G33" s="591"/>
      <c r="H33" s="591"/>
      <c r="I33" s="591"/>
      <c r="J33" s="591"/>
      <c r="K33" s="591"/>
      <c r="L33" s="591"/>
      <c r="M33" s="592"/>
      <c r="N33" s="593"/>
      <c r="O33" s="591"/>
      <c r="P33" s="594"/>
    </row>
    <row r="34" ht="15.75" customHeight="1" spans="2:16">
      <c r="B34" s="624" t="s">
        <v>310</v>
      </c>
      <c r="C34" s="625" t="s">
        <v>349</v>
      </c>
      <c r="D34" s="597" t="s">
        <v>331</v>
      </c>
      <c r="E34" s="598"/>
      <c r="F34" s="598"/>
      <c r="G34" s="598"/>
      <c r="H34" s="598"/>
      <c r="I34" s="598"/>
      <c r="J34" s="598"/>
      <c r="K34" s="598"/>
      <c r="L34" s="598"/>
      <c r="M34" s="599" t="s">
        <v>332</v>
      </c>
      <c r="N34" s="626" t="s">
        <v>350</v>
      </c>
      <c r="O34" s="596" t="s">
        <v>334</v>
      </c>
      <c r="P34" s="627" t="s">
        <v>335</v>
      </c>
    </row>
    <row r="35" s="573" customFormat="1" ht="15.75" customHeight="1" spans="2:16">
      <c r="B35" s="634">
        <v>1</v>
      </c>
      <c r="C35" s="908" t="s">
        <v>351</v>
      </c>
      <c r="D35" s="636">
        <v>1</v>
      </c>
      <c r="E35" s="636">
        <v>1</v>
      </c>
      <c r="F35" s="636">
        <v>1</v>
      </c>
      <c r="G35" s="636">
        <v>1</v>
      </c>
      <c r="H35" s="636">
        <v>1</v>
      </c>
      <c r="I35" s="636">
        <v>1</v>
      </c>
      <c r="J35" s="636">
        <v>1</v>
      </c>
      <c r="K35" s="636">
        <v>1</v>
      </c>
      <c r="L35" s="636">
        <v>1</v>
      </c>
      <c r="M35" s="603">
        <f t="shared" ref="M35:M42" si="7">SUM(D35:L35)</f>
        <v>9</v>
      </c>
      <c r="N35" s="604">
        <v>2500</v>
      </c>
      <c r="O35" s="605"/>
      <c r="P35" s="589">
        <f t="shared" ref="P35:P42" si="8">(M35*N35)+(N35*O35*M35)</f>
        <v>22500</v>
      </c>
    </row>
    <row r="36" s="573" customFormat="1" ht="15.75" customHeight="1" spans="2:16">
      <c r="B36" s="584">
        <f>B35+1</f>
        <v>2</v>
      </c>
      <c r="C36" s="635"/>
      <c r="D36" s="602"/>
      <c r="E36" s="602"/>
      <c r="F36" s="602"/>
      <c r="G36" s="602"/>
      <c r="H36" s="602"/>
      <c r="I36" s="602"/>
      <c r="J36" s="602"/>
      <c r="K36" s="602"/>
      <c r="L36" s="602"/>
      <c r="M36" s="603">
        <f t="shared" si="7"/>
        <v>0</v>
      </c>
      <c r="N36" s="604"/>
      <c r="O36" s="611"/>
      <c r="P36" s="589">
        <f t="shared" si="8"/>
        <v>0</v>
      </c>
    </row>
    <row r="37" s="573" customFormat="1" ht="15.75" customHeight="1" spans="2:16">
      <c r="B37" s="584">
        <f t="shared" ref="B37:B42" si="9">B36+1</f>
        <v>3</v>
      </c>
      <c r="C37" s="637"/>
      <c r="D37" s="602"/>
      <c r="E37" s="602"/>
      <c r="F37" s="602"/>
      <c r="G37" s="602"/>
      <c r="H37" s="602"/>
      <c r="I37" s="602"/>
      <c r="J37" s="602"/>
      <c r="K37" s="602"/>
      <c r="L37" s="602"/>
      <c r="M37" s="603">
        <f t="shared" si="7"/>
        <v>0</v>
      </c>
      <c r="N37" s="604"/>
      <c r="O37" s="611"/>
      <c r="P37" s="589">
        <f t="shared" si="8"/>
        <v>0</v>
      </c>
    </row>
    <row r="38" s="574" customFormat="1" ht="15.75" customHeight="1" spans="2:16">
      <c r="B38" s="584">
        <f t="shared" si="9"/>
        <v>4</v>
      </c>
      <c r="C38" s="638"/>
      <c r="D38" s="639"/>
      <c r="E38" s="639"/>
      <c r="F38" s="639"/>
      <c r="G38" s="639"/>
      <c r="H38" s="639"/>
      <c r="I38" s="639"/>
      <c r="J38" s="639"/>
      <c r="K38" s="639"/>
      <c r="L38" s="639"/>
      <c r="M38" s="603">
        <f t="shared" si="7"/>
        <v>0</v>
      </c>
      <c r="N38" s="604"/>
      <c r="O38" s="611"/>
      <c r="P38" s="589">
        <f t="shared" si="8"/>
        <v>0</v>
      </c>
    </row>
    <row r="39" s="574" customFormat="1" ht="15.75" customHeight="1" spans="2:16">
      <c r="B39" s="584">
        <f t="shared" si="9"/>
        <v>5</v>
      </c>
      <c r="C39" s="640"/>
      <c r="D39" s="602"/>
      <c r="E39" s="602"/>
      <c r="F39" s="602"/>
      <c r="G39" s="602"/>
      <c r="H39" s="602"/>
      <c r="I39" s="602"/>
      <c r="J39" s="602"/>
      <c r="K39" s="602"/>
      <c r="L39" s="602"/>
      <c r="M39" s="603">
        <f t="shared" si="7"/>
        <v>0</v>
      </c>
      <c r="N39" s="604"/>
      <c r="O39" s="611"/>
      <c r="P39" s="589">
        <f t="shared" si="8"/>
        <v>0</v>
      </c>
    </row>
    <row r="40" s="574" customFormat="1" ht="15.75" customHeight="1" spans="2:16">
      <c r="B40" s="584">
        <f t="shared" si="9"/>
        <v>6</v>
      </c>
      <c r="C40" s="640"/>
      <c r="D40" s="602"/>
      <c r="E40" s="602"/>
      <c r="F40" s="602"/>
      <c r="G40" s="602"/>
      <c r="H40" s="602"/>
      <c r="I40" s="602"/>
      <c r="J40" s="602"/>
      <c r="K40" s="602"/>
      <c r="L40" s="602"/>
      <c r="M40" s="603">
        <f t="shared" si="7"/>
        <v>0</v>
      </c>
      <c r="N40" s="604"/>
      <c r="O40" s="611"/>
      <c r="P40" s="589">
        <f t="shared" si="8"/>
        <v>0</v>
      </c>
    </row>
    <row r="41" s="573" customFormat="1" ht="15.75" customHeight="1" spans="2:16">
      <c r="B41" s="584">
        <f t="shared" si="9"/>
        <v>7</v>
      </c>
      <c r="C41" s="640"/>
      <c r="D41" s="636"/>
      <c r="E41" s="636"/>
      <c r="F41" s="636"/>
      <c r="G41" s="636"/>
      <c r="H41" s="636"/>
      <c r="I41" s="636"/>
      <c r="J41" s="636"/>
      <c r="K41" s="636"/>
      <c r="L41" s="636"/>
      <c r="M41" s="603">
        <f t="shared" si="7"/>
        <v>0</v>
      </c>
      <c r="N41" s="604"/>
      <c r="O41" s="641"/>
      <c r="P41" s="589">
        <f t="shared" si="8"/>
        <v>0</v>
      </c>
    </row>
    <row r="42" s="573" customFormat="1" ht="15.75" customHeight="1" spans="2:16">
      <c r="B42" s="584">
        <f t="shared" si="9"/>
        <v>8</v>
      </c>
      <c r="C42" s="640"/>
      <c r="D42" s="636"/>
      <c r="E42" s="636"/>
      <c r="F42" s="636"/>
      <c r="G42" s="636"/>
      <c r="H42" s="636"/>
      <c r="I42" s="636"/>
      <c r="J42" s="636"/>
      <c r="K42" s="636"/>
      <c r="L42" s="636"/>
      <c r="M42" s="603">
        <f t="shared" si="7"/>
        <v>0</v>
      </c>
      <c r="N42" s="604"/>
      <c r="O42" s="641"/>
      <c r="P42" s="589">
        <f t="shared" si="8"/>
        <v>0</v>
      </c>
    </row>
    <row r="43" ht="15.75" customHeight="1" spans="2:16">
      <c r="B43" s="612"/>
      <c r="C43" s="613"/>
      <c r="D43" s="613"/>
      <c r="E43" s="613"/>
      <c r="F43" s="613"/>
      <c r="G43" s="613"/>
      <c r="H43" s="613"/>
      <c r="I43" s="613"/>
      <c r="J43" s="613"/>
      <c r="K43" s="613"/>
      <c r="L43" s="613"/>
      <c r="M43" s="603"/>
      <c r="N43" s="614"/>
      <c r="O43" s="615" t="s">
        <v>352</v>
      </c>
      <c r="P43" s="616">
        <f>SUM(P35:P42)</f>
        <v>22500</v>
      </c>
    </row>
    <row r="44" ht="15" customHeight="1" spans="2:16">
      <c r="B44" s="617"/>
      <c r="C44" s="630"/>
      <c r="D44" s="619"/>
      <c r="E44" s="619"/>
      <c r="F44" s="619"/>
      <c r="G44" s="619"/>
      <c r="H44" s="619"/>
      <c r="I44" s="619"/>
      <c r="J44" s="619"/>
      <c r="K44" s="619"/>
      <c r="L44" s="619"/>
      <c r="M44" s="603"/>
      <c r="N44" s="632"/>
      <c r="O44" s="630"/>
      <c r="P44" s="633"/>
    </row>
    <row r="45" ht="15.75" spans="2:16">
      <c r="B45" s="590" t="s">
        <v>353</v>
      </c>
      <c r="C45" s="591"/>
      <c r="D45" s="591"/>
      <c r="E45" s="591"/>
      <c r="F45" s="591"/>
      <c r="G45" s="591"/>
      <c r="H45" s="591"/>
      <c r="I45" s="591"/>
      <c r="J45" s="591"/>
      <c r="K45" s="591"/>
      <c r="L45" s="591"/>
      <c r="M45" s="592"/>
      <c r="N45" s="593"/>
      <c r="O45" s="591"/>
      <c r="P45" s="594"/>
    </row>
    <row r="46" ht="15.75" customHeight="1" spans="2:16">
      <c r="B46" s="624" t="s">
        <v>310</v>
      </c>
      <c r="C46" s="625" t="s">
        <v>330</v>
      </c>
      <c r="D46" s="597" t="s">
        <v>331</v>
      </c>
      <c r="E46" s="598"/>
      <c r="F46" s="598"/>
      <c r="G46" s="598"/>
      <c r="H46" s="598"/>
      <c r="I46" s="598"/>
      <c r="J46" s="598"/>
      <c r="K46" s="598"/>
      <c r="L46" s="598"/>
      <c r="M46" s="599" t="s">
        <v>332</v>
      </c>
      <c r="N46" s="626" t="s">
        <v>354</v>
      </c>
      <c r="O46" s="596" t="s">
        <v>334</v>
      </c>
      <c r="P46" s="627" t="s">
        <v>335</v>
      </c>
    </row>
    <row r="47" s="573" customFormat="1" ht="15.75" customHeight="1" spans="2:16">
      <c r="B47" s="634">
        <v>1</v>
      </c>
      <c r="C47" s="908" t="s">
        <v>355</v>
      </c>
      <c r="D47" s="636">
        <f>(D35+D22)*45*4</f>
        <v>360</v>
      </c>
      <c r="E47" s="636">
        <f t="shared" ref="E47:L47" si="10">(E35+E22)*45*4</f>
        <v>360</v>
      </c>
      <c r="F47" s="636">
        <f t="shared" si="10"/>
        <v>360</v>
      </c>
      <c r="G47" s="636">
        <f t="shared" si="10"/>
        <v>360</v>
      </c>
      <c r="H47" s="636">
        <f t="shared" si="10"/>
        <v>360</v>
      </c>
      <c r="I47" s="636">
        <f t="shared" si="10"/>
        <v>360</v>
      </c>
      <c r="J47" s="636">
        <f t="shared" si="10"/>
        <v>360</v>
      </c>
      <c r="K47" s="636">
        <f t="shared" si="10"/>
        <v>360</v>
      </c>
      <c r="L47" s="636">
        <f t="shared" si="10"/>
        <v>360</v>
      </c>
      <c r="M47" s="603">
        <f t="shared" ref="M47:M55" si="11">SUM(D47:L47)</f>
        <v>3240</v>
      </c>
      <c r="N47" s="604">
        <f>'BANCO - EQP'!F5</f>
        <v>6</v>
      </c>
      <c r="O47" s="611"/>
      <c r="P47" s="589">
        <f t="shared" ref="P47:P55" si="12">(M47*N47)+(N47*O47*M47)</f>
        <v>19440</v>
      </c>
    </row>
    <row r="48" s="573" customFormat="1" ht="15.75" customHeight="1" spans="2:16">
      <c r="B48" s="584">
        <f>B47+1</f>
        <v>2</v>
      </c>
      <c r="C48" s="637"/>
      <c r="D48" s="636"/>
      <c r="E48" s="636"/>
      <c r="F48" s="636"/>
      <c r="G48" s="636"/>
      <c r="H48" s="636"/>
      <c r="I48" s="636"/>
      <c r="J48" s="636"/>
      <c r="K48" s="636"/>
      <c r="L48" s="636"/>
      <c r="M48" s="603">
        <f t="shared" si="11"/>
        <v>0</v>
      </c>
      <c r="N48" s="604"/>
      <c r="O48" s="611"/>
      <c r="P48" s="589">
        <f t="shared" si="12"/>
        <v>0</v>
      </c>
    </row>
    <row r="49" s="573" customFormat="1" ht="15.75" customHeight="1" spans="2:17">
      <c r="B49" s="584">
        <f t="shared" ref="B49:B56" si="13">B48+1</f>
        <v>3</v>
      </c>
      <c r="C49" s="637"/>
      <c r="D49" s="636"/>
      <c r="E49" s="636"/>
      <c r="F49" s="636"/>
      <c r="G49" s="636"/>
      <c r="H49" s="636"/>
      <c r="I49" s="636"/>
      <c r="J49" s="636"/>
      <c r="K49" s="636"/>
      <c r="L49" s="636"/>
      <c r="M49" s="603">
        <f t="shared" si="11"/>
        <v>0</v>
      </c>
      <c r="N49" s="604"/>
      <c r="O49" s="611"/>
      <c r="P49" s="589">
        <f t="shared" si="12"/>
        <v>0</v>
      </c>
      <c r="Q49" s="642"/>
    </row>
    <row r="50" s="575" customFormat="1" ht="15.75" customHeight="1" spans="2:17">
      <c r="B50" s="584">
        <f t="shared" si="13"/>
        <v>4</v>
      </c>
      <c r="C50" s="638"/>
      <c r="D50" s="639"/>
      <c r="E50" s="639"/>
      <c r="F50" s="639"/>
      <c r="G50" s="639"/>
      <c r="H50" s="639"/>
      <c r="I50" s="639"/>
      <c r="J50" s="639"/>
      <c r="K50" s="639"/>
      <c r="L50" s="639"/>
      <c r="M50" s="603">
        <f t="shared" si="11"/>
        <v>0</v>
      </c>
      <c r="N50" s="604"/>
      <c r="O50" s="611"/>
      <c r="P50" s="589">
        <f t="shared" si="12"/>
        <v>0</v>
      </c>
    </row>
    <row r="51" s="575" customFormat="1" ht="15.75" customHeight="1" spans="2:17">
      <c r="B51" s="584">
        <f t="shared" si="13"/>
        <v>5</v>
      </c>
      <c r="C51" s="638"/>
      <c r="D51" s="639"/>
      <c r="E51" s="639"/>
      <c r="F51" s="639"/>
      <c r="G51" s="639"/>
      <c r="H51" s="639"/>
      <c r="I51" s="639"/>
      <c r="J51" s="639"/>
      <c r="K51" s="639"/>
      <c r="L51" s="639"/>
      <c r="M51" s="603">
        <f t="shared" si="11"/>
        <v>0</v>
      </c>
      <c r="N51" s="604"/>
      <c r="O51" s="611"/>
      <c r="P51" s="589">
        <f t="shared" si="12"/>
        <v>0</v>
      </c>
    </row>
    <row r="52" s="573" customFormat="1" ht="15.75" customHeight="1" spans="2:17">
      <c r="B52" s="584">
        <f t="shared" si="13"/>
        <v>6</v>
      </c>
      <c r="C52" s="637"/>
      <c r="D52" s="636"/>
      <c r="E52" s="636"/>
      <c r="F52" s="636"/>
      <c r="G52" s="636"/>
      <c r="H52" s="636"/>
      <c r="I52" s="636"/>
      <c r="J52" s="636"/>
      <c r="K52" s="636"/>
      <c r="L52" s="636"/>
      <c r="M52" s="603">
        <f t="shared" si="11"/>
        <v>0</v>
      </c>
      <c r="N52" s="604"/>
      <c r="O52" s="611"/>
      <c r="P52" s="589">
        <f t="shared" si="12"/>
        <v>0</v>
      </c>
    </row>
    <row r="53" s="573" customFormat="1" ht="15.75" customHeight="1" spans="2:17">
      <c r="B53" s="584">
        <f t="shared" si="13"/>
        <v>7</v>
      </c>
      <c r="D53" s="636"/>
      <c r="E53" s="636"/>
      <c r="F53" s="636"/>
      <c r="G53" s="636"/>
      <c r="H53" s="636"/>
      <c r="I53" s="636"/>
      <c r="J53" s="636"/>
      <c r="K53" s="636"/>
      <c r="L53" s="636"/>
      <c r="M53" s="603">
        <f t="shared" si="11"/>
        <v>0</v>
      </c>
      <c r="N53" s="604"/>
      <c r="O53" s="611"/>
      <c r="P53" s="589">
        <f t="shared" si="12"/>
        <v>0</v>
      </c>
    </row>
    <row r="54" s="573" customFormat="1" ht="15.75" customHeight="1" spans="2:17">
      <c r="B54" s="584">
        <f t="shared" si="13"/>
        <v>8</v>
      </c>
      <c r="C54" s="637"/>
      <c r="D54" s="636"/>
      <c r="E54" s="636"/>
      <c r="F54" s="636"/>
      <c r="G54" s="636"/>
      <c r="H54" s="636"/>
      <c r="I54" s="636"/>
      <c r="J54" s="636"/>
      <c r="K54" s="636"/>
      <c r="L54" s="636"/>
      <c r="M54" s="603">
        <f t="shared" si="11"/>
        <v>0</v>
      </c>
      <c r="N54" s="604"/>
      <c r="O54" s="611"/>
      <c r="P54" s="589">
        <f t="shared" si="12"/>
        <v>0</v>
      </c>
    </row>
    <row r="55" s="573" customFormat="1" ht="15.75" customHeight="1" spans="2:17">
      <c r="B55" s="584">
        <f t="shared" si="13"/>
        <v>9</v>
      </c>
      <c r="C55" s="635"/>
      <c r="D55" s="636"/>
      <c r="E55" s="636"/>
      <c r="F55" s="636"/>
      <c r="G55" s="636"/>
      <c r="H55" s="636"/>
      <c r="I55" s="636"/>
      <c r="J55" s="636"/>
      <c r="K55" s="636"/>
      <c r="L55" s="636"/>
      <c r="M55" s="603">
        <f t="shared" si="11"/>
        <v>0</v>
      </c>
      <c r="N55" s="604"/>
      <c r="O55" s="611"/>
      <c r="P55" s="589">
        <f t="shared" si="12"/>
        <v>0</v>
      </c>
    </row>
    <row r="56" s="573" customFormat="1" ht="15.75" customHeight="1" spans="2:17">
      <c r="B56" s="584">
        <f t="shared" si="13"/>
        <v>10</v>
      </c>
      <c r="C56" s="635"/>
      <c r="D56" s="643"/>
      <c r="E56" s="643"/>
      <c r="F56" s="643"/>
      <c r="G56" s="643"/>
      <c r="H56" s="643"/>
      <c r="I56" s="643"/>
      <c r="J56" s="643"/>
      <c r="K56" s="643"/>
      <c r="L56" s="643"/>
      <c r="M56" s="610"/>
      <c r="N56" s="604"/>
      <c r="O56" s="641"/>
      <c r="P56" s="589"/>
    </row>
    <row r="57" ht="15.75" customHeight="1" spans="2:17">
      <c r="B57" s="612"/>
      <c r="C57" s="613"/>
      <c r="D57" s="613"/>
      <c r="E57" s="613"/>
      <c r="F57" s="613"/>
      <c r="G57" s="613"/>
      <c r="H57" s="613"/>
      <c r="I57" s="613"/>
      <c r="J57" s="613"/>
      <c r="K57" s="613"/>
      <c r="L57" s="613"/>
      <c r="M57" s="614"/>
      <c r="N57" s="614"/>
      <c r="O57" s="615" t="s">
        <v>356</v>
      </c>
      <c r="P57" s="616">
        <f>SUM(P47:P56)</f>
        <v>19440</v>
      </c>
    </row>
    <row r="58" ht="16.5" customHeight="1" spans="2:17">
      <c r="B58" s="617"/>
      <c r="C58" s="630"/>
      <c r="D58" s="619"/>
      <c r="E58" s="619"/>
      <c r="F58" s="619"/>
      <c r="G58" s="619"/>
      <c r="H58" s="619"/>
      <c r="I58" s="619"/>
      <c r="J58" s="619"/>
      <c r="K58" s="619"/>
      <c r="L58" s="619"/>
      <c r="M58" s="631"/>
      <c r="N58" s="632"/>
      <c r="O58" s="630"/>
      <c r="P58" s="633"/>
    </row>
    <row r="59" ht="15.75" customHeight="1" spans="2:17">
      <c r="B59" s="590" t="s">
        <v>357</v>
      </c>
      <c r="C59" s="591"/>
      <c r="D59" s="591"/>
      <c r="E59" s="591"/>
      <c r="F59" s="591"/>
      <c r="G59" s="591"/>
      <c r="H59" s="591"/>
      <c r="I59" s="591"/>
      <c r="J59" s="591"/>
      <c r="K59" s="591"/>
      <c r="L59" s="591"/>
      <c r="M59" s="592"/>
      <c r="N59" s="593"/>
      <c r="O59" s="591"/>
      <c r="P59" s="594"/>
    </row>
    <row r="60" ht="15.75" customHeight="1" spans="2:17">
      <c r="B60" s="624" t="s">
        <v>310</v>
      </c>
      <c r="C60" s="625" t="s">
        <v>358</v>
      </c>
      <c r="D60" s="597" t="s">
        <v>331</v>
      </c>
      <c r="E60" s="598"/>
      <c r="F60" s="598"/>
      <c r="G60" s="598"/>
      <c r="H60" s="598"/>
      <c r="I60" s="598"/>
      <c r="J60" s="598"/>
      <c r="K60" s="598"/>
      <c r="L60" s="598"/>
      <c r="M60" s="599" t="s">
        <v>332</v>
      </c>
      <c r="N60" s="626" t="s">
        <v>350</v>
      </c>
      <c r="O60" s="596" t="s">
        <v>334</v>
      </c>
      <c r="P60" s="627" t="s">
        <v>335</v>
      </c>
    </row>
    <row r="61" s="573" customFormat="1" ht="15.75" customHeight="1" spans="2:17">
      <c r="B61" s="634">
        <v>1</v>
      </c>
      <c r="C61" s="637" t="str">
        <f>'CPUs INTERNAS'!A162</f>
        <v>Mobiliario/montagem REFEITÓRIO</v>
      </c>
      <c r="D61" s="636">
        <v>1</v>
      </c>
      <c r="E61" s="636"/>
      <c r="F61" s="636"/>
      <c r="G61" s="636"/>
      <c r="H61" s="636"/>
      <c r="I61" s="636"/>
      <c r="J61" s="636"/>
      <c r="K61" s="636"/>
      <c r="L61" s="636"/>
      <c r="M61" s="603">
        <f t="shared" ref="M61:M97" si="14">SUM(D61:L61)</f>
        <v>1</v>
      </c>
      <c r="N61" s="604">
        <f>'CPUs INTERNAS'!F162</f>
        <v>4610</v>
      </c>
      <c r="O61" s="611"/>
      <c r="P61" s="589">
        <f t="shared" ref="P61:P97" si="15">(M61*N61)+(N61*O61*M61)</f>
        <v>4610</v>
      </c>
    </row>
    <row r="62" s="573" customFormat="1" ht="15.75" customHeight="1" spans="2:17">
      <c r="B62" s="584">
        <f>B61+1</f>
        <v>2</v>
      </c>
      <c r="C62" s="637" t="str">
        <f>'CPUs INTERNAS'!A181</f>
        <v>Mobiliario/montagem VESTIÁRIO</v>
      </c>
      <c r="D62" s="636">
        <v>1</v>
      </c>
      <c r="E62" s="636"/>
      <c r="F62" s="636"/>
      <c r="G62" s="636"/>
      <c r="H62" s="636"/>
      <c r="I62" s="636"/>
      <c r="J62" s="636"/>
      <c r="K62" s="636"/>
      <c r="L62" s="636"/>
      <c r="M62" s="603">
        <f t="shared" si="14"/>
        <v>1</v>
      </c>
      <c r="N62" s="604">
        <f>'CPUs INTERNAS'!F181</f>
        <v>3360</v>
      </c>
      <c r="O62" s="611"/>
      <c r="P62" s="589">
        <f t="shared" si="15"/>
        <v>3360</v>
      </c>
    </row>
    <row r="63" s="574" customFormat="1" ht="15.75" customHeight="1" spans="2:17">
      <c r="B63" s="584">
        <f t="shared" ref="B63:B97" si="16">B62+1</f>
        <v>3</v>
      </c>
      <c r="C63" s="638" t="str">
        <f>'CPUs INTERNAS'!A200</f>
        <v>Mobiliario/montagem ESCRITÓRIO</v>
      </c>
      <c r="D63" s="636">
        <v>1</v>
      </c>
      <c r="E63" s="636"/>
      <c r="F63" s="636"/>
      <c r="G63" s="636"/>
      <c r="H63" s="636"/>
      <c r="I63" s="636"/>
      <c r="J63" s="636"/>
      <c r="K63" s="636"/>
      <c r="L63" s="636"/>
      <c r="M63" s="603">
        <f t="shared" si="14"/>
        <v>1</v>
      </c>
      <c r="N63" s="604">
        <f>'CPUs INTERNAS'!F200</f>
        <v>2900</v>
      </c>
      <c r="O63" s="611"/>
      <c r="P63" s="589">
        <f t="shared" si="15"/>
        <v>2900</v>
      </c>
    </row>
    <row r="64" s="573" customFormat="1" ht="15.75" customHeight="1" spans="2:17">
      <c r="B64" s="584">
        <f t="shared" si="16"/>
        <v>4</v>
      </c>
      <c r="C64" s="637" t="str">
        <f>'CPUs INTERNAS'!A219</f>
        <v>Mobiliario/montagem CANTEIRO MÓVEL</v>
      </c>
      <c r="D64" s="636">
        <v>1</v>
      </c>
      <c r="E64" s="636"/>
      <c r="F64" s="636"/>
      <c r="G64" s="636"/>
      <c r="H64" s="636"/>
      <c r="I64" s="636"/>
      <c r="J64" s="636"/>
      <c r="K64" s="636"/>
      <c r="L64" s="636"/>
      <c r="M64" s="603">
        <f t="shared" si="14"/>
        <v>1</v>
      </c>
      <c r="N64" s="604">
        <f>'CPUs INTERNAS'!F219</f>
        <v>2750</v>
      </c>
      <c r="O64" s="611"/>
      <c r="P64" s="589">
        <f t="shared" si="15"/>
        <v>2750</v>
      </c>
    </row>
    <row r="65" s="573" customFormat="1" ht="15.75" customHeight="1" spans="2:16">
      <c r="B65" s="584">
        <f t="shared" si="16"/>
        <v>5</v>
      </c>
      <c r="C65" s="637" t="str">
        <f>'CPUs INTERNAS'!A238</f>
        <v>Mobiliario/montagem alojamentos - PEDREIRO/SERVENTE</v>
      </c>
      <c r="D65" s="636"/>
      <c r="E65" s="636"/>
      <c r="F65" s="636"/>
      <c r="G65" s="636"/>
      <c r="H65" s="636"/>
      <c r="I65" s="636"/>
      <c r="J65" s="636"/>
      <c r="K65" s="636"/>
      <c r="L65" s="636"/>
      <c r="M65" s="603">
        <f t="shared" si="14"/>
        <v>0</v>
      </c>
      <c r="N65" s="604">
        <f>'CPUs INTERNAS'!F238</f>
        <v>11250</v>
      </c>
      <c r="O65" s="611"/>
      <c r="P65" s="589">
        <f t="shared" si="15"/>
        <v>0</v>
      </c>
    </row>
    <row r="66" s="573" customFormat="1" ht="15.75" customHeight="1" spans="2:16">
      <c r="B66" s="584">
        <f t="shared" si="16"/>
        <v>6</v>
      </c>
      <c r="C66" s="637" t="str">
        <f>'CPUs INTERNAS'!A257</f>
        <v>Mobiliario/montagem alojamentos - ENCARREGADO/ENGENHEIRO</v>
      </c>
      <c r="D66" s="636">
        <v>1</v>
      </c>
      <c r="E66" s="636"/>
      <c r="F66" s="636"/>
      <c r="G66" s="636"/>
      <c r="H66" s="636"/>
      <c r="I66" s="636"/>
      <c r="J66" s="636"/>
      <c r="K66" s="636"/>
      <c r="L66" s="636"/>
      <c r="M66" s="603">
        <f t="shared" si="14"/>
        <v>1</v>
      </c>
      <c r="N66" s="604">
        <f>'CPUs INTERNAS'!F257</f>
        <v>7200</v>
      </c>
      <c r="O66" s="611"/>
      <c r="P66" s="589">
        <f t="shared" si="15"/>
        <v>7200</v>
      </c>
    </row>
    <row r="67" s="573" customFormat="1" ht="15.75" customHeight="1" spans="2:16">
      <c r="B67" s="584">
        <f t="shared" si="16"/>
        <v>7</v>
      </c>
      <c r="C67" s="637" t="str">
        <f>'CPUs INTERNAS'!A99</f>
        <v>Material e produto de limpeza - CANTEIRO</v>
      </c>
      <c r="D67" s="636">
        <f>$D$63</f>
        <v>1</v>
      </c>
      <c r="E67" s="636">
        <f t="shared" ref="E67:L67" si="17">$D$63</f>
        <v>1</v>
      </c>
      <c r="F67" s="636">
        <f t="shared" si="17"/>
        <v>1</v>
      </c>
      <c r="G67" s="636">
        <f t="shared" si="17"/>
        <v>1</v>
      </c>
      <c r="H67" s="636">
        <f t="shared" si="17"/>
        <v>1</v>
      </c>
      <c r="I67" s="636">
        <f t="shared" si="17"/>
        <v>1</v>
      </c>
      <c r="J67" s="636">
        <f t="shared" si="17"/>
        <v>1</v>
      </c>
      <c r="K67" s="636">
        <f t="shared" si="17"/>
        <v>1</v>
      </c>
      <c r="L67" s="636">
        <f t="shared" si="17"/>
        <v>1</v>
      </c>
      <c r="M67" s="603">
        <f t="shared" si="14"/>
        <v>9</v>
      </c>
      <c r="N67" s="604">
        <f>'CPUs INTERNAS'!E99</f>
        <v>413.5256</v>
      </c>
      <c r="O67" s="611"/>
      <c r="P67" s="589">
        <f t="shared" si="15"/>
        <v>3721.7304</v>
      </c>
    </row>
    <row r="68" s="573" customFormat="1" ht="15.75" customHeight="1" spans="2:16">
      <c r="B68" s="584">
        <f t="shared" si="16"/>
        <v>8</v>
      </c>
      <c r="C68" s="637" t="str">
        <f>'CPUs INTERNAS'!A120</f>
        <v>Material e produto de limpeza - ALOJAMENTO PEDREIRO/SERVENTE</v>
      </c>
      <c r="D68" s="636">
        <f>$D$65</f>
        <v>0</v>
      </c>
      <c r="E68" s="636">
        <f t="shared" ref="E68:L68" si="18">$D$65</f>
        <v>0</v>
      </c>
      <c r="F68" s="636">
        <f t="shared" si="18"/>
        <v>0</v>
      </c>
      <c r="G68" s="636">
        <f t="shared" si="18"/>
        <v>0</v>
      </c>
      <c r="H68" s="636">
        <f t="shared" si="18"/>
        <v>0</v>
      </c>
      <c r="I68" s="636">
        <f t="shared" si="18"/>
        <v>0</v>
      </c>
      <c r="J68" s="636">
        <f t="shared" si="18"/>
        <v>0</v>
      </c>
      <c r="K68" s="636">
        <f t="shared" si="18"/>
        <v>0</v>
      </c>
      <c r="L68" s="636">
        <f t="shared" si="18"/>
        <v>0</v>
      </c>
      <c r="M68" s="603">
        <f t="shared" si="14"/>
        <v>0</v>
      </c>
      <c r="N68" s="604">
        <f>'CPUs INTERNAS'!E120</f>
        <v>219.48</v>
      </c>
      <c r="O68" s="611"/>
      <c r="P68" s="589">
        <f t="shared" si="15"/>
        <v>0</v>
      </c>
    </row>
    <row r="69" s="573" customFormat="1" ht="15.75" customHeight="1" spans="2:16">
      <c r="B69" s="584">
        <f t="shared" si="16"/>
        <v>9</v>
      </c>
      <c r="C69" s="637" t="str">
        <f>'CPUs INTERNAS'!A141</f>
        <v>Material e produto de limpeza - ALOJAMENTO ENCARREGADO/ENGENHEIRO</v>
      </c>
      <c r="D69" s="636">
        <f>$D$66</f>
        <v>1</v>
      </c>
      <c r="E69" s="636">
        <f t="shared" ref="E69:L69" si="19">$D$66</f>
        <v>1</v>
      </c>
      <c r="F69" s="636">
        <f t="shared" si="19"/>
        <v>1</v>
      </c>
      <c r="G69" s="636">
        <f t="shared" si="19"/>
        <v>1</v>
      </c>
      <c r="H69" s="636">
        <f t="shared" si="19"/>
        <v>1</v>
      </c>
      <c r="I69" s="636">
        <f t="shared" si="19"/>
        <v>1</v>
      </c>
      <c r="J69" s="636">
        <f t="shared" si="19"/>
        <v>1</v>
      </c>
      <c r="K69" s="636">
        <f t="shared" si="19"/>
        <v>1</v>
      </c>
      <c r="L69" s="636">
        <f t="shared" si="19"/>
        <v>1</v>
      </c>
      <c r="M69" s="603">
        <f t="shared" si="14"/>
        <v>9</v>
      </c>
      <c r="N69" s="604">
        <f>'CPUs INTERNAS'!E141</f>
        <v>171.08</v>
      </c>
      <c r="O69" s="611"/>
      <c r="P69" s="589">
        <f t="shared" si="15"/>
        <v>1539.72</v>
      </c>
    </row>
    <row r="70" s="573" customFormat="1" ht="15.75" customHeight="1" spans="2:16">
      <c r="B70" s="584">
        <f t="shared" si="16"/>
        <v>10</v>
      </c>
      <c r="C70" s="637" t="s">
        <v>359</v>
      </c>
      <c r="D70" s="636">
        <f>$D$65+$D$66</f>
        <v>1</v>
      </c>
      <c r="E70" s="636">
        <f t="shared" ref="E70:L70" si="20">$D$65+$D$66</f>
        <v>1</v>
      </c>
      <c r="F70" s="636">
        <f t="shared" si="20"/>
        <v>1</v>
      </c>
      <c r="G70" s="636">
        <f t="shared" si="20"/>
        <v>1</v>
      </c>
      <c r="H70" s="636">
        <f t="shared" si="20"/>
        <v>1</v>
      </c>
      <c r="I70" s="636">
        <f t="shared" si="20"/>
        <v>1</v>
      </c>
      <c r="J70" s="636">
        <f t="shared" si="20"/>
        <v>1</v>
      </c>
      <c r="K70" s="636">
        <f t="shared" si="20"/>
        <v>1</v>
      </c>
      <c r="L70" s="636">
        <f t="shared" si="20"/>
        <v>1</v>
      </c>
      <c r="M70" s="603">
        <f t="shared" si="14"/>
        <v>9</v>
      </c>
      <c r="N70" s="604">
        <v>2500</v>
      </c>
      <c r="O70" s="611"/>
      <c r="P70" s="589">
        <f t="shared" si="15"/>
        <v>22500</v>
      </c>
    </row>
    <row r="71" s="573" customFormat="1" ht="15.75" customHeight="1" spans="2:16">
      <c r="B71" s="584">
        <f t="shared" si="16"/>
        <v>11</v>
      </c>
      <c r="C71" s="635" t="s">
        <v>360</v>
      </c>
      <c r="D71" s="636">
        <f>$D$63+$D$65+$D$66</f>
        <v>2</v>
      </c>
      <c r="E71" s="636">
        <f t="shared" ref="E71:L73" si="21">$D$63+$D$65+$D$66</f>
        <v>2</v>
      </c>
      <c r="F71" s="636">
        <f t="shared" si="21"/>
        <v>2</v>
      </c>
      <c r="G71" s="636">
        <f t="shared" si="21"/>
        <v>2</v>
      </c>
      <c r="H71" s="636">
        <f t="shared" si="21"/>
        <v>2</v>
      </c>
      <c r="I71" s="636">
        <f t="shared" si="21"/>
        <v>2</v>
      </c>
      <c r="J71" s="636">
        <f t="shared" si="21"/>
        <v>2</v>
      </c>
      <c r="K71" s="636">
        <f t="shared" si="21"/>
        <v>2</v>
      </c>
      <c r="L71" s="636">
        <f t="shared" si="21"/>
        <v>2</v>
      </c>
      <c r="M71" s="603">
        <f t="shared" si="14"/>
        <v>18</v>
      </c>
      <c r="N71" s="604">
        <v>150</v>
      </c>
      <c r="O71" s="611"/>
      <c r="P71" s="589">
        <f t="shared" si="15"/>
        <v>2700</v>
      </c>
    </row>
    <row r="72" s="573" customFormat="1" ht="15.75" customHeight="1" spans="2:16">
      <c r="B72" s="584">
        <f t="shared" si="16"/>
        <v>12</v>
      </c>
      <c r="C72" s="635" t="s">
        <v>361</v>
      </c>
      <c r="D72" s="636">
        <f t="shared" ref="D72:D73" si="22">$D$63+$D$65+$D$66</f>
        <v>2</v>
      </c>
      <c r="E72" s="636">
        <f t="shared" si="21"/>
        <v>2</v>
      </c>
      <c r="F72" s="636">
        <f t="shared" si="21"/>
        <v>2</v>
      </c>
      <c r="G72" s="636">
        <f t="shared" si="21"/>
        <v>2</v>
      </c>
      <c r="H72" s="636">
        <f t="shared" si="21"/>
        <v>2</v>
      </c>
      <c r="I72" s="636">
        <f t="shared" si="21"/>
        <v>2</v>
      </c>
      <c r="J72" s="636">
        <f t="shared" si="21"/>
        <v>2</v>
      </c>
      <c r="K72" s="636">
        <f t="shared" si="21"/>
        <v>2</v>
      </c>
      <c r="L72" s="636">
        <f t="shared" si="21"/>
        <v>2</v>
      </c>
      <c r="M72" s="603">
        <f t="shared" si="14"/>
        <v>18</v>
      </c>
      <c r="N72" s="604">
        <v>200</v>
      </c>
      <c r="O72" s="611"/>
      <c r="P72" s="589">
        <f t="shared" si="15"/>
        <v>3600</v>
      </c>
    </row>
    <row r="73" s="573" customFormat="1" ht="15.75" customHeight="1" spans="2:16">
      <c r="B73" s="584">
        <f t="shared" si="16"/>
        <v>13</v>
      </c>
      <c r="C73" s="635" t="s">
        <v>362</v>
      </c>
      <c r="D73" s="636">
        <f t="shared" si="22"/>
        <v>2</v>
      </c>
      <c r="E73" s="636">
        <f t="shared" si="21"/>
        <v>2</v>
      </c>
      <c r="F73" s="636">
        <f t="shared" si="21"/>
        <v>2</v>
      </c>
      <c r="G73" s="636">
        <f t="shared" si="21"/>
        <v>2</v>
      </c>
      <c r="H73" s="636">
        <f t="shared" si="21"/>
        <v>2</v>
      </c>
      <c r="I73" s="636">
        <f t="shared" si="21"/>
        <v>2</v>
      </c>
      <c r="J73" s="636">
        <f t="shared" si="21"/>
        <v>2</v>
      </c>
      <c r="K73" s="636">
        <f t="shared" si="21"/>
        <v>2</v>
      </c>
      <c r="L73" s="636">
        <f t="shared" si="21"/>
        <v>2</v>
      </c>
      <c r="M73" s="603">
        <f t="shared" si="14"/>
        <v>18</v>
      </c>
      <c r="N73" s="604">
        <v>200</v>
      </c>
      <c r="O73" s="611"/>
      <c r="P73" s="589">
        <f t="shared" si="15"/>
        <v>3600</v>
      </c>
    </row>
    <row r="74" s="573" customFormat="1" ht="15.75" customHeight="1" spans="2:16">
      <c r="B74" s="584">
        <f t="shared" si="16"/>
        <v>14</v>
      </c>
      <c r="C74" s="635" t="s">
        <v>363</v>
      </c>
      <c r="D74" s="636">
        <f>($D$63+$D$65+$D$66)*4</f>
        <v>8</v>
      </c>
      <c r="E74" s="636">
        <f t="shared" ref="E74:L74" si="23">($D$63+$D$65+$D$66)*4</f>
        <v>8</v>
      </c>
      <c r="F74" s="636">
        <f t="shared" si="23"/>
        <v>8</v>
      </c>
      <c r="G74" s="636">
        <f t="shared" si="23"/>
        <v>8</v>
      </c>
      <c r="H74" s="636">
        <f t="shared" si="23"/>
        <v>8</v>
      </c>
      <c r="I74" s="636">
        <f t="shared" si="23"/>
        <v>8</v>
      </c>
      <c r="J74" s="636">
        <f t="shared" si="23"/>
        <v>8</v>
      </c>
      <c r="K74" s="636">
        <f t="shared" si="23"/>
        <v>8</v>
      </c>
      <c r="L74" s="636">
        <f t="shared" si="23"/>
        <v>8</v>
      </c>
      <c r="M74" s="603">
        <f t="shared" si="14"/>
        <v>72</v>
      </c>
      <c r="N74" s="604">
        <v>150</v>
      </c>
      <c r="O74" s="611"/>
      <c r="P74" s="589">
        <f t="shared" si="15"/>
        <v>10800</v>
      </c>
    </row>
    <row r="75" s="573" customFormat="1" ht="15.75" customHeight="1" spans="2:16">
      <c r="B75" s="584">
        <f t="shared" si="16"/>
        <v>15</v>
      </c>
      <c r="C75" s="635" t="s">
        <v>364</v>
      </c>
      <c r="D75" s="636">
        <v>1</v>
      </c>
      <c r="E75" s="636">
        <v>1</v>
      </c>
      <c r="F75" s="636">
        <v>1</v>
      </c>
      <c r="G75" s="636">
        <v>1</v>
      </c>
      <c r="H75" s="636">
        <v>1</v>
      </c>
      <c r="I75" s="636">
        <v>1</v>
      </c>
      <c r="J75" s="636">
        <v>1</v>
      </c>
      <c r="K75" s="636">
        <v>1</v>
      </c>
      <c r="L75" s="636">
        <v>1</v>
      </c>
      <c r="M75" s="603">
        <f t="shared" si="14"/>
        <v>9</v>
      </c>
      <c r="N75" s="604">
        <v>200</v>
      </c>
      <c r="O75" s="611"/>
      <c r="P75" s="589">
        <f t="shared" si="15"/>
        <v>1800</v>
      </c>
    </row>
    <row r="76" s="573" customFormat="1" ht="15.75" customHeight="1" spans="2:16">
      <c r="B76" s="584">
        <f t="shared" si="16"/>
        <v>16</v>
      </c>
      <c r="C76" s="635" t="s">
        <v>365</v>
      </c>
      <c r="D76" s="636">
        <v>1</v>
      </c>
      <c r="E76" s="636">
        <v>1</v>
      </c>
      <c r="F76" s="636">
        <v>1</v>
      </c>
      <c r="G76" s="636">
        <v>1</v>
      </c>
      <c r="H76" s="636">
        <v>1</v>
      </c>
      <c r="I76" s="636">
        <v>1</v>
      </c>
      <c r="J76" s="636">
        <v>1</v>
      </c>
      <c r="K76" s="636">
        <v>1</v>
      </c>
      <c r="L76" s="636">
        <v>1</v>
      </c>
      <c r="M76" s="603">
        <f t="shared" si="14"/>
        <v>9</v>
      </c>
      <c r="N76" s="604">
        <v>250</v>
      </c>
      <c r="O76" s="611"/>
      <c r="P76" s="589">
        <f t="shared" si="15"/>
        <v>2250</v>
      </c>
    </row>
    <row r="77" s="573" customFormat="1" ht="15.75" customHeight="1" spans="2:16">
      <c r="B77" s="584">
        <f t="shared" si="16"/>
        <v>17</v>
      </c>
      <c r="C77" s="635" t="s">
        <v>366</v>
      </c>
      <c r="D77" s="636">
        <v>1</v>
      </c>
      <c r="E77" s="636">
        <v>1</v>
      </c>
      <c r="F77" s="636">
        <v>1</v>
      </c>
      <c r="G77" s="636">
        <v>1</v>
      </c>
      <c r="H77" s="636">
        <v>1</v>
      </c>
      <c r="I77" s="636">
        <v>1</v>
      </c>
      <c r="J77" s="636">
        <v>1</v>
      </c>
      <c r="K77" s="636">
        <v>1</v>
      </c>
      <c r="L77" s="636">
        <v>1</v>
      </c>
      <c r="M77" s="603">
        <f t="shared" si="14"/>
        <v>9</v>
      </c>
      <c r="N77" s="604">
        <v>200</v>
      </c>
      <c r="O77" s="611"/>
      <c r="P77" s="589">
        <f t="shared" si="15"/>
        <v>1800</v>
      </c>
    </row>
    <row r="78" s="573" customFormat="1" ht="15.75" customHeight="1" spans="2:16">
      <c r="B78" s="584">
        <f t="shared" si="16"/>
        <v>18</v>
      </c>
      <c r="C78" s="635" t="s">
        <v>367</v>
      </c>
      <c r="D78" s="636">
        <v>1</v>
      </c>
      <c r="E78" s="636"/>
      <c r="F78" s="636"/>
      <c r="G78" s="636"/>
      <c r="H78" s="636"/>
      <c r="I78" s="636"/>
      <c r="J78" s="636"/>
      <c r="K78" s="636"/>
      <c r="L78" s="636"/>
      <c r="M78" s="603">
        <f t="shared" si="14"/>
        <v>1</v>
      </c>
      <c r="N78" s="604">
        <v>2000</v>
      </c>
      <c r="O78" s="611"/>
      <c r="P78" s="589">
        <f t="shared" si="15"/>
        <v>2000</v>
      </c>
    </row>
    <row r="79" s="573" customFormat="1" ht="15.75" customHeight="1" spans="2:16">
      <c r="B79" s="584">
        <f t="shared" si="16"/>
        <v>19</v>
      </c>
      <c r="C79" s="635" t="s">
        <v>368</v>
      </c>
      <c r="D79" s="636">
        <v>1</v>
      </c>
      <c r="E79" s="636">
        <v>1</v>
      </c>
      <c r="F79" s="636">
        <v>1</v>
      </c>
      <c r="G79" s="636">
        <v>1</v>
      </c>
      <c r="H79" s="636">
        <v>1</v>
      </c>
      <c r="I79" s="636">
        <v>1</v>
      </c>
      <c r="J79" s="636">
        <v>1</v>
      </c>
      <c r="K79" s="636">
        <v>1</v>
      </c>
      <c r="L79" s="636">
        <v>1</v>
      </c>
      <c r="M79" s="603">
        <f t="shared" si="14"/>
        <v>9</v>
      </c>
      <c r="N79" s="604">
        <v>3000</v>
      </c>
      <c r="O79" s="611"/>
      <c r="P79" s="589">
        <f t="shared" si="15"/>
        <v>27000</v>
      </c>
    </row>
    <row r="80" s="573" customFormat="1" ht="15.75" customHeight="1" spans="2:16">
      <c r="B80" s="584">
        <f t="shared" si="16"/>
        <v>20</v>
      </c>
      <c r="C80" s="635" t="s">
        <v>369</v>
      </c>
      <c r="D80" s="636">
        <v>1</v>
      </c>
      <c r="E80" s="636"/>
      <c r="F80" s="636"/>
      <c r="G80" s="636"/>
      <c r="H80" s="636"/>
      <c r="I80" s="636"/>
      <c r="J80" s="636"/>
      <c r="K80" s="636"/>
      <c r="L80" s="636"/>
      <c r="M80" s="603">
        <f t="shared" si="14"/>
        <v>1</v>
      </c>
      <c r="N80" s="604">
        <v>20000</v>
      </c>
      <c r="O80" s="611"/>
      <c r="P80" s="589">
        <f t="shared" si="15"/>
        <v>20000</v>
      </c>
    </row>
    <row r="81" s="573" customFormat="1" ht="15.75" customHeight="1" spans="2:16">
      <c r="B81" s="584">
        <f t="shared" si="16"/>
        <v>21</v>
      </c>
      <c r="C81" s="635"/>
      <c r="D81" s="636"/>
      <c r="E81" s="636"/>
      <c r="F81" s="636"/>
      <c r="G81" s="636"/>
      <c r="H81" s="636"/>
      <c r="I81" s="636"/>
      <c r="J81" s="636"/>
      <c r="K81" s="636"/>
      <c r="L81" s="636"/>
      <c r="M81" s="603">
        <f t="shared" si="14"/>
        <v>0</v>
      </c>
      <c r="N81" s="604">
        <v>1500</v>
      </c>
      <c r="O81" s="611"/>
      <c r="P81" s="589">
        <f t="shared" si="15"/>
        <v>0</v>
      </c>
    </row>
    <row r="82" s="573" customFormat="1" ht="15.75" customHeight="1" spans="2:16">
      <c r="B82" s="584">
        <f t="shared" si="16"/>
        <v>22</v>
      </c>
      <c r="C82" s="635" t="s">
        <v>370</v>
      </c>
      <c r="D82" s="636">
        <v>1</v>
      </c>
      <c r="E82" s="636"/>
      <c r="F82" s="636"/>
      <c r="G82" s="636"/>
      <c r="H82" s="636"/>
      <c r="I82" s="636"/>
      <c r="J82" s="636"/>
      <c r="K82" s="636"/>
      <c r="L82" s="636"/>
      <c r="M82" s="603">
        <f t="shared" si="14"/>
        <v>1</v>
      </c>
      <c r="N82" s="604">
        <v>5000</v>
      </c>
      <c r="O82" s="611"/>
      <c r="P82" s="589">
        <f t="shared" si="15"/>
        <v>5000</v>
      </c>
    </row>
    <row r="83" s="573" customFormat="1" ht="15.75" customHeight="1" spans="2:16">
      <c r="B83" s="584">
        <f t="shared" si="16"/>
        <v>23</v>
      </c>
      <c r="C83" s="635" t="s">
        <v>371</v>
      </c>
      <c r="D83" s="636">
        <v>1</v>
      </c>
      <c r="E83" s="636"/>
      <c r="F83" s="636"/>
      <c r="G83" s="636"/>
      <c r="H83" s="636"/>
      <c r="I83" s="636"/>
      <c r="J83" s="636"/>
      <c r="K83" s="636"/>
      <c r="L83" s="636"/>
      <c r="M83" s="603">
        <f t="shared" si="14"/>
        <v>1</v>
      </c>
      <c r="N83" s="604">
        <v>8000</v>
      </c>
      <c r="O83" s="611"/>
      <c r="P83" s="589">
        <f t="shared" si="15"/>
        <v>8000</v>
      </c>
    </row>
    <row r="84" s="573" customFormat="1" ht="15.75" customHeight="1" spans="2:16">
      <c r="B84" s="584">
        <f t="shared" si="16"/>
        <v>24</v>
      </c>
      <c r="C84" s="635" t="s">
        <v>372</v>
      </c>
      <c r="D84" s="636">
        <v>1</v>
      </c>
      <c r="E84" s="636">
        <v>1</v>
      </c>
      <c r="F84" s="636">
        <v>1</v>
      </c>
      <c r="G84" s="636">
        <v>1</v>
      </c>
      <c r="H84" s="636">
        <v>1</v>
      </c>
      <c r="I84" s="636">
        <v>1</v>
      </c>
      <c r="J84" s="636">
        <v>1</v>
      </c>
      <c r="K84" s="636">
        <v>1</v>
      </c>
      <c r="L84" s="636">
        <v>1</v>
      </c>
      <c r="M84" s="603">
        <f t="shared" si="14"/>
        <v>9</v>
      </c>
      <c r="N84" s="604">
        <v>2000</v>
      </c>
      <c r="O84" s="611"/>
      <c r="P84" s="589">
        <f t="shared" si="15"/>
        <v>18000</v>
      </c>
    </row>
    <row r="85" s="573" customFormat="1" ht="15.75" customHeight="1" spans="2:16">
      <c r="B85" s="584">
        <f t="shared" si="16"/>
        <v>25</v>
      </c>
      <c r="C85" s="635" t="s">
        <v>373</v>
      </c>
      <c r="D85" s="636">
        <v>1</v>
      </c>
      <c r="E85" s="636">
        <v>1</v>
      </c>
      <c r="F85" s="636">
        <v>1</v>
      </c>
      <c r="G85" s="636">
        <v>1</v>
      </c>
      <c r="H85" s="636">
        <v>1</v>
      </c>
      <c r="I85" s="636">
        <v>1</v>
      </c>
      <c r="J85" s="636">
        <v>1</v>
      </c>
      <c r="K85" s="636">
        <v>1</v>
      </c>
      <c r="L85" s="636">
        <v>1</v>
      </c>
      <c r="M85" s="603">
        <f t="shared" si="14"/>
        <v>9</v>
      </c>
      <c r="N85" s="604">
        <v>1000</v>
      </c>
      <c r="O85" s="611"/>
      <c r="P85" s="589">
        <f t="shared" si="15"/>
        <v>9000</v>
      </c>
    </row>
    <row r="86" s="573" customFormat="1" ht="15.75" customHeight="1" spans="2:16">
      <c r="B86" s="584">
        <f t="shared" si="16"/>
        <v>26</v>
      </c>
      <c r="C86" s="635"/>
      <c r="D86" s="636"/>
      <c r="E86" s="636"/>
      <c r="F86" s="636"/>
      <c r="G86" s="636"/>
      <c r="H86" s="636"/>
      <c r="I86" s="636"/>
      <c r="J86" s="636"/>
      <c r="K86" s="636"/>
      <c r="L86" s="636"/>
      <c r="M86" s="603">
        <f t="shared" si="14"/>
        <v>0</v>
      </c>
      <c r="N86" s="604"/>
      <c r="O86" s="611"/>
      <c r="P86" s="589">
        <f t="shared" si="15"/>
        <v>0</v>
      </c>
    </row>
    <row r="87" s="573" customFormat="1" ht="15.75" customHeight="1" spans="2:16">
      <c r="B87" s="584">
        <f t="shared" si="16"/>
        <v>27</v>
      </c>
      <c r="C87" s="635"/>
      <c r="D87" s="636"/>
      <c r="E87" s="636"/>
      <c r="F87" s="636"/>
      <c r="G87" s="636"/>
      <c r="H87" s="636"/>
      <c r="I87" s="636"/>
      <c r="J87" s="636"/>
      <c r="K87" s="636"/>
      <c r="L87" s="636"/>
      <c r="M87" s="603">
        <f t="shared" si="14"/>
        <v>0</v>
      </c>
      <c r="N87" s="604"/>
      <c r="O87" s="611"/>
      <c r="P87" s="589">
        <f t="shared" si="15"/>
        <v>0</v>
      </c>
    </row>
    <row r="88" s="573" customFormat="1" ht="15.75" customHeight="1" spans="2:16">
      <c r="B88" s="584">
        <f t="shared" si="16"/>
        <v>28</v>
      </c>
      <c r="C88" s="635"/>
      <c r="D88" s="636">
        <f>SUM(D86:D87)*2</f>
        <v>0</v>
      </c>
      <c r="E88" s="636"/>
      <c r="F88" s="636"/>
      <c r="G88" s="636"/>
      <c r="H88" s="636"/>
      <c r="I88" s="636"/>
      <c r="J88" s="636"/>
      <c r="K88" s="636"/>
      <c r="L88" s="636"/>
      <c r="M88" s="603">
        <f t="shared" si="14"/>
        <v>0</v>
      </c>
      <c r="N88" s="604"/>
      <c r="O88" s="611"/>
      <c r="P88" s="589">
        <f t="shared" si="15"/>
        <v>0</v>
      </c>
    </row>
    <row r="89" s="573" customFormat="1" ht="15.75" customHeight="1" spans="2:16">
      <c r="B89" s="584">
        <f t="shared" si="16"/>
        <v>29</v>
      </c>
      <c r="C89" s="635"/>
      <c r="D89" s="636"/>
      <c r="E89" s="636"/>
      <c r="F89" s="636"/>
      <c r="G89" s="636"/>
      <c r="H89" s="636"/>
      <c r="I89" s="636"/>
      <c r="J89" s="636"/>
      <c r="K89" s="636"/>
      <c r="L89" s="636"/>
      <c r="M89" s="603">
        <f t="shared" si="14"/>
        <v>0</v>
      </c>
      <c r="N89" s="604"/>
      <c r="O89" s="611"/>
      <c r="P89" s="589">
        <f t="shared" si="15"/>
        <v>0</v>
      </c>
    </row>
    <row r="90" s="573" customFormat="1" ht="15.75" customHeight="1" spans="2:16">
      <c r="B90" s="584">
        <f t="shared" si="16"/>
        <v>30</v>
      </c>
      <c r="C90" s="635" t="s">
        <v>374</v>
      </c>
      <c r="D90" s="636">
        <v>1</v>
      </c>
      <c r="E90" s="636"/>
      <c r="F90" s="636"/>
      <c r="G90" s="636"/>
      <c r="H90" s="636"/>
      <c r="I90" s="636"/>
      <c r="J90" s="636"/>
      <c r="K90" s="636"/>
      <c r="L90" s="636"/>
      <c r="M90" s="603">
        <f t="shared" si="14"/>
        <v>1</v>
      </c>
      <c r="N90" s="604">
        <v>7000</v>
      </c>
      <c r="O90" s="611"/>
      <c r="P90" s="589">
        <f t="shared" si="15"/>
        <v>7000</v>
      </c>
    </row>
    <row r="91" s="573" customFormat="1" ht="15.75" customHeight="1" spans="2:16">
      <c r="B91" s="584">
        <f t="shared" si="16"/>
        <v>31</v>
      </c>
      <c r="C91" s="635" t="s">
        <v>375</v>
      </c>
      <c r="D91" s="636">
        <v>1</v>
      </c>
      <c r="E91" s="636"/>
      <c r="F91" s="636"/>
      <c r="G91" s="636"/>
      <c r="H91" s="636"/>
      <c r="I91" s="636"/>
      <c r="J91" s="636"/>
      <c r="K91" s="636"/>
      <c r="L91" s="636"/>
      <c r="M91" s="603">
        <f t="shared" si="14"/>
        <v>1</v>
      </c>
      <c r="N91" s="604">
        <f>PLANILHA!F266</f>
        <v>6653.68</v>
      </c>
      <c r="O91" s="611"/>
      <c r="P91" s="589">
        <f t="shared" si="15"/>
        <v>6653.68</v>
      </c>
    </row>
    <row r="92" s="573" customFormat="1" ht="15.75" customHeight="1" spans="2:16">
      <c r="B92" s="584">
        <f t="shared" si="16"/>
        <v>32</v>
      </c>
      <c r="C92" s="635"/>
      <c r="D92" s="636"/>
      <c r="E92" s="636"/>
      <c r="F92" s="636"/>
      <c r="G92" s="636"/>
      <c r="H92" s="636"/>
      <c r="I92" s="636"/>
      <c r="J92" s="636"/>
      <c r="K92" s="636"/>
      <c r="L92" s="636"/>
      <c r="M92" s="603">
        <f t="shared" si="14"/>
        <v>0</v>
      </c>
      <c r="N92" s="604"/>
      <c r="O92" s="611"/>
      <c r="P92" s="589">
        <f t="shared" si="15"/>
        <v>0</v>
      </c>
    </row>
    <row r="93" s="573" customFormat="1" ht="15.75" customHeight="1" spans="2:16">
      <c r="B93" s="584">
        <f t="shared" si="16"/>
        <v>33</v>
      </c>
      <c r="C93" s="635"/>
      <c r="D93" s="636"/>
      <c r="E93" s="636"/>
      <c r="F93" s="636"/>
      <c r="G93" s="636"/>
      <c r="H93" s="636"/>
      <c r="I93" s="636"/>
      <c r="J93" s="636"/>
      <c r="K93" s="636"/>
      <c r="L93" s="636"/>
      <c r="M93" s="603">
        <f t="shared" si="14"/>
        <v>0</v>
      </c>
      <c r="N93" s="604"/>
      <c r="O93" s="611"/>
      <c r="P93" s="589">
        <f t="shared" si="15"/>
        <v>0</v>
      </c>
    </row>
    <row r="94" s="573" customFormat="1" ht="15.75" customHeight="1" spans="2:16">
      <c r="B94" s="584">
        <f t="shared" si="16"/>
        <v>34</v>
      </c>
      <c r="C94" s="635"/>
      <c r="D94" s="636"/>
      <c r="E94" s="636"/>
      <c r="F94" s="636"/>
      <c r="G94" s="636"/>
      <c r="H94" s="636"/>
      <c r="I94" s="636"/>
      <c r="J94" s="636"/>
      <c r="K94" s="636"/>
      <c r="L94" s="636"/>
      <c r="M94" s="603">
        <f t="shared" si="14"/>
        <v>0</v>
      </c>
      <c r="N94" s="604"/>
      <c r="O94" s="611"/>
      <c r="P94" s="589">
        <f t="shared" si="15"/>
        <v>0</v>
      </c>
    </row>
    <row r="95" s="573" customFormat="1" ht="15.75" customHeight="1" spans="2:16">
      <c r="B95" s="584">
        <f t="shared" si="16"/>
        <v>35</v>
      </c>
      <c r="C95" s="635"/>
      <c r="D95" s="636"/>
      <c r="E95" s="636"/>
      <c r="F95" s="636"/>
      <c r="G95" s="636"/>
      <c r="H95" s="636"/>
      <c r="I95" s="636"/>
      <c r="J95" s="636"/>
      <c r="K95" s="636"/>
      <c r="L95" s="636"/>
      <c r="M95" s="603">
        <f t="shared" si="14"/>
        <v>0</v>
      </c>
      <c r="N95" s="604"/>
      <c r="O95" s="611"/>
      <c r="P95" s="589">
        <f t="shared" si="15"/>
        <v>0</v>
      </c>
    </row>
    <row r="96" s="573" customFormat="1" ht="15.75" customHeight="1" spans="2:16">
      <c r="B96" s="584">
        <f t="shared" si="16"/>
        <v>36</v>
      </c>
      <c r="C96" s="635"/>
      <c r="D96" s="636"/>
      <c r="E96" s="636"/>
      <c r="F96" s="636"/>
      <c r="G96" s="636"/>
      <c r="H96" s="636"/>
      <c r="I96" s="636"/>
      <c r="J96" s="636"/>
      <c r="K96" s="636"/>
      <c r="L96" s="636"/>
      <c r="M96" s="603">
        <f t="shared" si="14"/>
        <v>0</v>
      </c>
      <c r="N96" s="604"/>
      <c r="O96" s="611"/>
      <c r="P96" s="589">
        <f t="shared" si="15"/>
        <v>0</v>
      </c>
    </row>
    <row r="97" s="573" customFormat="1" ht="15.75" customHeight="1" spans="2:16">
      <c r="B97" s="584">
        <f t="shared" si="16"/>
        <v>37</v>
      </c>
      <c r="C97" s="635"/>
      <c r="D97" s="636"/>
      <c r="E97" s="636"/>
      <c r="F97" s="636"/>
      <c r="G97" s="636"/>
      <c r="H97" s="636"/>
      <c r="I97" s="636"/>
      <c r="J97" s="636"/>
      <c r="K97" s="636"/>
      <c r="L97" s="636"/>
      <c r="M97" s="603">
        <f t="shared" si="14"/>
        <v>0</v>
      </c>
      <c r="N97" s="604"/>
      <c r="O97" s="641"/>
      <c r="P97" s="589">
        <f t="shared" si="15"/>
        <v>0</v>
      </c>
    </row>
    <row r="98" ht="15.75" customHeight="1" spans="2:16">
      <c r="B98" s="644"/>
      <c r="C98" s="645"/>
      <c r="D98" s="645"/>
      <c r="E98" s="645"/>
      <c r="F98" s="645"/>
      <c r="G98" s="645"/>
      <c r="H98" s="645"/>
      <c r="I98" s="645"/>
      <c r="J98" s="645"/>
      <c r="K98" s="645"/>
      <c r="L98" s="645"/>
      <c r="M98" s="645"/>
      <c r="N98" s="646"/>
      <c r="O98" s="647" t="s">
        <v>376</v>
      </c>
      <c r="P98" s="648">
        <f>SUM(P61:P97)</f>
        <v>177785.1304</v>
      </c>
    </row>
    <row r="99" ht="15.75" customHeight="1" spans="2:16">
      <c r="B99" s="649"/>
      <c r="C99" s="630"/>
      <c r="D99" s="619"/>
      <c r="E99" s="619"/>
      <c r="F99" s="619"/>
      <c r="G99" s="619"/>
      <c r="H99" s="619"/>
      <c r="I99" s="619"/>
      <c r="J99" s="619"/>
      <c r="K99" s="619"/>
      <c r="L99" s="619"/>
      <c r="N99" s="650"/>
      <c r="O99" s="630"/>
      <c r="P99" s="650"/>
    </row>
    <row r="100" ht="23.4" customHeight="1" spans="2:16">
      <c r="B100" s="651"/>
      <c r="C100" s="652"/>
      <c r="D100" s="653"/>
      <c r="E100" s="653"/>
      <c r="F100" s="653"/>
      <c r="G100" s="653"/>
      <c r="H100" s="653"/>
      <c r="I100" s="653"/>
      <c r="J100" s="653"/>
      <c r="K100" s="653"/>
      <c r="L100" s="653"/>
      <c r="M100" s="654" t="s">
        <v>377</v>
      </c>
      <c r="N100" s="655"/>
      <c r="O100" s="655"/>
      <c r="P100" s="656">
        <f>P98+P57+P43+P31+P13</f>
        <v>533396.6854</v>
      </c>
    </row>
    <row r="107" spans="2:16">
      <c r="P107" s="657"/>
    </row>
  </sheetData>
  <sheetProtection formatCells="0" formatColumns="0" formatRows="0" insertRows="0" insertColumns="0" deleteColumns="0" deleteRows="0" sort="0" autoFilter="0" pivotTables="0"/>
  <printOptions horizontalCentered="1"/>
  <pageMargins left="0.590551181102362" right="0.393700787401575" top="1.10236220472441" bottom="0.984251968503937" header="0.511811023622047" footer="0.511811023622047"/>
  <pageSetup paperSize="9" scale="91" orientation="portrait" horizontalDpi="1200" verticalDpi="144"/>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9219" name="Button 3" r:id="rId3">
              <controlPr print="0" defaultSize="0">
                <anchor moveWithCells="1" sizeWithCells="1">
                  <from>
                    <xdr:col>1</xdr:col>
                    <xdr:colOff>83820</xdr:colOff>
                    <xdr:row>0</xdr:row>
                    <xdr:rowOff>45720</xdr:rowOff>
                  </from>
                  <to>
                    <xdr:col>2</xdr:col>
                    <xdr:colOff>1264920</xdr:colOff>
                    <xdr:row>0</xdr:row>
                    <xdr:rowOff>297180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Planilha2">
    <tabColor theme="9" tint="0.799981688894314"/>
  </sheetPr>
  <dimension ref="A2:O1057"/>
  <sheetViews>
    <sheetView showGridLines="0" zoomScale="70" zoomScaleNormal="70" zoomScaleSheetLayoutView="80" workbookViewId="0">
      <pane ySplit="5" topLeftCell="A33" activePane="bottomLeft" state="frozen"/>
      <selection/>
      <selection pane="bottomLeft" activeCell="I32" sqref="I32"/>
    </sheetView>
  </sheetViews>
  <sheetFormatPr defaultColWidth="12.552380952381" defaultRowHeight="15"/>
  <cols>
    <col min="1" max="1" width="18.3333333333333" style="458" customWidth="1"/>
    <col min="2" max="2" width="12" style="458" customWidth="1"/>
    <col min="3" max="3" width="51.552380952381" style="458" customWidth="1"/>
    <col min="4" max="4" width="12.6666666666667" style="458" customWidth="1"/>
    <col min="5" max="5" width="11.3333333333333" style="458" customWidth="1"/>
    <col min="6" max="6" width="14.3333333333333" style="458" customWidth="1"/>
    <col min="7" max="7" width="18.4380952380952" style="458" customWidth="1"/>
    <col min="8" max="8" width="14.3333333333333" style="458" customWidth="1"/>
    <col min="9" max="9" width="24.1047619047619" style="458" customWidth="1"/>
    <col min="10" max="10" width="9.43809523809524" style="458" customWidth="1"/>
    <col min="11" max="11" width="17.1047619047619" style="458" customWidth="1"/>
    <col min="12" max="12" width="45.1047619047619" style="458" customWidth="1"/>
    <col min="13" max="13" width="12.552380952381" style="459" customWidth="1"/>
    <col min="14" max="14" width="18.552380952381" style="458" customWidth="1"/>
    <col min="15" max="15" width="12.552380952381" style="458" customWidth="1"/>
    <col min="16" max="251" width="12.552380952381" style="460"/>
    <col min="252" max="252" width="37" style="460" customWidth="1"/>
    <col min="253" max="253" width="78.6666666666667" style="460" customWidth="1"/>
    <col min="254" max="254" width="16" style="460" customWidth="1"/>
    <col min="255" max="255" width="14.552380952381" style="460" customWidth="1"/>
    <col min="256" max="256" width="23.552380952381" style="460" customWidth="1"/>
    <col min="257" max="257" width="19.4380952380952" style="460" customWidth="1"/>
    <col min="258" max="258" width="13.552380952381" style="460" customWidth="1"/>
    <col min="259" max="259" width="10.1047619047619" style="460" customWidth="1"/>
    <col min="260" max="260" width="24.8857142857143" style="460" customWidth="1"/>
    <col min="261" max="261" width="12.552380952381" style="460"/>
    <col min="262" max="262" width="18.552380952381" style="460" customWidth="1"/>
    <col min="263" max="507" width="12.552380952381" style="460"/>
    <col min="508" max="508" width="37" style="460" customWidth="1"/>
    <col min="509" max="509" width="78.6666666666667" style="460" customWidth="1"/>
    <col min="510" max="510" width="16" style="460" customWidth="1"/>
    <col min="511" max="511" width="14.552380952381" style="460" customWidth="1"/>
    <col min="512" max="512" width="23.552380952381" style="460" customWidth="1"/>
    <col min="513" max="513" width="19.4380952380952" style="460" customWidth="1"/>
    <col min="514" max="514" width="13.552380952381" style="460" customWidth="1"/>
    <col min="515" max="515" width="10.1047619047619" style="460" customWidth="1"/>
    <col min="516" max="516" width="24.8857142857143" style="460" customWidth="1"/>
    <col min="517" max="517" width="12.552380952381" style="460"/>
    <col min="518" max="518" width="18.552380952381" style="460" customWidth="1"/>
    <col min="519" max="763" width="12.552380952381" style="460"/>
    <col min="764" max="764" width="37" style="460" customWidth="1"/>
    <col min="765" max="765" width="78.6666666666667" style="460" customWidth="1"/>
    <col min="766" max="766" width="16" style="460" customWidth="1"/>
    <col min="767" max="767" width="14.552380952381" style="460" customWidth="1"/>
    <col min="768" max="768" width="23.552380952381" style="460" customWidth="1"/>
    <col min="769" max="769" width="19.4380952380952" style="460" customWidth="1"/>
    <col min="770" max="770" width="13.552380952381" style="460" customWidth="1"/>
    <col min="771" max="771" width="10.1047619047619" style="460" customWidth="1"/>
    <col min="772" max="772" width="24.8857142857143" style="460" customWidth="1"/>
    <col min="773" max="773" width="12.552380952381" style="460"/>
    <col min="774" max="774" width="18.552380952381" style="460" customWidth="1"/>
    <col min="775" max="1019" width="12.552380952381" style="460"/>
    <col min="1020" max="1020" width="37" style="460" customWidth="1"/>
    <col min="1021" max="1021" width="78.6666666666667" style="460" customWidth="1"/>
    <col min="1022" max="1022" width="16" style="460" customWidth="1"/>
    <col min="1023" max="1023" width="14.552380952381" style="460" customWidth="1"/>
    <col min="1024" max="1024" width="23.552380952381" style="460" customWidth="1"/>
    <col min="1025" max="1025" width="19.4380952380952" style="460" customWidth="1"/>
    <col min="1026" max="1026" width="13.552380952381" style="460" customWidth="1"/>
    <col min="1027" max="1027" width="10.1047619047619" style="460" customWidth="1"/>
    <col min="1028" max="1028" width="24.8857142857143" style="460" customWidth="1"/>
    <col min="1029" max="1029" width="12.552380952381" style="460"/>
    <col min="1030" max="1030" width="18.552380952381" style="460" customWidth="1"/>
    <col min="1031" max="1275" width="12.552380952381" style="460"/>
    <col min="1276" max="1276" width="37" style="460" customWidth="1"/>
    <col min="1277" max="1277" width="78.6666666666667" style="460" customWidth="1"/>
    <col min="1278" max="1278" width="16" style="460" customWidth="1"/>
    <col min="1279" max="1279" width="14.552380952381" style="460" customWidth="1"/>
    <col min="1280" max="1280" width="23.552380952381" style="460" customWidth="1"/>
    <col min="1281" max="1281" width="19.4380952380952" style="460" customWidth="1"/>
    <col min="1282" max="1282" width="13.552380952381" style="460" customWidth="1"/>
    <col min="1283" max="1283" width="10.1047619047619" style="460" customWidth="1"/>
    <col min="1284" max="1284" width="24.8857142857143" style="460" customWidth="1"/>
    <col min="1285" max="1285" width="12.552380952381" style="460"/>
    <col min="1286" max="1286" width="18.552380952381" style="460" customWidth="1"/>
    <col min="1287" max="1531" width="12.552380952381" style="460"/>
    <col min="1532" max="1532" width="37" style="460" customWidth="1"/>
    <col min="1533" max="1533" width="78.6666666666667" style="460" customWidth="1"/>
    <col min="1534" max="1534" width="16" style="460" customWidth="1"/>
    <col min="1535" max="1535" width="14.552380952381" style="460" customWidth="1"/>
    <col min="1536" max="1536" width="23.552380952381" style="460" customWidth="1"/>
    <col min="1537" max="1537" width="19.4380952380952" style="460" customWidth="1"/>
    <col min="1538" max="1538" width="13.552380952381" style="460" customWidth="1"/>
    <col min="1539" max="1539" width="10.1047619047619" style="460" customWidth="1"/>
    <col min="1540" max="1540" width="24.8857142857143" style="460" customWidth="1"/>
    <col min="1541" max="1541" width="12.552380952381" style="460"/>
    <col min="1542" max="1542" width="18.552380952381" style="460" customWidth="1"/>
    <col min="1543" max="1787" width="12.552380952381" style="460"/>
    <col min="1788" max="1788" width="37" style="460" customWidth="1"/>
    <col min="1789" max="1789" width="78.6666666666667" style="460" customWidth="1"/>
    <col min="1790" max="1790" width="16" style="460" customWidth="1"/>
    <col min="1791" max="1791" width="14.552380952381" style="460" customWidth="1"/>
    <col min="1792" max="1792" width="23.552380952381" style="460" customWidth="1"/>
    <col min="1793" max="1793" width="19.4380952380952" style="460" customWidth="1"/>
    <col min="1794" max="1794" width="13.552380952381" style="460" customWidth="1"/>
    <col min="1795" max="1795" width="10.1047619047619" style="460" customWidth="1"/>
    <col min="1796" max="1796" width="24.8857142857143" style="460" customWidth="1"/>
    <col min="1797" max="1797" width="12.552380952381" style="460"/>
    <col min="1798" max="1798" width="18.552380952381" style="460" customWidth="1"/>
    <col min="1799" max="2043" width="12.552380952381" style="460"/>
    <col min="2044" max="2044" width="37" style="460" customWidth="1"/>
    <col min="2045" max="2045" width="78.6666666666667" style="460" customWidth="1"/>
    <col min="2046" max="2046" width="16" style="460" customWidth="1"/>
    <col min="2047" max="2047" width="14.552380952381" style="460" customWidth="1"/>
    <col min="2048" max="2048" width="23.552380952381" style="460" customWidth="1"/>
    <col min="2049" max="2049" width="19.4380952380952" style="460" customWidth="1"/>
    <col min="2050" max="2050" width="13.552380952381" style="460" customWidth="1"/>
    <col min="2051" max="2051" width="10.1047619047619" style="460" customWidth="1"/>
    <col min="2052" max="2052" width="24.8857142857143" style="460" customWidth="1"/>
    <col min="2053" max="2053" width="12.552380952381" style="460"/>
    <col min="2054" max="2054" width="18.552380952381" style="460" customWidth="1"/>
    <col min="2055" max="2299" width="12.552380952381" style="460"/>
    <col min="2300" max="2300" width="37" style="460" customWidth="1"/>
    <col min="2301" max="2301" width="78.6666666666667" style="460" customWidth="1"/>
    <col min="2302" max="2302" width="16" style="460" customWidth="1"/>
    <col min="2303" max="2303" width="14.552380952381" style="460" customWidth="1"/>
    <col min="2304" max="2304" width="23.552380952381" style="460" customWidth="1"/>
    <col min="2305" max="2305" width="19.4380952380952" style="460" customWidth="1"/>
    <col min="2306" max="2306" width="13.552380952381" style="460" customWidth="1"/>
    <col min="2307" max="2307" width="10.1047619047619" style="460" customWidth="1"/>
    <col min="2308" max="2308" width="24.8857142857143" style="460" customWidth="1"/>
    <col min="2309" max="2309" width="12.552380952381" style="460"/>
    <col min="2310" max="2310" width="18.552380952381" style="460" customWidth="1"/>
    <col min="2311" max="2555" width="12.552380952381" style="460"/>
    <col min="2556" max="2556" width="37" style="460" customWidth="1"/>
    <col min="2557" max="2557" width="78.6666666666667" style="460" customWidth="1"/>
    <col min="2558" max="2558" width="16" style="460" customWidth="1"/>
    <col min="2559" max="2559" width="14.552380952381" style="460" customWidth="1"/>
    <col min="2560" max="2560" width="23.552380952381" style="460" customWidth="1"/>
    <col min="2561" max="2561" width="19.4380952380952" style="460" customWidth="1"/>
    <col min="2562" max="2562" width="13.552380952381" style="460" customWidth="1"/>
    <col min="2563" max="2563" width="10.1047619047619" style="460" customWidth="1"/>
    <col min="2564" max="2564" width="24.8857142857143" style="460" customWidth="1"/>
    <col min="2565" max="2565" width="12.552380952381" style="460"/>
    <col min="2566" max="2566" width="18.552380952381" style="460" customWidth="1"/>
    <col min="2567" max="2811" width="12.552380952381" style="460"/>
    <col min="2812" max="2812" width="37" style="460" customWidth="1"/>
    <col min="2813" max="2813" width="78.6666666666667" style="460" customWidth="1"/>
    <col min="2814" max="2814" width="16" style="460" customWidth="1"/>
    <col min="2815" max="2815" width="14.552380952381" style="460" customWidth="1"/>
    <col min="2816" max="2816" width="23.552380952381" style="460" customWidth="1"/>
    <col min="2817" max="2817" width="19.4380952380952" style="460" customWidth="1"/>
    <col min="2818" max="2818" width="13.552380952381" style="460" customWidth="1"/>
    <col min="2819" max="2819" width="10.1047619047619" style="460" customWidth="1"/>
    <col min="2820" max="2820" width="24.8857142857143" style="460" customWidth="1"/>
    <col min="2821" max="2821" width="12.552380952381" style="460"/>
    <col min="2822" max="2822" width="18.552380952381" style="460" customWidth="1"/>
    <col min="2823" max="3067" width="12.552380952381" style="460"/>
    <col min="3068" max="3068" width="37" style="460" customWidth="1"/>
    <col min="3069" max="3069" width="78.6666666666667" style="460" customWidth="1"/>
    <col min="3070" max="3070" width="16" style="460" customWidth="1"/>
    <col min="3071" max="3071" width="14.552380952381" style="460" customWidth="1"/>
    <col min="3072" max="3072" width="23.552380952381" style="460" customWidth="1"/>
    <col min="3073" max="3073" width="19.4380952380952" style="460" customWidth="1"/>
    <col min="3074" max="3074" width="13.552380952381" style="460" customWidth="1"/>
    <col min="3075" max="3075" width="10.1047619047619" style="460" customWidth="1"/>
    <col min="3076" max="3076" width="24.8857142857143" style="460" customWidth="1"/>
    <col min="3077" max="3077" width="12.552380952381" style="460"/>
    <col min="3078" max="3078" width="18.552380952381" style="460" customWidth="1"/>
    <col min="3079" max="3323" width="12.552380952381" style="460"/>
    <col min="3324" max="3324" width="37" style="460" customWidth="1"/>
    <col min="3325" max="3325" width="78.6666666666667" style="460" customWidth="1"/>
    <col min="3326" max="3326" width="16" style="460" customWidth="1"/>
    <col min="3327" max="3327" width="14.552380952381" style="460" customWidth="1"/>
    <col min="3328" max="3328" width="23.552380952381" style="460" customWidth="1"/>
    <col min="3329" max="3329" width="19.4380952380952" style="460" customWidth="1"/>
    <col min="3330" max="3330" width="13.552380952381" style="460" customWidth="1"/>
    <col min="3331" max="3331" width="10.1047619047619" style="460" customWidth="1"/>
    <col min="3332" max="3332" width="24.8857142857143" style="460" customWidth="1"/>
    <col min="3333" max="3333" width="12.552380952381" style="460"/>
    <col min="3334" max="3334" width="18.552380952381" style="460" customWidth="1"/>
    <col min="3335" max="3579" width="12.552380952381" style="460"/>
    <col min="3580" max="3580" width="37" style="460" customWidth="1"/>
    <col min="3581" max="3581" width="78.6666666666667" style="460" customWidth="1"/>
    <col min="3582" max="3582" width="16" style="460" customWidth="1"/>
    <col min="3583" max="3583" width="14.552380952381" style="460" customWidth="1"/>
    <col min="3584" max="3584" width="23.552380952381" style="460" customWidth="1"/>
    <col min="3585" max="3585" width="19.4380952380952" style="460" customWidth="1"/>
    <col min="3586" max="3586" width="13.552380952381" style="460" customWidth="1"/>
    <col min="3587" max="3587" width="10.1047619047619" style="460" customWidth="1"/>
    <col min="3588" max="3588" width="24.8857142857143" style="460" customWidth="1"/>
    <col min="3589" max="3589" width="12.552380952381" style="460"/>
    <col min="3590" max="3590" width="18.552380952381" style="460" customWidth="1"/>
    <col min="3591" max="3835" width="12.552380952381" style="460"/>
    <col min="3836" max="3836" width="37" style="460" customWidth="1"/>
    <col min="3837" max="3837" width="78.6666666666667" style="460" customWidth="1"/>
    <col min="3838" max="3838" width="16" style="460" customWidth="1"/>
    <col min="3839" max="3839" width="14.552380952381" style="460" customWidth="1"/>
    <col min="3840" max="3840" width="23.552380952381" style="460" customWidth="1"/>
    <col min="3841" max="3841" width="19.4380952380952" style="460" customWidth="1"/>
    <col min="3842" max="3842" width="13.552380952381" style="460" customWidth="1"/>
    <col min="3843" max="3843" width="10.1047619047619" style="460" customWidth="1"/>
    <col min="3844" max="3844" width="24.8857142857143" style="460" customWidth="1"/>
    <col min="3845" max="3845" width="12.552380952381" style="460"/>
    <col min="3846" max="3846" width="18.552380952381" style="460" customWidth="1"/>
    <col min="3847" max="4091" width="12.552380952381" style="460"/>
    <col min="4092" max="4092" width="37" style="460" customWidth="1"/>
    <col min="4093" max="4093" width="78.6666666666667" style="460" customWidth="1"/>
    <col min="4094" max="4094" width="16" style="460" customWidth="1"/>
    <col min="4095" max="4095" width="14.552380952381" style="460" customWidth="1"/>
    <col min="4096" max="4096" width="23.552380952381" style="460" customWidth="1"/>
    <col min="4097" max="4097" width="19.4380952380952" style="460" customWidth="1"/>
    <col min="4098" max="4098" width="13.552380952381" style="460" customWidth="1"/>
    <col min="4099" max="4099" width="10.1047619047619" style="460" customWidth="1"/>
    <col min="4100" max="4100" width="24.8857142857143" style="460" customWidth="1"/>
    <col min="4101" max="4101" width="12.552380952381" style="460"/>
    <col min="4102" max="4102" width="18.552380952381" style="460" customWidth="1"/>
    <col min="4103" max="4347" width="12.552380952381" style="460"/>
    <col min="4348" max="4348" width="37" style="460" customWidth="1"/>
    <col min="4349" max="4349" width="78.6666666666667" style="460" customWidth="1"/>
    <col min="4350" max="4350" width="16" style="460" customWidth="1"/>
    <col min="4351" max="4351" width="14.552380952381" style="460" customWidth="1"/>
    <col min="4352" max="4352" width="23.552380952381" style="460" customWidth="1"/>
    <col min="4353" max="4353" width="19.4380952380952" style="460" customWidth="1"/>
    <col min="4354" max="4354" width="13.552380952381" style="460" customWidth="1"/>
    <col min="4355" max="4355" width="10.1047619047619" style="460" customWidth="1"/>
    <col min="4356" max="4356" width="24.8857142857143" style="460" customWidth="1"/>
    <col min="4357" max="4357" width="12.552380952381" style="460"/>
    <col min="4358" max="4358" width="18.552380952381" style="460" customWidth="1"/>
    <col min="4359" max="4603" width="12.552380952381" style="460"/>
    <col min="4604" max="4604" width="37" style="460" customWidth="1"/>
    <col min="4605" max="4605" width="78.6666666666667" style="460" customWidth="1"/>
    <col min="4606" max="4606" width="16" style="460" customWidth="1"/>
    <col min="4607" max="4607" width="14.552380952381" style="460" customWidth="1"/>
    <col min="4608" max="4608" width="23.552380952381" style="460" customWidth="1"/>
    <col min="4609" max="4609" width="19.4380952380952" style="460" customWidth="1"/>
    <col min="4610" max="4610" width="13.552380952381" style="460" customWidth="1"/>
    <col min="4611" max="4611" width="10.1047619047619" style="460" customWidth="1"/>
    <col min="4612" max="4612" width="24.8857142857143" style="460" customWidth="1"/>
    <col min="4613" max="4613" width="12.552380952381" style="460"/>
    <col min="4614" max="4614" width="18.552380952381" style="460" customWidth="1"/>
    <col min="4615" max="4859" width="12.552380952381" style="460"/>
    <col min="4860" max="4860" width="37" style="460" customWidth="1"/>
    <col min="4861" max="4861" width="78.6666666666667" style="460" customWidth="1"/>
    <col min="4862" max="4862" width="16" style="460" customWidth="1"/>
    <col min="4863" max="4863" width="14.552380952381" style="460" customWidth="1"/>
    <col min="4864" max="4864" width="23.552380952381" style="460" customWidth="1"/>
    <col min="4865" max="4865" width="19.4380952380952" style="460" customWidth="1"/>
    <col min="4866" max="4866" width="13.552380952381" style="460" customWidth="1"/>
    <col min="4867" max="4867" width="10.1047619047619" style="460" customWidth="1"/>
    <col min="4868" max="4868" width="24.8857142857143" style="460" customWidth="1"/>
    <col min="4869" max="4869" width="12.552380952381" style="460"/>
    <col min="4870" max="4870" width="18.552380952381" style="460" customWidth="1"/>
    <col min="4871" max="5115" width="12.552380952381" style="460"/>
    <col min="5116" max="5116" width="37" style="460" customWidth="1"/>
    <col min="5117" max="5117" width="78.6666666666667" style="460" customWidth="1"/>
    <col min="5118" max="5118" width="16" style="460" customWidth="1"/>
    <col min="5119" max="5119" width="14.552380952381" style="460" customWidth="1"/>
    <col min="5120" max="5120" width="23.552380952381" style="460" customWidth="1"/>
    <col min="5121" max="5121" width="19.4380952380952" style="460" customWidth="1"/>
    <col min="5122" max="5122" width="13.552380952381" style="460" customWidth="1"/>
    <col min="5123" max="5123" width="10.1047619047619" style="460" customWidth="1"/>
    <col min="5124" max="5124" width="24.8857142857143" style="460" customWidth="1"/>
    <col min="5125" max="5125" width="12.552380952381" style="460"/>
    <col min="5126" max="5126" width="18.552380952381" style="460" customWidth="1"/>
    <col min="5127" max="5371" width="12.552380952381" style="460"/>
    <col min="5372" max="5372" width="37" style="460" customWidth="1"/>
    <col min="5373" max="5373" width="78.6666666666667" style="460" customWidth="1"/>
    <col min="5374" max="5374" width="16" style="460" customWidth="1"/>
    <col min="5375" max="5375" width="14.552380952381" style="460" customWidth="1"/>
    <col min="5376" max="5376" width="23.552380952381" style="460" customWidth="1"/>
    <col min="5377" max="5377" width="19.4380952380952" style="460" customWidth="1"/>
    <col min="5378" max="5378" width="13.552380952381" style="460" customWidth="1"/>
    <col min="5379" max="5379" width="10.1047619047619" style="460" customWidth="1"/>
    <col min="5380" max="5380" width="24.8857142857143" style="460" customWidth="1"/>
    <col min="5381" max="5381" width="12.552380952381" style="460"/>
    <col min="5382" max="5382" width="18.552380952381" style="460" customWidth="1"/>
    <col min="5383" max="5627" width="12.552380952381" style="460"/>
    <col min="5628" max="5628" width="37" style="460" customWidth="1"/>
    <col min="5629" max="5629" width="78.6666666666667" style="460" customWidth="1"/>
    <col min="5630" max="5630" width="16" style="460" customWidth="1"/>
    <col min="5631" max="5631" width="14.552380952381" style="460" customWidth="1"/>
    <col min="5632" max="5632" width="23.552380952381" style="460" customWidth="1"/>
    <col min="5633" max="5633" width="19.4380952380952" style="460" customWidth="1"/>
    <col min="5634" max="5634" width="13.552380952381" style="460" customWidth="1"/>
    <col min="5635" max="5635" width="10.1047619047619" style="460" customWidth="1"/>
    <col min="5636" max="5636" width="24.8857142857143" style="460" customWidth="1"/>
    <col min="5637" max="5637" width="12.552380952381" style="460"/>
    <col min="5638" max="5638" width="18.552380952381" style="460" customWidth="1"/>
    <col min="5639" max="5883" width="12.552380952381" style="460"/>
    <col min="5884" max="5884" width="37" style="460" customWidth="1"/>
    <col min="5885" max="5885" width="78.6666666666667" style="460" customWidth="1"/>
    <col min="5886" max="5886" width="16" style="460" customWidth="1"/>
    <col min="5887" max="5887" width="14.552380952381" style="460" customWidth="1"/>
    <col min="5888" max="5888" width="23.552380952381" style="460" customWidth="1"/>
    <col min="5889" max="5889" width="19.4380952380952" style="460" customWidth="1"/>
    <col min="5890" max="5890" width="13.552380952381" style="460" customWidth="1"/>
    <col min="5891" max="5891" width="10.1047619047619" style="460" customWidth="1"/>
    <col min="5892" max="5892" width="24.8857142857143" style="460" customWidth="1"/>
    <col min="5893" max="5893" width="12.552380952381" style="460"/>
    <col min="5894" max="5894" width="18.552380952381" style="460" customWidth="1"/>
    <col min="5895" max="6139" width="12.552380952381" style="460"/>
    <col min="6140" max="6140" width="37" style="460" customWidth="1"/>
    <col min="6141" max="6141" width="78.6666666666667" style="460" customWidth="1"/>
    <col min="6142" max="6142" width="16" style="460" customWidth="1"/>
    <col min="6143" max="6143" width="14.552380952381" style="460" customWidth="1"/>
    <col min="6144" max="6144" width="23.552380952381" style="460" customWidth="1"/>
    <col min="6145" max="6145" width="19.4380952380952" style="460" customWidth="1"/>
    <col min="6146" max="6146" width="13.552380952381" style="460" customWidth="1"/>
    <col min="6147" max="6147" width="10.1047619047619" style="460" customWidth="1"/>
    <col min="6148" max="6148" width="24.8857142857143" style="460" customWidth="1"/>
    <col min="6149" max="6149" width="12.552380952381" style="460"/>
    <col min="6150" max="6150" width="18.552380952381" style="460" customWidth="1"/>
    <col min="6151" max="6395" width="12.552380952381" style="460"/>
    <col min="6396" max="6396" width="37" style="460" customWidth="1"/>
    <col min="6397" max="6397" width="78.6666666666667" style="460" customWidth="1"/>
    <col min="6398" max="6398" width="16" style="460" customWidth="1"/>
    <col min="6399" max="6399" width="14.552380952381" style="460" customWidth="1"/>
    <col min="6400" max="6400" width="23.552380952381" style="460" customWidth="1"/>
    <col min="6401" max="6401" width="19.4380952380952" style="460" customWidth="1"/>
    <col min="6402" max="6402" width="13.552380952381" style="460" customWidth="1"/>
    <col min="6403" max="6403" width="10.1047619047619" style="460" customWidth="1"/>
    <col min="6404" max="6404" width="24.8857142857143" style="460" customWidth="1"/>
    <col min="6405" max="6405" width="12.552380952381" style="460"/>
    <col min="6406" max="6406" width="18.552380952381" style="460" customWidth="1"/>
    <col min="6407" max="6651" width="12.552380952381" style="460"/>
    <col min="6652" max="6652" width="37" style="460" customWidth="1"/>
    <col min="6653" max="6653" width="78.6666666666667" style="460" customWidth="1"/>
    <col min="6654" max="6654" width="16" style="460" customWidth="1"/>
    <col min="6655" max="6655" width="14.552380952381" style="460" customWidth="1"/>
    <col min="6656" max="6656" width="23.552380952381" style="460" customWidth="1"/>
    <col min="6657" max="6657" width="19.4380952380952" style="460" customWidth="1"/>
    <col min="6658" max="6658" width="13.552380952381" style="460" customWidth="1"/>
    <col min="6659" max="6659" width="10.1047619047619" style="460" customWidth="1"/>
    <col min="6660" max="6660" width="24.8857142857143" style="460" customWidth="1"/>
    <col min="6661" max="6661" width="12.552380952381" style="460"/>
    <col min="6662" max="6662" width="18.552380952381" style="460" customWidth="1"/>
    <col min="6663" max="6907" width="12.552380952381" style="460"/>
    <col min="6908" max="6908" width="37" style="460" customWidth="1"/>
    <col min="6909" max="6909" width="78.6666666666667" style="460" customWidth="1"/>
    <col min="6910" max="6910" width="16" style="460" customWidth="1"/>
    <col min="6911" max="6911" width="14.552380952381" style="460" customWidth="1"/>
    <col min="6912" max="6912" width="23.552380952381" style="460" customWidth="1"/>
    <col min="6913" max="6913" width="19.4380952380952" style="460" customWidth="1"/>
    <col min="6914" max="6914" width="13.552380952381" style="460" customWidth="1"/>
    <col min="6915" max="6915" width="10.1047619047619" style="460" customWidth="1"/>
    <col min="6916" max="6916" width="24.8857142857143" style="460" customWidth="1"/>
    <col min="6917" max="6917" width="12.552380952381" style="460"/>
    <col min="6918" max="6918" width="18.552380952381" style="460" customWidth="1"/>
    <col min="6919" max="7163" width="12.552380952381" style="460"/>
    <col min="7164" max="7164" width="37" style="460" customWidth="1"/>
    <col min="7165" max="7165" width="78.6666666666667" style="460" customWidth="1"/>
    <col min="7166" max="7166" width="16" style="460" customWidth="1"/>
    <col min="7167" max="7167" width="14.552380952381" style="460" customWidth="1"/>
    <col min="7168" max="7168" width="23.552380952381" style="460" customWidth="1"/>
    <col min="7169" max="7169" width="19.4380952380952" style="460" customWidth="1"/>
    <col min="7170" max="7170" width="13.552380952381" style="460" customWidth="1"/>
    <col min="7171" max="7171" width="10.1047619047619" style="460" customWidth="1"/>
    <col min="7172" max="7172" width="24.8857142857143" style="460" customWidth="1"/>
    <col min="7173" max="7173" width="12.552380952381" style="460"/>
    <col min="7174" max="7174" width="18.552380952381" style="460" customWidth="1"/>
    <col min="7175" max="7419" width="12.552380952381" style="460"/>
    <col min="7420" max="7420" width="37" style="460" customWidth="1"/>
    <col min="7421" max="7421" width="78.6666666666667" style="460" customWidth="1"/>
    <col min="7422" max="7422" width="16" style="460" customWidth="1"/>
    <col min="7423" max="7423" width="14.552380952381" style="460" customWidth="1"/>
    <col min="7424" max="7424" width="23.552380952381" style="460" customWidth="1"/>
    <col min="7425" max="7425" width="19.4380952380952" style="460" customWidth="1"/>
    <col min="7426" max="7426" width="13.552380952381" style="460" customWidth="1"/>
    <col min="7427" max="7427" width="10.1047619047619" style="460" customWidth="1"/>
    <col min="7428" max="7428" width="24.8857142857143" style="460" customWidth="1"/>
    <col min="7429" max="7429" width="12.552380952381" style="460"/>
    <col min="7430" max="7430" width="18.552380952381" style="460" customWidth="1"/>
    <col min="7431" max="7675" width="12.552380952381" style="460"/>
    <col min="7676" max="7676" width="37" style="460" customWidth="1"/>
    <col min="7677" max="7677" width="78.6666666666667" style="460" customWidth="1"/>
    <col min="7678" max="7678" width="16" style="460" customWidth="1"/>
    <col min="7679" max="7679" width="14.552380952381" style="460" customWidth="1"/>
    <col min="7680" max="7680" width="23.552380952381" style="460" customWidth="1"/>
    <col min="7681" max="7681" width="19.4380952380952" style="460" customWidth="1"/>
    <col min="7682" max="7682" width="13.552380952381" style="460" customWidth="1"/>
    <col min="7683" max="7683" width="10.1047619047619" style="460" customWidth="1"/>
    <col min="7684" max="7684" width="24.8857142857143" style="460" customWidth="1"/>
    <col min="7685" max="7685" width="12.552380952381" style="460"/>
    <col min="7686" max="7686" width="18.552380952381" style="460" customWidth="1"/>
    <col min="7687" max="7931" width="12.552380952381" style="460"/>
    <col min="7932" max="7932" width="37" style="460" customWidth="1"/>
    <col min="7933" max="7933" width="78.6666666666667" style="460" customWidth="1"/>
    <col min="7934" max="7934" width="16" style="460" customWidth="1"/>
    <col min="7935" max="7935" width="14.552380952381" style="460" customWidth="1"/>
    <col min="7936" max="7936" width="23.552380952381" style="460" customWidth="1"/>
    <col min="7937" max="7937" width="19.4380952380952" style="460" customWidth="1"/>
    <col min="7938" max="7938" width="13.552380952381" style="460" customWidth="1"/>
    <col min="7939" max="7939" width="10.1047619047619" style="460" customWidth="1"/>
    <col min="7940" max="7940" width="24.8857142857143" style="460" customWidth="1"/>
    <col min="7941" max="7941" width="12.552380952381" style="460"/>
    <col min="7942" max="7942" width="18.552380952381" style="460" customWidth="1"/>
    <col min="7943" max="8187" width="12.552380952381" style="460"/>
    <col min="8188" max="8188" width="37" style="460" customWidth="1"/>
    <col min="8189" max="8189" width="78.6666666666667" style="460" customWidth="1"/>
    <col min="8190" max="8190" width="16" style="460" customWidth="1"/>
    <col min="8191" max="8191" width="14.552380952381" style="460" customWidth="1"/>
    <col min="8192" max="8192" width="23.552380952381" style="460" customWidth="1"/>
    <col min="8193" max="8193" width="19.4380952380952" style="460" customWidth="1"/>
    <col min="8194" max="8194" width="13.552380952381" style="460" customWidth="1"/>
    <col min="8195" max="8195" width="10.1047619047619" style="460" customWidth="1"/>
    <col min="8196" max="8196" width="24.8857142857143" style="460" customWidth="1"/>
    <col min="8197" max="8197" width="12.552380952381" style="460"/>
    <col min="8198" max="8198" width="18.552380952381" style="460" customWidth="1"/>
    <col min="8199" max="8443" width="12.552380952381" style="460"/>
    <col min="8444" max="8444" width="37" style="460" customWidth="1"/>
    <col min="8445" max="8445" width="78.6666666666667" style="460" customWidth="1"/>
    <col min="8446" max="8446" width="16" style="460" customWidth="1"/>
    <col min="8447" max="8447" width="14.552380952381" style="460" customWidth="1"/>
    <col min="8448" max="8448" width="23.552380952381" style="460" customWidth="1"/>
    <col min="8449" max="8449" width="19.4380952380952" style="460" customWidth="1"/>
    <col min="8450" max="8450" width="13.552380952381" style="460" customWidth="1"/>
    <col min="8451" max="8451" width="10.1047619047619" style="460" customWidth="1"/>
    <col min="8452" max="8452" width="24.8857142857143" style="460" customWidth="1"/>
    <col min="8453" max="8453" width="12.552380952381" style="460"/>
    <col min="8454" max="8454" width="18.552380952381" style="460" customWidth="1"/>
    <col min="8455" max="8699" width="12.552380952381" style="460"/>
    <col min="8700" max="8700" width="37" style="460" customWidth="1"/>
    <col min="8701" max="8701" width="78.6666666666667" style="460" customWidth="1"/>
    <col min="8702" max="8702" width="16" style="460" customWidth="1"/>
    <col min="8703" max="8703" width="14.552380952381" style="460" customWidth="1"/>
    <col min="8704" max="8704" width="23.552380952381" style="460" customWidth="1"/>
    <col min="8705" max="8705" width="19.4380952380952" style="460" customWidth="1"/>
    <col min="8706" max="8706" width="13.552380952381" style="460" customWidth="1"/>
    <col min="8707" max="8707" width="10.1047619047619" style="460" customWidth="1"/>
    <col min="8708" max="8708" width="24.8857142857143" style="460" customWidth="1"/>
    <col min="8709" max="8709" width="12.552380952381" style="460"/>
    <col min="8710" max="8710" width="18.552380952381" style="460" customWidth="1"/>
    <col min="8711" max="8955" width="12.552380952381" style="460"/>
    <col min="8956" max="8956" width="37" style="460" customWidth="1"/>
    <col min="8957" max="8957" width="78.6666666666667" style="460" customWidth="1"/>
    <col min="8958" max="8958" width="16" style="460" customWidth="1"/>
    <col min="8959" max="8959" width="14.552380952381" style="460" customWidth="1"/>
    <col min="8960" max="8960" width="23.552380952381" style="460" customWidth="1"/>
    <col min="8961" max="8961" width="19.4380952380952" style="460" customWidth="1"/>
    <col min="8962" max="8962" width="13.552380952381" style="460" customWidth="1"/>
    <col min="8963" max="8963" width="10.1047619047619" style="460" customWidth="1"/>
    <col min="8964" max="8964" width="24.8857142857143" style="460" customWidth="1"/>
    <col min="8965" max="8965" width="12.552380952381" style="460"/>
    <col min="8966" max="8966" width="18.552380952381" style="460" customWidth="1"/>
    <col min="8967" max="9211" width="12.552380952381" style="460"/>
    <col min="9212" max="9212" width="37" style="460" customWidth="1"/>
    <col min="9213" max="9213" width="78.6666666666667" style="460" customWidth="1"/>
    <col min="9214" max="9214" width="16" style="460" customWidth="1"/>
    <col min="9215" max="9215" width="14.552380952381" style="460" customWidth="1"/>
    <col min="9216" max="9216" width="23.552380952381" style="460" customWidth="1"/>
    <col min="9217" max="9217" width="19.4380952380952" style="460" customWidth="1"/>
    <col min="9218" max="9218" width="13.552380952381" style="460" customWidth="1"/>
    <col min="9219" max="9219" width="10.1047619047619" style="460" customWidth="1"/>
    <col min="9220" max="9220" width="24.8857142857143" style="460" customWidth="1"/>
    <col min="9221" max="9221" width="12.552380952381" style="460"/>
    <col min="9222" max="9222" width="18.552380952381" style="460" customWidth="1"/>
    <col min="9223" max="9467" width="12.552380952381" style="460"/>
    <col min="9468" max="9468" width="37" style="460" customWidth="1"/>
    <col min="9469" max="9469" width="78.6666666666667" style="460" customWidth="1"/>
    <col min="9470" max="9470" width="16" style="460" customWidth="1"/>
    <col min="9471" max="9471" width="14.552380952381" style="460" customWidth="1"/>
    <col min="9472" max="9472" width="23.552380952381" style="460" customWidth="1"/>
    <col min="9473" max="9473" width="19.4380952380952" style="460" customWidth="1"/>
    <col min="9474" max="9474" width="13.552380952381" style="460" customWidth="1"/>
    <col min="9475" max="9475" width="10.1047619047619" style="460" customWidth="1"/>
    <col min="9476" max="9476" width="24.8857142857143" style="460" customWidth="1"/>
    <col min="9477" max="9477" width="12.552380952381" style="460"/>
    <col min="9478" max="9478" width="18.552380952381" style="460" customWidth="1"/>
    <col min="9479" max="9723" width="12.552380952381" style="460"/>
    <col min="9724" max="9724" width="37" style="460" customWidth="1"/>
    <col min="9725" max="9725" width="78.6666666666667" style="460" customWidth="1"/>
    <col min="9726" max="9726" width="16" style="460" customWidth="1"/>
    <col min="9727" max="9727" width="14.552380952381" style="460" customWidth="1"/>
    <col min="9728" max="9728" width="23.552380952381" style="460" customWidth="1"/>
    <col min="9729" max="9729" width="19.4380952380952" style="460" customWidth="1"/>
    <col min="9730" max="9730" width="13.552380952381" style="460" customWidth="1"/>
    <col min="9731" max="9731" width="10.1047619047619" style="460" customWidth="1"/>
    <col min="9732" max="9732" width="24.8857142857143" style="460" customWidth="1"/>
    <col min="9733" max="9733" width="12.552380952381" style="460"/>
    <col min="9734" max="9734" width="18.552380952381" style="460" customWidth="1"/>
    <col min="9735" max="9979" width="12.552380952381" style="460"/>
    <col min="9980" max="9980" width="37" style="460" customWidth="1"/>
    <col min="9981" max="9981" width="78.6666666666667" style="460" customWidth="1"/>
    <col min="9982" max="9982" width="16" style="460" customWidth="1"/>
    <col min="9983" max="9983" width="14.552380952381" style="460" customWidth="1"/>
    <col min="9984" max="9984" width="23.552380952381" style="460" customWidth="1"/>
    <col min="9985" max="9985" width="19.4380952380952" style="460" customWidth="1"/>
    <col min="9986" max="9986" width="13.552380952381" style="460" customWidth="1"/>
    <col min="9987" max="9987" width="10.1047619047619" style="460" customWidth="1"/>
    <col min="9988" max="9988" width="24.8857142857143" style="460" customWidth="1"/>
    <col min="9989" max="9989" width="12.552380952381" style="460"/>
    <col min="9990" max="9990" width="18.552380952381" style="460" customWidth="1"/>
    <col min="9991" max="10235" width="12.552380952381" style="460"/>
    <col min="10236" max="10236" width="37" style="460" customWidth="1"/>
    <col min="10237" max="10237" width="78.6666666666667" style="460" customWidth="1"/>
    <col min="10238" max="10238" width="16" style="460" customWidth="1"/>
    <col min="10239" max="10239" width="14.552380952381" style="460" customWidth="1"/>
    <col min="10240" max="10240" width="23.552380952381" style="460" customWidth="1"/>
    <col min="10241" max="10241" width="19.4380952380952" style="460" customWidth="1"/>
    <col min="10242" max="10242" width="13.552380952381" style="460" customWidth="1"/>
    <col min="10243" max="10243" width="10.1047619047619" style="460" customWidth="1"/>
    <col min="10244" max="10244" width="24.8857142857143" style="460" customWidth="1"/>
    <col min="10245" max="10245" width="12.552380952381" style="460"/>
    <col min="10246" max="10246" width="18.552380952381" style="460" customWidth="1"/>
    <col min="10247" max="10491" width="12.552380952381" style="460"/>
    <col min="10492" max="10492" width="37" style="460" customWidth="1"/>
    <col min="10493" max="10493" width="78.6666666666667" style="460" customWidth="1"/>
    <col min="10494" max="10494" width="16" style="460" customWidth="1"/>
    <col min="10495" max="10495" width="14.552380952381" style="460" customWidth="1"/>
    <col min="10496" max="10496" width="23.552380952381" style="460" customWidth="1"/>
    <col min="10497" max="10497" width="19.4380952380952" style="460" customWidth="1"/>
    <col min="10498" max="10498" width="13.552380952381" style="460" customWidth="1"/>
    <col min="10499" max="10499" width="10.1047619047619" style="460" customWidth="1"/>
    <col min="10500" max="10500" width="24.8857142857143" style="460" customWidth="1"/>
    <col min="10501" max="10501" width="12.552380952381" style="460"/>
    <col min="10502" max="10502" width="18.552380952381" style="460" customWidth="1"/>
    <col min="10503" max="10747" width="12.552380952381" style="460"/>
    <col min="10748" max="10748" width="37" style="460" customWidth="1"/>
    <col min="10749" max="10749" width="78.6666666666667" style="460" customWidth="1"/>
    <col min="10750" max="10750" width="16" style="460" customWidth="1"/>
    <col min="10751" max="10751" width="14.552380952381" style="460" customWidth="1"/>
    <col min="10752" max="10752" width="23.552380952381" style="460" customWidth="1"/>
    <col min="10753" max="10753" width="19.4380952380952" style="460" customWidth="1"/>
    <col min="10754" max="10754" width="13.552380952381" style="460" customWidth="1"/>
    <col min="10755" max="10755" width="10.1047619047619" style="460" customWidth="1"/>
    <col min="10756" max="10756" width="24.8857142857143" style="460" customWidth="1"/>
    <col min="10757" max="10757" width="12.552380952381" style="460"/>
    <col min="10758" max="10758" width="18.552380952381" style="460" customWidth="1"/>
    <col min="10759" max="11003" width="12.552380952381" style="460"/>
    <col min="11004" max="11004" width="37" style="460" customWidth="1"/>
    <col min="11005" max="11005" width="78.6666666666667" style="460" customWidth="1"/>
    <col min="11006" max="11006" width="16" style="460" customWidth="1"/>
    <col min="11007" max="11007" width="14.552380952381" style="460" customWidth="1"/>
    <col min="11008" max="11008" width="23.552380952381" style="460" customWidth="1"/>
    <col min="11009" max="11009" width="19.4380952380952" style="460" customWidth="1"/>
    <col min="11010" max="11010" width="13.552380952381" style="460" customWidth="1"/>
    <col min="11011" max="11011" width="10.1047619047619" style="460" customWidth="1"/>
    <col min="11012" max="11012" width="24.8857142857143" style="460" customWidth="1"/>
    <col min="11013" max="11013" width="12.552380952381" style="460"/>
    <col min="11014" max="11014" width="18.552380952381" style="460" customWidth="1"/>
    <col min="11015" max="11259" width="12.552380952381" style="460"/>
    <col min="11260" max="11260" width="37" style="460" customWidth="1"/>
    <col min="11261" max="11261" width="78.6666666666667" style="460" customWidth="1"/>
    <col min="11262" max="11262" width="16" style="460" customWidth="1"/>
    <col min="11263" max="11263" width="14.552380952381" style="460" customWidth="1"/>
    <col min="11264" max="11264" width="23.552380952381" style="460" customWidth="1"/>
    <col min="11265" max="11265" width="19.4380952380952" style="460" customWidth="1"/>
    <col min="11266" max="11266" width="13.552380952381" style="460" customWidth="1"/>
    <col min="11267" max="11267" width="10.1047619047619" style="460" customWidth="1"/>
    <col min="11268" max="11268" width="24.8857142857143" style="460" customWidth="1"/>
    <col min="11269" max="11269" width="12.552380952381" style="460"/>
    <col min="11270" max="11270" width="18.552380952381" style="460" customWidth="1"/>
    <col min="11271" max="11515" width="12.552380952381" style="460"/>
    <col min="11516" max="11516" width="37" style="460" customWidth="1"/>
    <col min="11517" max="11517" width="78.6666666666667" style="460" customWidth="1"/>
    <col min="11518" max="11518" width="16" style="460" customWidth="1"/>
    <col min="11519" max="11519" width="14.552380952381" style="460" customWidth="1"/>
    <col min="11520" max="11520" width="23.552380952381" style="460" customWidth="1"/>
    <col min="11521" max="11521" width="19.4380952380952" style="460" customWidth="1"/>
    <col min="11522" max="11522" width="13.552380952381" style="460" customWidth="1"/>
    <col min="11523" max="11523" width="10.1047619047619" style="460" customWidth="1"/>
    <col min="11524" max="11524" width="24.8857142857143" style="460" customWidth="1"/>
    <col min="11525" max="11525" width="12.552380952381" style="460"/>
    <col min="11526" max="11526" width="18.552380952381" style="460" customWidth="1"/>
    <col min="11527" max="11771" width="12.552380952381" style="460"/>
    <col min="11772" max="11772" width="37" style="460" customWidth="1"/>
    <col min="11773" max="11773" width="78.6666666666667" style="460" customWidth="1"/>
    <col min="11774" max="11774" width="16" style="460" customWidth="1"/>
    <col min="11775" max="11775" width="14.552380952381" style="460" customWidth="1"/>
    <col min="11776" max="11776" width="23.552380952381" style="460" customWidth="1"/>
    <col min="11777" max="11777" width="19.4380952380952" style="460" customWidth="1"/>
    <col min="11778" max="11778" width="13.552380952381" style="460" customWidth="1"/>
    <col min="11779" max="11779" width="10.1047619047619" style="460" customWidth="1"/>
    <col min="11780" max="11780" width="24.8857142857143" style="460" customWidth="1"/>
    <col min="11781" max="11781" width="12.552380952381" style="460"/>
    <col min="11782" max="11782" width="18.552380952381" style="460" customWidth="1"/>
    <col min="11783" max="12027" width="12.552380952381" style="460"/>
    <col min="12028" max="12028" width="37" style="460" customWidth="1"/>
    <col min="12029" max="12029" width="78.6666666666667" style="460" customWidth="1"/>
    <col min="12030" max="12030" width="16" style="460" customWidth="1"/>
    <col min="12031" max="12031" width="14.552380952381" style="460" customWidth="1"/>
    <col min="12032" max="12032" width="23.552380952381" style="460" customWidth="1"/>
    <col min="12033" max="12033" width="19.4380952380952" style="460" customWidth="1"/>
    <col min="12034" max="12034" width="13.552380952381" style="460" customWidth="1"/>
    <col min="12035" max="12035" width="10.1047619047619" style="460" customWidth="1"/>
    <col min="12036" max="12036" width="24.8857142857143" style="460" customWidth="1"/>
    <col min="12037" max="12037" width="12.552380952381" style="460"/>
    <col min="12038" max="12038" width="18.552380952381" style="460" customWidth="1"/>
    <col min="12039" max="12283" width="12.552380952381" style="460"/>
    <col min="12284" max="12284" width="37" style="460" customWidth="1"/>
    <col min="12285" max="12285" width="78.6666666666667" style="460" customWidth="1"/>
    <col min="12286" max="12286" width="16" style="460" customWidth="1"/>
    <col min="12287" max="12287" width="14.552380952381" style="460" customWidth="1"/>
    <col min="12288" max="12288" width="23.552380952381" style="460" customWidth="1"/>
    <col min="12289" max="12289" width="19.4380952380952" style="460" customWidth="1"/>
    <col min="12290" max="12290" width="13.552380952381" style="460" customWidth="1"/>
    <col min="12291" max="12291" width="10.1047619047619" style="460" customWidth="1"/>
    <col min="12292" max="12292" width="24.8857142857143" style="460" customWidth="1"/>
    <col min="12293" max="12293" width="12.552380952381" style="460"/>
    <col min="12294" max="12294" width="18.552380952381" style="460" customWidth="1"/>
    <col min="12295" max="12539" width="12.552380952381" style="460"/>
    <col min="12540" max="12540" width="37" style="460" customWidth="1"/>
    <col min="12541" max="12541" width="78.6666666666667" style="460" customWidth="1"/>
    <col min="12542" max="12542" width="16" style="460" customWidth="1"/>
    <col min="12543" max="12543" width="14.552380952381" style="460" customWidth="1"/>
    <col min="12544" max="12544" width="23.552380952381" style="460" customWidth="1"/>
    <col min="12545" max="12545" width="19.4380952380952" style="460" customWidth="1"/>
    <col min="12546" max="12546" width="13.552380952381" style="460" customWidth="1"/>
    <col min="12547" max="12547" width="10.1047619047619" style="460" customWidth="1"/>
    <col min="12548" max="12548" width="24.8857142857143" style="460" customWidth="1"/>
    <col min="12549" max="12549" width="12.552380952381" style="460"/>
    <col min="12550" max="12550" width="18.552380952381" style="460" customWidth="1"/>
    <col min="12551" max="12795" width="12.552380952381" style="460"/>
    <col min="12796" max="12796" width="37" style="460" customWidth="1"/>
    <col min="12797" max="12797" width="78.6666666666667" style="460" customWidth="1"/>
    <col min="12798" max="12798" width="16" style="460" customWidth="1"/>
    <col min="12799" max="12799" width="14.552380952381" style="460" customWidth="1"/>
    <col min="12800" max="12800" width="23.552380952381" style="460" customWidth="1"/>
    <col min="12801" max="12801" width="19.4380952380952" style="460" customWidth="1"/>
    <col min="12802" max="12802" width="13.552380952381" style="460" customWidth="1"/>
    <col min="12803" max="12803" width="10.1047619047619" style="460" customWidth="1"/>
    <col min="12804" max="12804" width="24.8857142857143" style="460" customWidth="1"/>
    <col min="12805" max="12805" width="12.552380952381" style="460"/>
    <col min="12806" max="12806" width="18.552380952381" style="460" customWidth="1"/>
    <col min="12807" max="13051" width="12.552380952381" style="460"/>
    <col min="13052" max="13052" width="37" style="460" customWidth="1"/>
    <col min="13053" max="13053" width="78.6666666666667" style="460" customWidth="1"/>
    <col min="13054" max="13054" width="16" style="460" customWidth="1"/>
    <col min="13055" max="13055" width="14.552380952381" style="460" customWidth="1"/>
    <col min="13056" max="13056" width="23.552380952381" style="460" customWidth="1"/>
    <col min="13057" max="13057" width="19.4380952380952" style="460" customWidth="1"/>
    <col min="13058" max="13058" width="13.552380952381" style="460" customWidth="1"/>
    <col min="13059" max="13059" width="10.1047619047619" style="460" customWidth="1"/>
    <col min="13060" max="13060" width="24.8857142857143" style="460" customWidth="1"/>
    <col min="13061" max="13061" width="12.552380952381" style="460"/>
    <col min="13062" max="13062" width="18.552380952381" style="460" customWidth="1"/>
    <col min="13063" max="13307" width="12.552380952381" style="460"/>
    <col min="13308" max="13308" width="37" style="460" customWidth="1"/>
    <col min="13309" max="13309" width="78.6666666666667" style="460" customWidth="1"/>
    <col min="13310" max="13310" width="16" style="460" customWidth="1"/>
    <col min="13311" max="13311" width="14.552380952381" style="460" customWidth="1"/>
    <col min="13312" max="13312" width="23.552380952381" style="460" customWidth="1"/>
    <col min="13313" max="13313" width="19.4380952380952" style="460" customWidth="1"/>
    <col min="13314" max="13314" width="13.552380952381" style="460" customWidth="1"/>
    <col min="13315" max="13315" width="10.1047619047619" style="460" customWidth="1"/>
    <col min="13316" max="13316" width="24.8857142857143" style="460" customWidth="1"/>
    <col min="13317" max="13317" width="12.552380952381" style="460"/>
    <col min="13318" max="13318" width="18.552380952381" style="460" customWidth="1"/>
    <col min="13319" max="13563" width="12.552380952381" style="460"/>
    <col min="13564" max="13564" width="37" style="460" customWidth="1"/>
    <col min="13565" max="13565" width="78.6666666666667" style="460" customWidth="1"/>
    <col min="13566" max="13566" width="16" style="460" customWidth="1"/>
    <col min="13567" max="13567" width="14.552380952381" style="460" customWidth="1"/>
    <col min="13568" max="13568" width="23.552380952381" style="460" customWidth="1"/>
    <col min="13569" max="13569" width="19.4380952380952" style="460" customWidth="1"/>
    <col min="13570" max="13570" width="13.552380952381" style="460" customWidth="1"/>
    <col min="13571" max="13571" width="10.1047619047619" style="460" customWidth="1"/>
    <col min="13572" max="13572" width="24.8857142857143" style="460" customWidth="1"/>
    <col min="13573" max="13573" width="12.552380952381" style="460"/>
    <col min="13574" max="13574" width="18.552380952381" style="460" customWidth="1"/>
    <col min="13575" max="13819" width="12.552380952381" style="460"/>
    <col min="13820" max="13820" width="37" style="460" customWidth="1"/>
    <col min="13821" max="13821" width="78.6666666666667" style="460" customWidth="1"/>
    <col min="13822" max="13822" width="16" style="460" customWidth="1"/>
    <col min="13823" max="13823" width="14.552380952381" style="460" customWidth="1"/>
    <col min="13824" max="13824" width="23.552380952381" style="460" customWidth="1"/>
    <col min="13825" max="13825" width="19.4380952380952" style="460" customWidth="1"/>
    <col min="13826" max="13826" width="13.552380952381" style="460" customWidth="1"/>
    <col min="13827" max="13827" width="10.1047619047619" style="460" customWidth="1"/>
    <col min="13828" max="13828" width="24.8857142857143" style="460" customWidth="1"/>
    <col min="13829" max="13829" width="12.552380952381" style="460"/>
    <col min="13830" max="13830" width="18.552380952381" style="460" customWidth="1"/>
    <col min="13831" max="14075" width="12.552380952381" style="460"/>
    <col min="14076" max="14076" width="37" style="460" customWidth="1"/>
    <col min="14077" max="14077" width="78.6666666666667" style="460" customWidth="1"/>
    <col min="14078" max="14078" width="16" style="460" customWidth="1"/>
    <col min="14079" max="14079" width="14.552380952381" style="460" customWidth="1"/>
    <col min="14080" max="14080" width="23.552380952381" style="460" customWidth="1"/>
    <col min="14081" max="14081" width="19.4380952380952" style="460" customWidth="1"/>
    <col min="14082" max="14082" width="13.552380952381" style="460" customWidth="1"/>
    <col min="14083" max="14083" width="10.1047619047619" style="460" customWidth="1"/>
    <col min="14084" max="14084" width="24.8857142857143" style="460" customWidth="1"/>
    <col min="14085" max="14085" width="12.552380952381" style="460"/>
    <col min="14086" max="14086" width="18.552380952381" style="460" customWidth="1"/>
    <col min="14087" max="14331" width="12.552380952381" style="460"/>
    <col min="14332" max="14332" width="37" style="460" customWidth="1"/>
    <col min="14333" max="14333" width="78.6666666666667" style="460" customWidth="1"/>
    <col min="14334" max="14334" width="16" style="460" customWidth="1"/>
    <col min="14335" max="14335" width="14.552380952381" style="460" customWidth="1"/>
    <col min="14336" max="14336" width="23.552380952381" style="460" customWidth="1"/>
    <col min="14337" max="14337" width="19.4380952380952" style="460" customWidth="1"/>
    <col min="14338" max="14338" width="13.552380952381" style="460" customWidth="1"/>
    <col min="14339" max="14339" width="10.1047619047619" style="460" customWidth="1"/>
    <col min="14340" max="14340" width="24.8857142857143" style="460" customWidth="1"/>
    <col min="14341" max="14341" width="12.552380952381" style="460"/>
    <col min="14342" max="14342" width="18.552380952381" style="460" customWidth="1"/>
    <col min="14343" max="14587" width="12.552380952381" style="460"/>
    <col min="14588" max="14588" width="37" style="460" customWidth="1"/>
    <col min="14589" max="14589" width="78.6666666666667" style="460" customWidth="1"/>
    <col min="14590" max="14590" width="16" style="460" customWidth="1"/>
    <col min="14591" max="14591" width="14.552380952381" style="460" customWidth="1"/>
    <col min="14592" max="14592" width="23.552380952381" style="460" customWidth="1"/>
    <col min="14593" max="14593" width="19.4380952380952" style="460" customWidth="1"/>
    <col min="14594" max="14594" width="13.552380952381" style="460" customWidth="1"/>
    <col min="14595" max="14595" width="10.1047619047619" style="460" customWidth="1"/>
    <col min="14596" max="14596" width="24.8857142857143" style="460" customWidth="1"/>
    <col min="14597" max="14597" width="12.552380952381" style="460"/>
    <col min="14598" max="14598" width="18.552380952381" style="460" customWidth="1"/>
    <col min="14599" max="14843" width="12.552380952381" style="460"/>
    <col min="14844" max="14844" width="37" style="460" customWidth="1"/>
    <col min="14845" max="14845" width="78.6666666666667" style="460" customWidth="1"/>
    <col min="14846" max="14846" width="16" style="460" customWidth="1"/>
    <col min="14847" max="14847" width="14.552380952381" style="460" customWidth="1"/>
    <col min="14848" max="14848" width="23.552380952381" style="460" customWidth="1"/>
    <col min="14849" max="14849" width="19.4380952380952" style="460" customWidth="1"/>
    <col min="14850" max="14850" width="13.552380952381" style="460" customWidth="1"/>
    <col min="14851" max="14851" width="10.1047619047619" style="460" customWidth="1"/>
    <col min="14852" max="14852" width="24.8857142857143" style="460" customWidth="1"/>
    <col min="14853" max="14853" width="12.552380952381" style="460"/>
    <col min="14854" max="14854" width="18.552380952381" style="460" customWidth="1"/>
    <col min="14855" max="15099" width="12.552380952381" style="460"/>
    <col min="15100" max="15100" width="37" style="460" customWidth="1"/>
    <col min="15101" max="15101" width="78.6666666666667" style="460" customWidth="1"/>
    <col min="15102" max="15102" width="16" style="460" customWidth="1"/>
    <col min="15103" max="15103" width="14.552380952381" style="460" customWidth="1"/>
    <col min="15104" max="15104" width="23.552380952381" style="460" customWidth="1"/>
    <col min="15105" max="15105" width="19.4380952380952" style="460" customWidth="1"/>
    <col min="15106" max="15106" width="13.552380952381" style="460" customWidth="1"/>
    <col min="15107" max="15107" width="10.1047619047619" style="460" customWidth="1"/>
    <col min="15108" max="15108" width="24.8857142857143" style="460" customWidth="1"/>
    <col min="15109" max="15109" width="12.552380952381" style="460"/>
    <col min="15110" max="15110" width="18.552380952381" style="460" customWidth="1"/>
    <col min="15111" max="15355" width="12.552380952381" style="460"/>
    <col min="15356" max="15356" width="37" style="460" customWidth="1"/>
    <col min="15357" max="15357" width="78.6666666666667" style="460" customWidth="1"/>
    <col min="15358" max="15358" width="16" style="460" customWidth="1"/>
    <col min="15359" max="15359" width="14.552380952381" style="460" customWidth="1"/>
    <col min="15360" max="15360" width="23.552380952381" style="460" customWidth="1"/>
    <col min="15361" max="15361" width="19.4380952380952" style="460" customWidth="1"/>
    <col min="15362" max="15362" width="13.552380952381" style="460" customWidth="1"/>
    <col min="15363" max="15363" width="10.1047619047619" style="460" customWidth="1"/>
    <col min="15364" max="15364" width="24.8857142857143" style="460" customWidth="1"/>
    <col min="15365" max="15365" width="12.552380952381" style="460"/>
    <col min="15366" max="15366" width="18.552380952381" style="460" customWidth="1"/>
    <col min="15367" max="15611" width="12.552380952381" style="460"/>
    <col min="15612" max="15612" width="37" style="460" customWidth="1"/>
    <col min="15613" max="15613" width="78.6666666666667" style="460" customWidth="1"/>
    <col min="15614" max="15614" width="16" style="460" customWidth="1"/>
    <col min="15615" max="15615" width="14.552380952381" style="460" customWidth="1"/>
    <col min="15616" max="15616" width="23.552380952381" style="460" customWidth="1"/>
    <col min="15617" max="15617" width="19.4380952380952" style="460" customWidth="1"/>
    <col min="15618" max="15618" width="13.552380952381" style="460" customWidth="1"/>
    <col min="15619" max="15619" width="10.1047619047619" style="460" customWidth="1"/>
    <col min="15620" max="15620" width="24.8857142857143" style="460" customWidth="1"/>
    <col min="15621" max="15621" width="12.552380952381" style="460"/>
    <col min="15622" max="15622" width="18.552380952381" style="460" customWidth="1"/>
    <col min="15623" max="15867" width="12.552380952381" style="460"/>
    <col min="15868" max="15868" width="37" style="460" customWidth="1"/>
    <col min="15869" max="15869" width="78.6666666666667" style="460" customWidth="1"/>
    <col min="15870" max="15870" width="16" style="460" customWidth="1"/>
    <col min="15871" max="15871" width="14.552380952381" style="460" customWidth="1"/>
    <col min="15872" max="15872" width="23.552380952381" style="460" customWidth="1"/>
    <col min="15873" max="15873" width="19.4380952380952" style="460" customWidth="1"/>
    <col min="15874" max="15874" width="13.552380952381" style="460" customWidth="1"/>
    <col min="15875" max="15875" width="10.1047619047619" style="460" customWidth="1"/>
    <col min="15876" max="15876" width="24.8857142857143" style="460" customWidth="1"/>
    <col min="15877" max="15877" width="12.552380952381" style="460"/>
    <col min="15878" max="15878" width="18.552380952381" style="460" customWidth="1"/>
    <col min="15879" max="16123" width="12.552380952381" style="460"/>
    <col min="16124" max="16124" width="37" style="460" customWidth="1"/>
    <col min="16125" max="16125" width="78.6666666666667" style="460" customWidth="1"/>
    <col min="16126" max="16126" width="16" style="460" customWidth="1"/>
    <col min="16127" max="16127" width="14.552380952381" style="460" customWidth="1"/>
    <col min="16128" max="16128" width="23.552380952381" style="460" customWidth="1"/>
    <col min="16129" max="16129" width="19.4380952380952" style="460" customWidth="1"/>
    <col min="16130" max="16130" width="13.552380952381" style="460" customWidth="1"/>
    <col min="16131" max="16131" width="10.1047619047619" style="460" customWidth="1"/>
    <col min="16132" max="16132" width="24.8857142857143" style="460" customWidth="1"/>
    <col min="16133" max="16133" width="12.552380952381" style="460"/>
    <col min="16134" max="16134" width="18.552380952381" style="460" customWidth="1"/>
    <col min="16135" max="16384" width="12.552380952381" style="460"/>
  </cols>
  <sheetData>
    <row r="2" ht="38.25" spans="1:15">
      <c r="B2" s="461" t="s">
        <v>275</v>
      </c>
      <c r="C2" s="462"/>
      <c r="D2" s="462"/>
      <c r="E2" s="462"/>
      <c r="F2" s="463"/>
      <c r="G2" s="464"/>
      <c r="I2" s="465" t="s">
        <v>378</v>
      </c>
    </row>
    <row r="3" ht="21" spans="1:15">
      <c r="B3" s="466" t="s">
        <v>379</v>
      </c>
      <c r="C3" s="467"/>
      <c r="D3" s="468">
        <f>SUMIF($F$6:$F$590,"Total Equipamentos  - Frente",$G$6:$G$590)</f>
        <v>514672.70906303</v>
      </c>
      <c r="E3" s="467"/>
      <c r="F3" s="469"/>
      <c r="G3" s="470"/>
      <c r="I3" s="471" t="s">
        <v>5</v>
      </c>
    </row>
    <row r="4" ht="21.75" spans="1:15">
      <c r="B4" s="472" t="s">
        <v>380</v>
      </c>
      <c r="C4" s="473"/>
      <c r="D4" s="474">
        <f>SUMIF($F$6:$F$590,"Total Mão de Obra Equipe",$G$6:$G$590)</f>
        <v>262932.786165458</v>
      </c>
      <c r="E4" s="475"/>
      <c r="F4" s="476"/>
      <c r="G4" s="477"/>
      <c r="I4" s="471"/>
    </row>
    <row r="5" ht="21.75" spans="1:15">
      <c r="B5" s="478" t="s">
        <v>381</v>
      </c>
      <c r="C5" s="479"/>
      <c r="D5" s="480">
        <f>SUMIF($F$6:$F$590,"Prazo Execução Equipe:",$G$6:$G$590)</f>
        <v>7.45733801652892</v>
      </c>
      <c r="E5" s="481"/>
      <c r="F5" s="482"/>
      <c r="G5" s="483"/>
    </row>
    <row r="7" s="455" customFormat="1" spans="1:15">
      <c r="A7" s="458"/>
      <c r="B7" s="484"/>
      <c r="C7" s="484"/>
      <c r="D7" s="484"/>
      <c r="E7" s="484"/>
      <c r="F7" s="484"/>
      <c r="G7" s="484"/>
      <c r="H7" s="484"/>
      <c r="I7" s="484"/>
      <c r="J7" s="458"/>
      <c r="K7" s="485"/>
      <c r="L7" s="486"/>
      <c r="M7" s="487"/>
      <c r="N7" s="484"/>
      <c r="O7" s="484"/>
    </row>
    <row r="8" s="456" customFormat="1" ht="23.25" spans="1:15">
      <c r="A8" s="488"/>
      <c r="B8" s="489" t="str">
        <f>'DIMENSIONAMENTO DE EQUIPES'!B4</f>
        <v>Adutora</v>
      </c>
      <c r="C8" s="490"/>
      <c r="D8" s="490"/>
      <c r="E8" s="491"/>
      <c r="F8" s="492" t="s">
        <v>382</v>
      </c>
      <c r="G8" s="493">
        <f>'DIMENSIONAMENTO DE EQUIPES'!F4</f>
        <v>1.83159090909091</v>
      </c>
      <c r="H8" s="488"/>
      <c r="I8" s="488">
        <f>G8/2</f>
        <v>0.915795454545455</v>
      </c>
      <c r="J8" s="488"/>
      <c r="K8" s="488">
        <f>COUNTIF(F:F,F8)-1</f>
        <v>2</v>
      </c>
      <c r="L8" s="494"/>
      <c r="M8" s="495"/>
    </row>
    <row r="9" s="455" customFormat="1" ht="25.95" customHeight="1" spans="1:15">
      <c r="A9" s="458"/>
      <c r="B9" s="496" t="s">
        <v>383</v>
      </c>
      <c r="C9" s="497"/>
      <c r="D9" s="497"/>
      <c r="E9" s="497"/>
      <c r="F9" s="498"/>
      <c r="G9" s="499"/>
      <c r="H9" s="458"/>
      <c r="I9" s="458"/>
      <c r="J9" s="458"/>
      <c r="K9" s="485"/>
      <c r="L9" s="486"/>
      <c r="M9" s="487"/>
      <c r="N9" s="484"/>
      <c r="O9" s="484"/>
    </row>
    <row r="10" ht="32.4" customHeight="1" spans="1:15">
      <c r="B10" s="500" t="s">
        <v>115</v>
      </c>
      <c r="C10" s="500" t="s">
        <v>384</v>
      </c>
      <c r="D10" s="500" t="s">
        <v>385</v>
      </c>
      <c r="E10" s="501" t="s">
        <v>386</v>
      </c>
      <c r="F10" s="502" t="s">
        <v>387</v>
      </c>
      <c r="G10" s="502" t="s">
        <v>388</v>
      </c>
      <c r="H10" s="502" t="s">
        <v>389</v>
      </c>
      <c r="I10" s="503"/>
      <c r="J10" s="502" t="s">
        <v>115</v>
      </c>
      <c r="K10" s="502" t="s">
        <v>27</v>
      </c>
      <c r="L10" s="502" t="s">
        <v>40</v>
      </c>
      <c r="M10" s="502" t="s">
        <v>390</v>
      </c>
      <c r="N10" s="504" t="s">
        <v>391</v>
      </c>
    </row>
    <row r="11" spans="1:15">
      <c r="B11" s="505">
        <f>IF(C11&lt;&gt;"",INDEX('CPUs INTERNAS'!$A$2:$I$49,MATCH('CUSTO DIRETO'!C11,'CPUs INTERNAS'!$B$2:$B$48,0),1),"")</f>
        <v>5</v>
      </c>
      <c r="C11" s="506" t="s">
        <v>17</v>
      </c>
      <c r="D11" s="507">
        <v>1</v>
      </c>
      <c r="E11" s="507"/>
      <c r="F11" s="508">
        <f>IF(C11&lt;&gt;"",VLOOKUP($B11,'CPUs INTERNAS'!$A$4:$I$23,5),"")</f>
        <v>4724.95402</v>
      </c>
      <c r="G11" s="509">
        <f>IF(C11&lt;&gt;"",VLOOKUP($B11,'CPUs INTERNAS'!$A$4:$I$23,6),"")</f>
        <v>4806.95402</v>
      </c>
      <c r="H11" s="509">
        <f t="shared" ref="H11:H12" si="0">IFERROR(ROUND((D11*F11+E11*G11),2),"")</f>
        <v>4724.95</v>
      </c>
      <c r="I11" s="510"/>
      <c r="J11" s="511">
        <v>1</v>
      </c>
      <c r="K11" s="512" t="s">
        <v>123</v>
      </c>
      <c r="L11" s="507">
        <f>SUM(E11:E18)</f>
        <v>0</v>
      </c>
      <c r="M11" s="507">
        <f>IF(K11&lt;&gt;"",VLOOKUP($J11,'CPUs INTERNAS'!$A$52:$H$62,8),"")</f>
        <v>1255.5</v>
      </c>
      <c r="N11" s="513">
        <f t="shared" ref="N11:N16" si="1">IF(J11&lt;&gt;"",M11*L11,"")</f>
        <v>0</v>
      </c>
    </row>
    <row r="12" spans="1:15">
      <c r="B12" s="505">
        <f>IF(C12&lt;&gt;"",INDEX('CPUs INTERNAS'!$A$2:$I$49,MATCH('CUSTO DIRETO'!C12,'CPUs INTERNAS'!$B$2:$B$48,0),1),"")</f>
        <v>8</v>
      </c>
      <c r="C12" s="506" t="s">
        <v>20</v>
      </c>
      <c r="D12" s="507">
        <v>2</v>
      </c>
      <c r="E12" s="507"/>
      <c r="F12" s="508">
        <f>IF(C12&lt;&gt;"",VLOOKUP($B12,'CPUs INTERNAS'!$A$4:$I$23,5),"")</f>
        <v>3875.60733</v>
      </c>
      <c r="G12" s="509">
        <f>IF(C12&lt;&gt;"",VLOOKUP($B12,'CPUs INTERNAS'!$A$4:$I$23,6),"")</f>
        <v>3957.60733</v>
      </c>
      <c r="H12" s="509">
        <f t="shared" si="0"/>
        <v>7751.21</v>
      </c>
      <c r="I12" s="510"/>
      <c r="J12" s="511">
        <v>2</v>
      </c>
      <c r="K12" s="512" t="s">
        <v>124</v>
      </c>
      <c r="L12" s="507">
        <f>SUM(D11:D18)</f>
        <v>4</v>
      </c>
      <c r="M12" s="507">
        <f>IF(K12&lt;&gt;"",VLOOKUP($J12,'CPUs INTERNAS'!$A$52:$H$62,8),"")</f>
        <v>495</v>
      </c>
      <c r="N12" s="513">
        <f t="shared" si="1"/>
        <v>1980</v>
      </c>
    </row>
    <row r="13" spans="1:15">
      <c r="B13" s="505">
        <f>IF(C13&lt;&gt;"",INDEX('CPUs INTERNAS'!$A$2:$I$49,MATCH('CUSTO DIRETO'!C13,'CPUs INTERNAS'!$B$2:$B$48,0),1),"")</f>
        <v>3</v>
      </c>
      <c r="C13" s="506" t="s">
        <v>15</v>
      </c>
      <c r="D13" s="507">
        <v>1</v>
      </c>
      <c r="E13" s="507"/>
      <c r="F13" s="508">
        <f>IF(C13&lt;&gt;"",VLOOKUP($B13,'CPUs INTERNAS'!$A$4:$I$23,5),"")</f>
        <v>7916.89</v>
      </c>
      <c r="G13" s="509">
        <f>IF(C13&lt;&gt;"",VLOOKUP($B13,'CPUs INTERNAS'!$A$4:$I$23,6),"")</f>
        <v>8998.89</v>
      </c>
      <c r="H13" s="509">
        <f t="shared" ref="H13:H18" si="2">IFERROR(ROUND((D13*F13+E13*G13),2),"")</f>
        <v>7916.89</v>
      </c>
      <c r="I13" s="510"/>
      <c r="J13" s="511">
        <f>'CPUs INTERNAS'!J54</f>
        <v>0</v>
      </c>
      <c r="K13" s="512" t="str">
        <f>'CPUs INTERNAS'!$B$64</f>
        <v>EPI/UNIFORME</v>
      </c>
      <c r="L13" s="507">
        <f>L11+L12</f>
        <v>4</v>
      </c>
      <c r="M13" s="507">
        <f>'CPUs INTERNAS'!$G$64</f>
        <v>150.1475</v>
      </c>
      <c r="N13" s="513">
        <f t="shared" si="1"/>
        <v>600.59</v>
      </c>
    </row>
    <row r="14" spans="1:15">
      <c r="B14" s="505" t="str">
        <f>IF(C14&lt;&gt;"",INDEX('CPUs INTERNAS'!$A$2:$I$49,MATCH('CUSTO DIRETO'!C14,'CPUs INTERNAS'!$B$2:$B$48,0),1),"")</f>
        <v/>
      </c>
      <c r="C14" s="506"/>
      <c r="D14" s="507"/>
      <c r="E14" s="507"/>
      <c r="F14" s="508" t="str">
        <f>IF(C14&lt;&gt;"",VLOOKUP($B14,'CPUs INTERNAS'!$A$4:$I$23,5),"")</f>
        <v/>
      </c>
      <c r="G14" s="509" t="str">
        <f>IF(C14&lt;&gt;"",VLOOKUP($B14,'CPUs INTERNAS'!$A$4:$I$23,6),"")</f>
        <v/>
      </c>
      <c r="H14" s="509" t="str">
        <f t="shared" si="2"/>
        <v/>
      </c>
      <c r="I14" s="510"/>
      <c r="J14" s="511">
        <v>4</v>
      </c>
      <c r="K14" s="512" t="s">
        <v>128</v>
      </c>
      <c r="L14" s="507">
        <f>L11</f>
        <v>0</v>
      </c>
      <c r="M14" s="507">
        <f>'CPUs INTERNAS'!$F$86</f>
        <v>21</v>
      </c>
      <c r="N14" s="513">
        <f t="shared" si="1"/>
        <v>0</v>
      </c>
    </row>
    <row r="15" spans="1:15">
      <c r="B15" s="505" t="str">
        <f>IF(C15&lt;&gt;"",INDEX('CPUs INTERNAS'!$A$2:$I$49,MATCH('CUSTO DIRETO'!C15,'CPUs INTERNAS'!$B$2:$B$48,0),1),"")</f>
        <v/>
      </c>
      <c r="C15" s="506"/>
      <c r="D15" s="507"/>
      <c r="E15" s="507"/>
      <c r="F15" s="508" t="str">
        <f>IF(C15&lt;&gt;"",VLOOKUP($B15,'CPUs INTERNAS'!$A$4:$I$23,5),"")</f>
        <v/>
      </c>
      <c r="G15" s="509" t="str">
        <f>IF(C15&lt;&gt;"",VLOOKUP($B15,'CPUs INTERNAS'!$A$4:$I$23,6),"")</f>
        <v/>
      </c>
      <c r="H15" s="509" t="str">
        <f t="shared" si="2"/>
        <v/>
      </c>
      <c r="I15" s="510"/>
      <c r="J15" s="511"/>
      <c r="K15" s="512"/>
      <c r="L15" s="514"/>
      <c r="M15" s="507"/>
      <c r="N15" s="513" t="str">
        <f t="shared" si="1"/>
        <v/>
      </c>
    </row>
    <row r="16" spans="1:15">
      <c r="B16" s="505" t="str">
        <f>IF(C16&lt;&gt;"",INDEX('CPUs INTERNAS'!$A$2:$I$49,MATCH('CUSTO DIRETO'!C16,'CPUs INTERNAS'!$B$2:$B$48,0),1),"")</f>
        <v/>
      </c>
      <c r="C16" s="506"/>
      <c r="D16" s="507"/>
      <c r="E16" s="507"/>
      <c r="F16" s="508" t="str">
        <f>IF(C16&lt;&gt;"",VLOOKUP($B16,'CPUs INTERNAS'!$A$4:$I$23,5),"")</f>
        <v/>
      </c>
      <c r="G16" s="509" t="str">
        <f>IF(C16&lt;&gt;"",VLOOKUP($B16,'CPUs INTERNAS'!$A$4:$I$23,6),"")</f>
        <v/>
      </c>
      <c r="H16" s="509" t="str">
        <f t="shared" si="2"/>
        <v/>
      </c>
      <c r="I16" s="510"/>
      <c r="J16" s="511"/>
      <c r="K16" s="512"/>
      <c r="L16" s="514"/>
      <c r="M16" s="507"/>
      <c r="N16" s="513" t="str">
        <f t="shared" si="1"/>
        <v/>
      </c>
    </row>
    <row r="17" spans="2:14">
      <c r="B17" s="505" t="str">
        <f>IF(C17&lt;&gt;"",INDEX('CPUs INTERNAS'!$A$2:$I$49,MATCH('CUSTO DIRETO'!C17,'CPUs INTERNAS'!$B$2:$B$48,0),1),"")</f>
        <v/>
      </c>
      <c r="C17" s="506"/>
      <c r="D17" s="507"/>
      <c r="E17" s="507"/>
      <c r="F17" s="508" t="str">
        <f>IF(C17&lt;&gt;"",VLOOKUP($B17,'CPUs INTERNAS'!$A$4:$I$23,5),"")</f>
        <v/>
      </c>
      <c r="G17" s="509" t="str">
        <f>IF(C17&lt;&gt;"",VLOOKUP($B17,'CPUs INTERNAS'!$A$4:$I$23,6),"")</f>
        <v/>
      </c>
      <c r="H17" s="509" t="str">
        <f t="shared" si="2"/>
        <v/>
      </c>
      <c r="I17" s="510"/>
      <c r="J17" s="515"/>
      <c r="K17" s="516"/>
      <c r="L17" s="516"/>
      <c r="M17" s="517" t="s">
        <v>392</v>
      </c>
      <c r="N17" s="518">
        <f>SUM(N11:N16)</f>
        <v>2580.59</v>
      </c>
    </row>
    <row r="18" spans="2:14">
      <c r="B18" s="505" t="str">
        <f>IF(C18&lt;&gt;"",INDEX('CPUs INTERNAS'!$A$2:$I$49,MATCH('CUSTO DIRETO'!C18,'CPUs INTERNAS'!$B$2:$B$48,0),1),"")</f>
        <v/>
      </c>
      <c r="C18" s="506"/>
      <c r="D18" s="507"/>
      <c r="E18" s="507"/>
      <c r="F18" s="508" t="str">
        <f>IF(C18&lt;&gt;"",VLOOKUP($B18,'CPUs INTERNAS'!$A$4:$I$23,5),"")</f>
        <v/>
      </c>
      <c r="G18" s="509" t="str">
        <f>IF(C18&lt;&gt;"",VLOOKUP($B18,'CPUs INTERNAS'!$A$4:$I$23,6),"")</f>
        <v/>
      </c>
      <c r="H18" s="509" t="str">
        <f t="shared" si="2"/>
        <v/>
      </c>
      <c r="I18" s="510"/>
      <c r="J18" s="510"/>
    </row>
    <row r="19" spans="2:14">
      <c r="B19" s="519" t="str">
        <f>IF(C19&lt;&gt;"",INDEX('CPUs INTERNAS'!$A$2:$I$49,MATCH('CUSTO DIRETO'!C19,'CPUs INTERNAS'!$B$2:$B$48,0),1),"")</f>
        <v/>
      </c>
      <c r="C19" s="520"/>
      <c r="D19" s="520"/>
      <c r="E19" s="520"/>
      <c r="F19" s="520"/>
      <c r="G19" s="521" t="s">
        <v>392</v>
      </c>
      <c r="H19" s="522">
        <f>SUM(H11:H18)</f>
        <v>20393.05</v>
      </c>
      <c r="J19" s="523"/>
    </row>
    <row r="20" ht="32.4" customHeight="1" spans="2:14">
      <c r="B20" s="500" t="s">
        <v>115</v>
      </c>
      <c r="C20" s="500" t="s">
        <v>393</v>
      </c>
      <c r="D20" s="500" t="s">
        <v>135</v>
      </c>
      <c r="E20" s="501" t="s">
        <v>40</v>
      </c>
      <c r="F20" s="500" t="s">
        <v>390</v>
      </c>
      <c r="G20" s="524" t="s">
        <v>391</v>
      </c>
      <c r="H20" s="503"/>
      <c r="I20" s="503"/>
      <c r="J20" s="503"/>
    </row>
    <row r="21" spans="2:14">
      <c r="B21" s="505"/>
      <c r="C21" s="506" t="s">
        <v>394</v>
      </c>
      <c r="D21" s="514" t="s">
        <v>112</v>
      </c>
      <c r="E21" s="507">
        <f>PLANILHA!E138</f>
        <v>2555.69</v>
      </c>
      <c r="F21" s="507">
        <v>1.42</v>
      </c>
      <c r="G21" s="513">
        <f>IF(C21&lt;&gt;"",F21*E21,"")</f>
        <v>3629.0798</v>
      </c>
      <c r="H21" s="510"/>
      <c r="I21" s="510"/>
      <c r="J21" s="510"/>
    </row>
    <row r="22" spans="2:14">
      <c r="B22" s="505"/>
      <c r="C22" s="506" t="s">
        <v>395</v>
      </c>
      <c r="D22" s="514" t="s">
        <v>112</v>
      </c>
      <c r="E22" s="507">
        <f>PLANILHA!E135</f>
        <v>2555.69</v>
      </c>
      <c r="F22" s="507">
        <v>2.8</v>
      </c>
      <c r="G22" s="513">
        <f>IF(C22&lt;&gt;"",F22*E22,"")</f>
        <v>7155.932</v>
      </c>
      <c r="H22" s="510"/>
      <c r="I22" s="510"/>
      <c r="J22" s="510"/>
    </row>
    <row r="23" s="457" customFormat="1" spans="2:14">
      <c r="B23" s="525"/>
      <c r="C23" s="526" t="s">
        <v>396</v>
      </c>
      <c r="D23" s="527" t="s">
        <v>397</v>
      </c>
      <c r="E23" s="528">
        <f>PLANILHA!E209+PLANILHA!E210+PLANILHA!E211</f>
        <v>6</v>
      </c>
      <c r="F23" s="528">
        <f>(PLANILHA!G209+PLANILHA!G210+PLANILHA!G211)/(PLANILHA!E209+PLANILHA!E210+PLANILHA!E211)</f>
        <v>47.78</v>
      </c>
      <c r="G23" s="529">
        <f>IF(C23&lt;&gt;"",F23*E23,"")</f>
        <v>286.68</v>
      </c>
      <c r="H23" s="530" t="s">
        <v>398</v>
      </c>
      <c r="I23" s="530"/>
      <c r="J23" s="530"/>
      <c r="M23" s="531"/>
    </row>
    <row r="24" s="457" customFormat="1" spans="2:14">
      <c r="B24" s="525"/>
      <c r="C24" s="526" t="s">
        <v>399</v>
      </c>
      <c r="D24" s="527" t="s">
        <v>397</v>
      </c>
      <c r="E24" s="528">
        <f>PLANILHA!E228+PLANILHA!E229+PLANILHA!E230+PLANILHA!E231</f>
        <v>64</v>
      </c>
      <c r="F24" s="528">
        <f>(PLANILHA!G228+PLANILHA!G229+PLANILHA!G230+PLANILHA!G231)/(PLANILHA!E228+PLANILHA!E229+PLANILHA!E230+PLANILHA!E231)</f>
        <v>180.3</v>
      </c>
      <c r="G24" s="529">
        <f>IF(C24&lt;&gt;"",F24*E24,"")</f>
        <v>11539.2</v>
      </c>
      <c r="H24" s="530" t="s">
        <v>398</v>
      </c>
      <c r="I24" s="530"/>
      <c r="J24" s="530"/>
      <c r="M24" s="531"/>
    </row>
    <row r="25" spans="2:14">
      <c r="B25" s="505"/>
      <c r="C25" s="506" t="s">
        <v>400</v>
      </c>
      <c r="D25" s="514" t="s">
        <v>401</v>
      </c>
      <c r="E25" s="507">
        <v>1</v>
      </c>
      <c r="F25" s="507">
        <f>PLANILHA!G292+PLANILHA!G293</f>
        <v>56756.31</v>
      </c>
      <c r="G25" s="513">
        <f>IF(C25&lt;&gt;"",F25*E25,"")</f>
        <v>56756.31</v>
      </c>
      <c r="H25" s="510"/>
      <c r="I25" s="510"/>
      <c r="J25" s="510"/>
    </row>
    <row r="26" spans="2:14">
      <c r="B26" s="532"/>
      <c r="C26" s="520"/>
      <c r="D26" s="520"/>
      <c r="E26" s="520"/>
      <c r="F26" s="521" t="s">
        <v>402</v>
      </c>
      <c r="G26" s="522">
        <f>SUM(G21:G25)</f>
        <v>79367.2018</v>
      </c>
      <c r="H26" s="523"/>
      <c r="I26" s="523"/>
      <c r="J26" s="523"/>
    </row>
    <row r="27" ht="32.4" customHeight="1" spans="2:14">
      <c r="B27" s="533"/>
      <c r="C27" s="534"/>
      <c r="D27" s="534"/>
      <c r="E27" s="534"/>
      <c r="F27" s="534" t="s">
        <v>403</v>
      </c>
      <c r="G27" s="535">
        <f>(H19+N17)*G8+G26</f>
        <v>121445.511972727</v>
      </c>
      <c r="H27" s="536"/>
      <c r="I27" s="503"/>
      <c r="J27" s="503"/>
    </row>
    <row r="28" spans="2:14">
      <c r="B28" s="537"/>
      <c r="C28" s="537"/>
      <c r="D28" s="537"/>
      <c r="E28" s="537"/>
      <c r="F28" s="538"/>
      <c r="G28" s="523"/>
      <c r="H28" s="536"/>
      <c r="I28" s="510"/>
      <c r="J28" s="510"/>
    </row>
    <row r="29" ht="21" spans="2:14">
      <c r="B29" s="496" t="s">
        <v>404</v>
      </c>
      <c r="C29" s="539"/>
      <c r="D29" s="539"/>
      <c r="E29" s="539"/>
      <c r="F29" s="540"/>
      <c r="G29" s="541"/>
      <c r="H29" s="536"/>
      <c r="I29" s="536"/>
      <c r="K29" s="542" t="s">
        <v>405</v>
      </c>
      <c r="L29" s="543"/>
      <c r="M29" s="543"/>
      <c r="N29" s="544"/>
    </row>
    <row r="30" spans="2:14">
      <c r="B30" s="500" t="s">
        <v>115</v>
      </c>
      <c r="C30" s="500" t="s">
        <v>406</v>
      </c>
      <c r="D30" s="501" t="s">
        <v>135</v>
      </c>
      <c r="E30" s="500" t="s">
        <v>40</v>
      </c>
      <c r="F30" s="502" t="s">
        <v>407</v>
      </c>
      <c r="G30" s="545" t="s">
        <v>391</v>
      </c>
      <c r="H30" s="536"/>
      <c r="I30" s="536"/>
      <c r="K30" s="546" t="s">
        <v>134</v>
      </c>
      <c r="L30" s="546" t="s">
        <v>27</v>
      </c>
      <c r="M30" s="546" t="s">
        <v>408</v>
      </c>
      <c r="N30" s="546" t="s">
        <v>409</v>
      </c>
    </row>
    <row r="31" ht="13.8" customHeight="1" spans="2:14">
      <c r="B31" s="505">
        <f>IF(C31&lt;&gt;"",INDEX('BANCO - EQP'!$A$1:$F$53,MATCH('CUSTO DIRETO'!C31,'BANCO - EQP'!$B$1:$B$53,0),1),"")</f>
        <v>8</v>
      </c>
      <c r="C31" s="506" t="s">
        <v>224</v>
      </c>
      <c r="D31" s="547" t="str">
        <f>IF(B31&lt;&gt;"",VLOOKUP($B31,'BANCO - EQP'!$A$3:$F$391,3),"")</f>
        <v>mês</v>
      </c>
      <c r="E31" s="548">
        <v>1</v>
      </c>
      <c r="F31" s="509">
        <f>IF(B31&lt;&gt;"",VLOOKUP($B31,'BANCO - EQP'!$A$3:$F$391,6),"")</f>
        <v>8000</v>
      </c>
      <c r="G31" s="513">
        <f>IFERROR(F31*E31,"")</f>
        <v>8000</v>
      </c>
      <c r="H31" s="536"/>
      <c r="I31" s="536"/>
      <c r="K31" s="549">
        <f t="shared" ref="K31:L37" si="3">B31</f>
        <v>8</v>
      </c>
      <c r="L31" s="549" t="str">
        <f t="shared" si="3"/>
        <v>Caminhão Basculante Toco com cabine</v>
      </c>
      <c r="M31" s="549" t="str">
        <f>IFERROR(VLOOKUP($B31,'BANCO - EQP'!$A$3:$F$904,4,FALSE),"")</f>
        <v>Diesel</v>
      </c>
      <c r="N31" s="549">
        <f>IFERROR(VLOOKUP($B31,'BANCO - EQP'!$A$3:$F$904,5,FALSE)*E31,"")</f>
        <v>220</v>
      </c>
    </row>
    <row r="32" spans="2:14">
      <c r="B32" s="505">
        <f>IF(C32&lt;&gt;"",INDEX('BANCO - EQP'!$A$1:$F$53,MATCH('CUSTO DIRETO'!C32,'BANCO - EQP'!$B$1:$B$53,0),1),"")</f>
        <v>13</v>
      </c>
      <c r="C32" s="506" t="s">
        <v>231</v>
      </c>
      <c r="D32" s="547" t="str">
        <f>IF(B32&lt;&gt;"",VLOOKUP($B32,'BANCO - EQP'!$A$3:$F$391,3),"")</f>
        <v>mês</v>
      </c>
      <c r="E32" s="548">
        <v>2</v>
      </c>
      <c r="F32" s="509">
        <f>IF(B32&lt;&gt;"",VLOOKUP($B32,'BANCO - EQP'!$A$3:$F$391,6),"")</f>
        <v>1040</v>
      </c>
      <c r="G32" s="513">
        <f t="shared" ref="G32:G43" si="4">IFERROR(F32*E32,"")</f>
        <v>2080</v>
      </c>
      <c r="H32" s="536"/>
      <c r="I32" s="536"/>
      <c r="K32" s="549">
        <f t="shared" si="3"/>
        <v>13</v>
      </c>
      <c r="L32" s="549" t="str">
        <f>C32</f>
        <v>Compactador</v>
      </c>
      <c r="M32" s="549" t="str">
        <f>IFERROR(VLOOKUP($B32,'BANCO - EQP'!$A$3:$F$904,4,FALSE),"")</f>
        <v>Gasolina</v>
      </c>
      <c r="N32" s="549">
        <f>IFERROR(VLOOKUP($B32,'BANCO - EQP'!$A$3:$F$904,5,FALSE)*E32,"")</f>
        <v>580.8</v>
      </c>
    </row>
    <row r="33" spans="2:14">
      <c r="B33" s="505">
        <f>IF(C33&lt;&gt;"",INDEX('BANCO - EQP'!$A$1:$F$53,MATCH('CUSTO DIRETO'!C33,'BANCO - EQP'!$B$1:$B$53,0),1),"")</f>
        <v>17</v>
      </c>
      <c r="C33" s="506" t="s">
        <v>236</v>
      </c>
      <c r="D33" s="547" t="str">
        <f>IF(B33&lt;&gt;"",VLOOKUP($B33,'BANCO - EQP'!$A$3:$F$391,3),"")</f>
        <v>mês</v>
      </c>
      <c r="E33" s="548">
        <v>1</v>
      </c>
      <c r="F33" s="509">
        <f>IF(B33&lt;&gt;"",VLOOKUP($B33,'BANCO - EQP'!$A$3:$F$391,6),"")</f>
        <v>1920</v>
      </c>
      <c r="G33" s="513">
        <f t="shared" si="4"/>
        <v>1920</v>
      </c>
      <c r="H33" s="536"/>
      <c r="I33" s="536"/>
      <c r="K33" s="549">
        <f t="shared" si="3"/>
        <v>17</v>
      </c>
      <c r="L33" s="549" t="str">
        <f>C33</f>
        <v>Gerador</v>
      </c>
      <c r="M33" s="549" t="str">
        <f>IFERROR(VLOOKUP($B33,'BANCO - EQP'!$A$3:$F$904,4,FALSE),"")</f>
        <v>Gasolina</v>
      </c>
      <c r="N33" s="549">
        <f>IFERROR(VLOOKUP($B33,'BANCO - EQP'!$A$3:$F$904,5,FALSE)*E33,"")</f>
        <v>200</v>
      </c>
    </row>
    <row r="34" spans="2:14">
      <c r="B34" s="505">
        <f>IF(C34&lt;&gt;"",INDEX('BANCO - EQP'!$A$1:$F$53,MATCH('CUSTO DIRETO'!C34,'BANCO - EQP'!$B$1:$B$53,0),1),"")</f>
        <v>14</v>
      </c>
      <c r="C34" s="506" t="s">
        <v>232</v>
      </c>
      <c r="D34" s="547" t="str">
        <f>IF(B34&lt;&gt;"",VLOOKUP($B34,'BANCO - EQP'!$A$3:$F$391,3),"")</f>
        <v>mês</v>
      </c>
      <c r="E34" s="548">
        <v>1</v>
      </c>
      <c r="F34" s="509">
        <f>IF(B34&lt;&gt;"",VLOOKUP($B34,'BANCO - EQP'!$A$3:$F$391,6),"")</f>
        <v>34000</v>
      </c>
      <c r="G34" s="513">
        <f t="shared" si="4"/>
        <v>34000</v>
      </c>
      <c r="H34" s="536"/>
      <c r="I34" s="536"/>
      <c r="K34" s="549">
        <f t="shared" si="3"/>
        <v>14</v>
      </c>
      <c r="L34" s="549" t="str">
        <f t="shared" si="3"/>
        <v>Escavadeira</v>
      </c>
      <c r="M34" s="549" t="str">
        <f>IFERROR(VLOOKUP($B34,'BANCO - EQP'!$A$3:$F$904,4,FALSE),"")</f>
        <v>Diesel</v>
      </c>
      <c r="N34" s="549">
        <f>IFERROR(VLOOKUP($B34,'BANCO - EQP'!$A$3:$F$904,5,FALSE)*E34,"")</f>
        <v>1689.6</v>
      </c>
    </row>
    <row r="35" spans="2:14">
      <c r="B35" s="505">
        <f>IF(C35&lt;&gt;"",INDEX('BANCO - EQP'!$A$1:$F$53,MATCH('CUSTO DIRETO'!C35,'BANCO - EQP'!$B$1:$B$53,0),1),"")</f>
        <v>7</v>
      </c>
      <c r="C35" s="506" t="s">
        <v>223</v>
      </c>
      <c r="D35" s="547" t="str">
        <f>IF(B35&lt;&gt;"",VLOOKUP($B35,'BANCO - EQP'!$A$3:$F$391,3),"")</f>
        <v>mês</v>
      </c>
      <c r="E35" s="548">
        <v>1</v>
      </c>
      <c r="F35" s="509">
        <f>IF(B35&lt;&gt;"",VLOOKUP($B35,'BANCO - EQP'!$A$3:$F$391,6),"")</f>
        <v>800</v>
      </c>
      <c r="G35" s="513">
        <f t="shared" si="4"/>
        <v>800</v>
      </c>
      <c r="H35" s="536"/>
      <c r="I35" s="536"/>
      <c r="K35" s="549">
        <f t="shared" si="3"/>
        <v>7</v>
      </c>
      <c r="L35" s="549" t="str">
        <f t="shared" si="3"/>
        <v>Bomba elétrica</v>
      </c>
      <c r="M35" s="549">
        <f>IFERROR(VLOOKUP($B35,'BANCO - EQP'!$A$3:$F$904,4,FALSE),"")</f>
        <v>0</v>
      </c>
      <c r="N35" s="549">
        <f>IFERROR(VLOOKUP($B35,'BANCO - EQP'!$A$3:$F$904,5,FALSE)*E35,"")</f>
        <v>0</v>
      </c>
    </row>
    <row r="36" spans="2:14">
      <c r="B36" s="505">
        <f>IF(C36&lt;&gt;"",INDEX('BANCO - EQP'!$A$1:$F$53,MATCH('CUSTO DIRETO'!C36,'BANCO - EQP'!$B$1:$B$53,0),1),"")</f>
        <v>28</v>
      </c>
      <c r="C36" s="506" t="s">
        <v>247</v>
      </c>
      <c r="D36" s="547" t="str">
        <f>IF(B36&lt;&gt;"",VLOOKUP($B36,'BANCO - EQP'!$A$3:$F$391,3),"")</f>
        <v>mês</v>
      </c>
      <c r="E36" s="548">
        <v>1</v>
      </c>
      <c r="F36" s="509">
        <f>IF(B36&lt;&gt;"",VLOOKUP($B36,'BANCO - EQP'!$A$3:$F$391,6),"")</f>
        <v>1810</v>
      </c>
      <c r="G36" s="513">
        <f t="shared" si="4"/>
        <v>1810</v>
      </c>
      <c r="H36" s="536"/>
      <c r="I36" s="536"/>
      <c r="K36" s="549">
        <f t="shared" si="3"/>
        <v>28</v>
      </c>
      <c r="L36" s="549" t="str">
        <f t="shared" si="3"/>
        <v>Serra clipper (4 discos/mês)</v>
      </c>
      <c r="M36" s="549" t="str">
        <f>IFERROR(VLOOKUP($B36,'BANCO - EQP'!$A$3:$F$904,4,FALSE),"")</f>
        <v>Gasolina</v>
      </c>
      <c r="N36" s="549">
        <f>IFERROR(VLOOKUP($B36,'BANCO - EQP'!$A$3:$F$904,5,FALSE)*E36,"")</f>
        <v>61.6</v>
      </c>
    </row>
    <row r="37" spans="2:14">
      <c r="B37" s="505">
        <f>IF(C37&lt;&gt;"",INDEX('BANCO - EQP'!$A$1:$F$53,MATCH('CUSTO DIRETO'!C37,'BANCO - EQP'!$B$1:$B$53,0),1),"")</f>
        <v>11</v>
      </c>
      <c r="C37" s="506" t="s">
        <v>227</v>
      </c>
      <c r="D37" s="547" t="str">
        <f>IF(B37&lt;&gt;"",VLOOKUP($B37,'BANCO - EQP'!$A$3:$F$391,3),"")</f>
        <v>mês</v>
      </c>
      <c r="E37" s="548">
        <v>1</v>
      </c>
      <c r="F37" s="509">
        <f>IF(B37&lt;&gt;"",VLOOKUP($B37,'BANCO - EQP'!$A$3:$F$391,6),"")</f>
        <v>18000</v>
      </c>
      <c r="G37" s="513">
        <f t="shared" si="4"/>
        <v>18000</v>
      </c>
      <c r="H37" s="536"/>
      <c r="I37" s="536"/>
      <c r="K37" s="549">
        <f t="shared" si="3"/>
        <v>11</v>
      </c>
      <c r="L37" s="549" t="str">
        <f t="shared" si="3"/>
        <v>Caminhão Pipa</v>
      </c>
      <c r="M37" s="549" t="str">
        <f>IFERROR(VLOOKUP($B37,'BANCO - EQP'!$A$3:$F$904,4,FALSE),"")</f>
        <v>Diesel</v>
      </c>
      <c r="N37" s="549">
        <f>IFERROR(VLOOKUP($B37,'BANCO - EQP'!$A$3:$F$904,5,FALSE)*E37,"")</f>
        <v>293.333333333333</v>
      </c>
    </row>
    <row r="38" spans="2:14">
      <c r="B38" s="505">
        <f>IF(C38&lt;&gt;"",INDEX('BANCO - EQP'!$A$1:$F$53,MATCH('CUSTO DIRETO'!C38,'BANCO - EQP'!$B$1:$B$53,0),1),"")</f>
        <v>22</v>
      </c>
      <c r="C38" s="506" t="s">
        <v>241</v>
      </c>
      <c r="D38" s="547" t="str">
        <f>IF(B38&lt;&gt;"",VLOOKUP($B38,'BANCO - EQP'!$A$3:$F$391,3),"")</f>
        <v>hora</v>
      </c>
      <c r="E38" s="548">
        <v>180</v>
      </c>
      <c r="F38" s="509">
        <f>IF(B38&lt;&gt;"",VLOOKUP($B38,'BANCO - EQP'!$A$3:$F$391,6),"")</f>
        <v>105.555555555556</v>
      </c>
      <c r="G38" s="513">
        <f t="shared" si="4"/>
        <v>19000</v>
      </c>
      <c r="H38" s="536"/>
      <c r="I38" s="536"/>
      <c r="K38" s="549">
        <f t="shared" ref="K38:K43" si="5">B35</f>
        <v>7</v>
      </c>
      <c r="L38" s="549" t="str">
        <f t="shared" ref="L38:L43" si="6">C35</f>
        <v>Bomba elétrica</v>
      </c>
      <c r="M38" s="549">
        <f>IFERROR(VLOOKUP($B35,'BANCO - EQP'!$A$3:$F$904,4,FALSE),"")</f>
        <v>0</v>
      </c>
      <c r="N38" s="549">
        <f>IFERROR(VLOOKUP($B35,'BANCO - EQP'!$A$3:$F$904,5,FALSE)*E35,"")</f>
        <v>0</v>
      </c>
    </row>
    <row r="39" spans="2:14">
      <c r="B39" s="505" t="str">
        <f>IF(C39&lt;&gt;"",INDEX('BANCO - EQP'!$A$1:$F$53,MATCH('CUSTO DIRETO'!C39,'BANCO - EQP'!$B$1:$B$53,0),1),"")</f>
        <v/>
      </c>
      <c r="C39" s="506"/>
      <c r="D39" s="547" t="str">
        <f>IF(B39&lt;&gt;"",VLOOKUP($B39,'BANCO - EQP'!$A$3:$F$391,3),"")</f>
        <v/>
      </c>
      <c r="E39" s="548"/>
      <c r="F39" s="509" t="str">
        <f>IF(B39&lt;&gt;"",VLOOKUP($B39,'BANCO - EQP'!$A$3:$F$391,6),"")</f>
        <v/>
      </c>
      <c r="G39" s="513" t="str">
        <f t="shared" si="4"/>
        <v/>
      </c>
      <c r="H39" s="536"/>
      <c r="I39" s="536"/>
      <c r="K39" s="549">
        <f t="shared" si="5"/>
        <v>28</v>
      </c>
      <c r="L39" s="549" t="str">
        <f t="shared" si="6"/>
        <v>Serra clipper (4 discos/mês)</v>
      </c>
      <c r="M39" s="549" t="str">
        <f>IFERROR(VLOOKUP($B36,'BANCO - EQP'!$A$3:$F$904,4,FALSE),"")</f>
        <v>Gasolina</v>
      </c>
      <c r="N39" s="549">
        <f>IFERROR(VLOOKUP($B36,'BANCO - EQP'!$A$3:$F$904,5,FALSE)*E36,"")</f>
        <v>61.6</v>
      </c>
    </row>
    <row r="40" spans="2:14">
      <c r="B40" s="505" t="str">
        <f>IF(C40&lt;&gt;"",INDEX('BANCO - EQP'!$A$1:$F$53,MATCH('CUSTO DIRETO'!C40,'BANCO - EQP'!$B$1:$B$53,0),1),"")</f>
        <v/>
      </c>
      <c r="C40" s="506"/>
      <c r="D40" s="547" t="str">
        <f>IF(B40&lt;&gt;"",VLOOKUP($B40,'BANCO - EQP'!$A$3:$F$391,3),"")</f>
        <v/>
      </c>
      <c r="E40" s="548"/>
      <c r="F40" s="509" t="str">
        <f>IF(B40&lt;&gt;"",VLOOKUP($B40,'BANCO - EQP'!$A$3:$F$391,6),"")</f>
        <v/>
      </c>
      <c r="G40" s="513" t="str">
        <f t="shared" si="4"/>
        <v/>
      </c>
      <c r="H40" s="536"/>
      <c r="I40" s="536"/>
      <c r="K40" s="549">
        <f t="shared" si="5"/>
        <v>11</v>
      </c>
      <c r="L40" s="549" t="str">
        <f t="shared" si="6"/>
        <v>Caminhão Pipa</v>
      </c>
      <c r="M40" s="549" t="str">
        <f>IFERROR(VLOOKUP($B37,'BANCO - EQP'!$A$3:$F$904,4,FALSE),"")</f>
        <v>Diesel</v>
      </c>
      <c r="N40" s="549">
        <f>IFERROR(VLOOKUP($B37,'BANCO - EQP'!$A$3:$F$904,5,FALSE)*E37,"")</f>
        <v>293.333333333333</v>
      </c>
    </row>
    <row r="41" spans="2:14">
      <c r="B41" s="505" t="str">
        <f>IF(C41&lt;&gt;"",INDEX('BANCO - EQP'!$A$1:$F$53,MATCH('CUSTO DIRETO'!C41,'BANCO - EQP'!$B$1:$B$53,0),1),"")</f>
        <v/>
      </c>
      <c r="C41" s="506"/>
      <c r="D41" s="547" t="str">
        <f>IF(B41&lt;&gt;"",VLOOKUP($B41,'BANCO - EQP'!$A$3:$F$391,3),"")</f>
        <v/>
      </c>
      <c r="E41" s="548"/>
      <c r="F41" s="509" t="str">
        <f>IF(B41&lt;&gt;"",VLOOKUP($B41,'BANCO - EQP'!$A$3:$F$391,6),"")</f>
        <v/>
      </c>
      <c r="G41" s="513" t="str">
        <f t="shared" si="4"/>
        <v/>
      </c>
      <c r="H41" s="536"/>
      <c r="I41" s="536"/>
      <c r="K41" s="549">
        <f t="shared" si="5"/>
        <v>22</v>
      </c>
      <c r="L41" s="549" t="str">
        <f t="shared" si="6"/>
        <v>Retro Escavadeira</v>
      </c>
      <c r="M41" s="549" t="str">
        <f>IFERROR(VLOOKUP($B38,'BANCO - EQP'!$A$3:$F$904,4,FALSE),"")</f>
        <v>Diesel</v>
      </c>
      <c r="N41" s="549">
        <f>IFERROR(VLOOKUP($B38,'BANCO - EQP'!$A$3:$F$904,5,FALSE)*E38,"")</f>
        <v>864</v>
      </c>
    </row>
    <row r="42" spans="2:14">
      <c r="B42" s="505" t="str">
        <f>IF(C42&lt;&gt;"",INDEX('BANCO - EQP'!$A$1:$F$53,MATCH('CUSTO DIRETO'!C42,'BANCO - EQP'!$B$1:$B$53,0),1),"")</f>
        <v/>
      </c>
      <c r="C42" s="506"/>
      <c r="D42" s="547" t="str">
        <f>IF(B42&lt;&gt;"",VLOOKUP($B42,'BANCO - EQP'!$A$3:$F$391,3),"")</f>
        <v/>
      </c>
      <c r="E42" s="548"/>
      <c r="F42" s="509" t="str">
        <f>IF(B42&lt;&gt;"",VLOOKUP($B42,'BANCO - EQP'!$A$3:$F$391,6),"")</f>
        <v/>
      </c>
      <c r="G42" s="513" t="str">
        <f t="shared" si="4"/>
        <v/>
      </c>
      <c r="H42" s="536"/>
      <c r="I42" s="536"/>
      <c r="K42" s="549" t="str">
        <f t="shared" si="5"/>
        <v/>
      </c>
      <c r="L42" s="549">
        <f t="shared" si="6"/>
        <v>0</v>
      </c>
      <c r="M42" s="549" t="str">
        <f>IFERROR(VLOOKUP($B39,'BANCO - EQP'!$A$3:$F$904,4,FALSE),"")</f>
        <v/>
      </c>
      <c r="N42" s="549" t="str">
        <f>IFERROR(VLOOKUP($B39,'BANCO - EQP'!$A$3:$F$904,5,FALSE)*E39,"")</f>
        <v/>
      </c>
    </row>
    <row r="43" spans="2:14">
      <c r="B43" s="505" t="str">
        <f>IF(C43&lt;&gt;"",INDEX('BANCO - EQP'!$A$1:$F$53,MATCH('CUSTO DIRETO'!C43,'BANCO - EQP'!$B$1:$B$53,0),1),"")</f>
        <v/>
      </c>
      <c r="C43" s="506"/>
      <c r="D43" s="547" t="str">
        <f>IF(B43&lt;&gt;"",VLOOKUP($B43,'BANCO - EQP'!$A$3:$F$391,3),"")</f>
        <v/>
      </c>
      <c r="E43" s="548"/>
      <c r="F43" s="509" t="str">
        <f>IF(B43&lt;&gt;"",VLOOKUP($B43,'BANCO - EQP'!$A$3:$F$391,6),"")</f>
        <v/>
      </c>
      <c r="G43" s="513" t="str">
        <f t="shared" si="4"/>
        <v/>
      </c>
      <c r="H43" s="536"/>
      <c r="I43" s="536"/>
      <c r="K43" s="549" t="str">
        <f t="shared" si="5"/>
        <v/>
      </c>
      <c r="L43" s="549">
        <f t="shared" si="6"/>
        <v>0</v>
      </c>
      <c r="M43" s="549" t="str">
        <f>IFERROR(VLOOKUP($B40,'BANCO - EQP'!$A$3:$F$904,4,FALSE),"")</f>
        <v/>
      </c>
      <c r="N43" s="549" t="str">
        <f>IFERROR(VLOOKUP($B40,'BANCO - EQP'!$A$3:$F$904,5,FALSE)*E40,"")</f>
        <v/>
      </c>
    </row>
    <row r="44" spans="2:14">
      <c r="B44" s="550">
        <v>1</v>
      </c>
      <c r="C44" s="551" t="s">
        <v>214</v>
      </c>
      <c r="D44" s="552">
        <f>N44</f>
        <v>3360.26666666667</v>
      </c>
      <c r="E44" s="553" t="s">
        <v>215</v>
      </c>
      <c r="F44" s="554">
        <f>IF(B44&lt;&gt;"",VLOOKUP($B44,'BANCO - EQP'!$A$3:$F$391,6),"")</f>
        <v>8</v>
      </c>
      <c r="G44" s="554">
        <f>F44*D44</f>
        <v>26882.1333333333</v>
      </c>
      <c r="H44" s="536"/>
      <c r="I44" s="536"/>
      <c r="K44" s="555">
        <f>B44</f>
        <v>1</v>
      </c>
      <c r="L44" s="556" t="str">
        <f>C44</f>
        <v>Diesel</v>
      </c>
      <c r="M44" s="557"/>
      <c r="N44" s="558">
        <f>SUMIF(M31:M50,L44,N31:N50)</f>
        <v>3360.26666666667</v>
      </c>
    </row>
    <row r="45" spans="2:14">
      <c r="B45" s="550">
        <v>2</v>
      </c>
      <c r="C45" s="551" t="s">
        <v>217</v>
      </c>
      <c r="D45" s="552">
        <f>N45</f>
        <v>904</v>
      </c>
      <c r="E45" s="553" t="s">
        <v>215</v>
      </c>
      <c r="F45" s="554">
        <f>IF(B45&lt;&gt;"",VLOOKUP($B45,'BANCO - EQP'!$A$3:$F$391,6),"")</f>
        <v>6</v>
      </c>
      <c r="G45" s="554">
        <f>F45*D45</f>
        <v>5424</v>
      </c>
      <c r="H45" s="536"/>
      <c r="I45" s="536"/>
      <c r="K45" s="555">
        <f>B45</f>
        <v>2</v>
      </c>
      <c r="L45" s="556" t="str">
        <f>C45</f>
        <v>Gasolina</v>
      </c>
      <c r="M45" s="557"/>
      <c r="N45" s="558">
        <f>SUMIF(M31:M50,L45,N31:N50)</f>
        <v>904</v>
      </c>
    </row>
    <row r="46" spans="2:14">
      <c r="B46" s="519"/>
      <c r="C46" s="520"/>
      <c r="D46" s="520"/>
      <c r="E46" s="520"/>
      <c r="F46" s="521" t="s">
        <v>392</v>
      </c>
      <c r="G46" s="522">
        <f>SUM(G31:G45)</f>
        <v>117916.133333333</v>
      </c>
      <c r="H46" s="536"/>
      <c r="I46" s="536"/>
      <c r="K46" s="549"/>
      <c r="L46" s="549"/>
      <c r="M46" s="549"/>
      <c r="N46" s="549"/>
    </row>
    <row r="47" ht="15.75" spans="2:14">
      <c r="B47" s="559" t="s">
        <v>393</v>
      </c>
      <c r="C47" s="560"/>
      <c r="D47" s="560"/>
      <c r="E47" s="560"/>
      <c r="F47" s="561"/>
      <c r="G47" s="562"/>
      <c r="H47" s="536"/>
      <c r="I47" s="536"/>
      <c r="K47" s="549" t="str">
        <f>B47</f>
        <v>Empreiteiros</v>
      </c>
      <c r="L47" s="549"/>
      <c r="M47" s="549"/>
      <c r="N47" s="549"/>
    </row>
    <row r="48" spans="2:14">
      <c r="B48" s="500" t="s">
        <v>115</v>
      </c>
      <c r="C48" s="500" t="s">
        <v>410</v>
      </c>
      <c r="D48" s="501" t="s">
        <v>135</v>
      </c>
      <c r="E48" s="500" t="s">
        <v>40</v>
      </c>
      <c r="F48" s="502" t="s">
        <v>407</v>
      </c>
      <c r="G48" s="545" t="s">
        <v>391</v>
      </c>
      <c r="H48" s="536"/>
      <c r="I48" s="536"/>
      <c r="K48" s="549"/>
      <c r="L48" s="549"/>
      <c r="M48" s="549"/>
      <c r="N48" s="549"/>
    </row>
    <row r="49" spans="1:15">
      <c r="B49" s="505"/>
      <c r="C49" s="506" t="s">
        <v>411</v>
      </c>
      <c r="D49" s="547" t="s">
        <v>412</v>
      </c>
      <c r="E49" s="547">
        <f>PLANILHA!E175+PLANILHA!E176+PLANILHA!E177+PLANILHA!E178</f>
        <v>175682.78</v>
      </c>
      <c r="F49" s="547">
        <v>1.5</v>
      </c>
      <c r="G49" s="513">
        <f>IF(C49&lt;&gt;"",F49*E49,"")</f>
        <v>263524.17</v>
      </c>
      <c r="H49" s="536">
        <f>PLANILHA!G175+PLANILHA!G176+PLANILHA!G177+PLANILHA!G178</f>
        <v>358954.83</v>
      </c>
      <c r="I49" s="536"/>
      <c r="K49" s="549"/>
      <c r="L49" s="549"/>
      <c r="M49" s="549"/>
      <c r="N49" s="549"/>
    </row>
    <row r="50" spans="1:15">
      <c r="B50" s="505"/>
      <c r="C50" s="506"/>
      <c r="D50" s="547"/>
      <c r="E50" s="547"/>
      <c r="F50" s="547"/>
      <c r="G50" s="513" t="str">
        <f>IF(C50&lt;&gt;"",F50*E50,"")</f>
        <v/>
      </c>
      <c r="H50" s="536"/>
      <c r="I50" s="536"/>
      <c r="K50" s="549"/>
      <c r="L50" s="549"/>
      <c r="M50" s="549"/>
      <c r="N50" s="549"/>
    </row>
    <row r="51" spans="1:15">
      <c r="B51" s="532"/>
      <c r="C51" s="520"/>
      <c r="D51" s="520"/>
      <c r="E51" s="520"/>
      <c r="F51" s="521" t="s">
        <v>402</v>
      </c>
      <c r="G51" s="522">
        <f>SUM(G49:G50)</f>
        <v>263524.17</v>
      </c>
      <c r="H51" s="536"/>
      <c r="I51" s="536"/>
    </row>
    <row r="52" spans="1:15">
      <c r="B52" s="533"/>
      <c r="C52" s="534"/>
      <c r="D52" s="534"/>
      <c r="E52" s="534"/>
      <c r="F52" s="534" t="s">
        <v>413</v>
      </c>
      <c r="G52" s="535">
        <f>(G46*G8)+G51</f>
        <v>479498.287848485</v>
      </c>
      <c r="H52" s="536"/>
      <c r="I52" s="536"/>
    </row>
    <row r="53" ht="15.75" spans="1:15">
      <c r="B53" s="563"/>
      <c r="C53" s="564"/>
      <c r="D53" s="564"/>
      <c r="E53" s="564"/>
      <c r="F53" s="565" t="s">
        <v>414</v>
      </c>
      <c r="G53" s="566">
        <f>G52+G27</f>
        <v>600943.799821212</v>
      </c>
      <c r="H53" s="536"/>
      <c r="I53" s="536"/>
    </row>
    <row r="54" spans="1:15">
      <c r="F54" s="567"/>
      <c r="G54" s="567"/>
      <c r="H54" s="568"/>
      <c r="I54" s="536"/>
    </row>
    <row r="55" s="456" customFormat="1" ht="23.25" spans="1:15">
      <c r="A55" s="488"/>
      <c r="B55" s="489" t="s">
        <v>324</v>
      </c>
      <c r="C55" s="490"/>
      <c r="D55" s="490"/>
      <c r="E55" s="491"/>
      <c r="F55" s="492" t="s">
        <v>382</v>
      </c>
      <c r="G55" s="493">
        <f>'INDICE CIVIL'!N86</f>
        <v>5.62574710743802</v>
      </c>
      <c r="H55" s="488"/>
      <c r="I55" s="488">
        <f>G55/2</f>
        <v>2.81287355371901</v>
      </c>
      <c r="J55" s="488"/>
      <c r="K55" s="488">
        <f>COUNTIF(F:F,F55)-1</f>
        <v>2</v>
      </c>
      <c r="L55" s="494"/>
      <c r="M55" s="495"/>
    </row>
    <row r="56" s="455" customFormat="1" ht="25.95" customHeight="1" spans="1:15">
      <c r="A56" s="458"/>
      <c r="B56" s="496" t="s">
        <v>383</v>
      </c>
      <c r="C56" s="497"/>
      <c r="D56" s="497"/>
      <c r="E56" s="497"/>
      <c r="F56" s="498"/>
      <c r="G56" s="499"/>
      <c r="H56" s="458"/>
      <c r="I56" s="458"/>
      <c r="J56" s="458"/>
      <c r="K56" s="485"/>
      <c r="L56" s="486"/>
      <c r="M56" s="487"/>
      <c r="N56" s="484"/>
      <c r="O56" s="484"/>
    </row>
    <row r="57" ht="32.4" customHeight="1" spans="1:15">
      <c r="B57" s="500" t="s">
        <v>115</v>
      </c>
      <c r="C57" s="500" t="s">
        <v>384</v>
      </c>
      <c r="D57" s="500" t="s">
        <v>385</v>
      </c>
      <c r="E57" s="501" t="s">
        <v>386</v>
      </c>
      <c r="F57" s="502" t="s">
        <v>387</v>
      </c>
      <c r="G57" s="502" t="s">
        <v>388</v>
      </c>
      <c r="H57" s="502" t="s">
        <v>389</v>
      </c>
      <c r="I57" s="503"/>
      <c r="J57" s="502" t="s">
        <v>115</v>
      </c>
      <c r="K57" s="502" t="s">
        <v>27</v>
      </c>
      <c r="L57" s="502" t="s">
        <v>40</v>
      </c>
      <c r="M57" s="502" t="s">
        <v>390</v>
      </c>
      <c r="N57" s="504" t="s">
        <v>391</v>
      </c>
    </row>
    <row r="58" spans="1:15">
      <c r="B58" s="505">
        <f>IF(C58&lt;&gt;"",INDEX('CPUs INTERNAS'!$A$2:$I$49,MATCH('CUSTO DIRETO'!C58,'CPUs INTERNAS'!$B$2:$B$48,0),1),"")</f>
        <v>5</v>
      </c>
      <c r="C58" s="506" t="s">
        <v>17</v>
      </c>
      <c r="D58" s="507">
        <f>'INDICE CIVIL'!$K$86</f>
        <v>1</v>
      </c>
      <c r="E58" s="507"/>
      <c r="F58" s="508">
        <f>IF(C58&lt;&gt;"",VLOOKUP($B58,'CPUs INTERNAS'!$A$4:$I$23,5),"")</f>
        <v>4724.95402</v>
      </c>
      <c r="G58" s="509">
        <f>IF(C58&lt;&gt;"",VLOOKUP($B58,'CPUs INTERNAS'!$A$4:$I$23,6),"")</f>
        <v>4806.95402</v>
      </c>
      <c r="H58" s="509">
        <f t="shared" ref="H58:H59" si="7">IFERROR(ROUND((D58*F58+E58*G58),2),"")</f>
        <v>4724.95</v>
      </c>
      <c r="I58" s="510"/>
      <c r="J58" s="511">
        <v>1</v>
      </c>
      <c r="K58" s="512" t="s">
        <v>123</v>
      </c>
      <c r="L58" s="507">
        <f>SUM(E58:E65)</f>
        <v>0</v>
      </c>
      <c r="M58" s="507">
        <f>IF(K58&lt;&gt;"",VLOOKUP($J58,'CPUs INTERNAS'!$A$52:$H$62,8),"")</f>
        <v>1255.5</v>
      </c>
      <c r="N58" s="513">
        <f t="shared" ref="N58:N63" si="8">IF(J58&lt;&gt;"",M58*L58,"")</f>
        <v>0</v>
      </c>
    </row>
    <row r="59" spans="1:15">
      <c r="B59" s="505">
        <f>IF(C59&lt;&gt;"",INDEX('CPUs INTERNAS'!$A$2:$I$49,MATCH('CUSTO DIRETO'!C59,'CPUs INTERNAS'!$B$2:$B$48,0),1),"")</f>
        <v>8</v>
      </c>
      <c r="C59" s="506" t="s">
        <v>20</v>
      </c>
      <c r="D59" s="507">
        <f>'INDICE CIVIL'!$L$86</f>
        <v>1.29625252685873</v>
      </c>
      <c r="E59" s="507"/>
      <c r="F59" s="508">
        <f>IF(C59&lt;&gt;"",VLOOKUP($B59,'CPUs INTERNAS'!$A$4:$I$23,5),"")</f>
        <v>3875.60733</v>
      </c>
      <c r="G59" s="509">
        <f>IF(C59&lt;&gt;"",VLOOKUP($B59,'CPUs INTERNAS'!$A$4:$I$23,6),"")</f>
        <v>3957.60733</v>
      </c>
      <c r="H59" s="509">
        <f t="shared" si="7"/>
        <v>5023.77</v>
      </c>
      <c r="I59" s="510"/>
      <c r="J59" s="511">
        <v>2</v>
      </c>
      <c r="K59" s="512" t="s">
        <v>124</v>
      </c>
      <c r="L59" s="507">
        <f>SUM(D58:D65)</f>
        <v>3.29625252685872</v>
      </c>
      <c r="M59" s="507">
        <f>IF(K59&lt;&gt;"",VLOOKUP($J59,'CPUs INTERNAS'!$A$52:$H$62,8),"")</f>
        <v>495</v>
      </c>
      <c r="N59" s="513">
        <f t="shared" si="8"/>
        <v>1631.64500079507</v>
      </c>
    </row>
    <row r="60" spans="1:15">
      <c r="B60" s="505">
        <f>IF(C60&lt;&gt;"",INDEX('CPUs INTERNAS'!$A$2:$I$49,MATCH('CUSTO DIRETO'!C60,'CPUs INTERNAS'!$B$2:$B$48,0),1),"")</f>
        <v>3</v>
      </c>
      <c r="C60" s="506" t="s">
        <v>15</v>
      </c>
      <c r="D60" s="507">
        <v>1</v>
      </c>
      <c r="E60" s="507"/>
      <c r="F60" s="508">
        <f>IF(C60&lt;&gt;"",VLOOKUP($B60,'CPUs INTERNAS'!$A$4:$I$23,5),"")</f>
        <v>7916.89</v>
      </c>
      <c r="G60" s="509">
        <f>IF(C60&lt;&gt;"",VLOOKUP($B60,'CPUs INTERNAS'!$A$4:$I$23,6),"")</f>
        <v>8998.89</v>
      </c>
      <c r="H60" s="509">
        <f t="shared" ref="H60:H65" si="9">IFERROR(ROUND((D60*F60+E60*G60),2),"")</f>
        <v>7916.89</v>
      </c>
      <c r="I60" s="510"/>
      <c r="J60" s="511">
        <f>'CPUs INTERNAS'!J101</f>
        <v>0</v>
      </c>
      <c r="K60" s="512" t="str">
        <f>'CPUs INTERNAS'!$B$64</f>
        <v>EPI/UNIFORME</v>
      </c>
      <c r="L60" s="507">
        <f>L58+L59</f>
        <v>3.29625252685872</v>
      </c>
      <c r="M60" s="507">
        <f>'CPUs INTERNAS'!$G$64</f>
        <v>150.1475</v>
      </c>
      <c r="N60" s="513">
        <f t="shared" si="8"/>
        <v>494.92407627652</v>
      </c>
    </row>
    <row r="61" spans="1:15">
      <c r="B61" s="505" t="str">
        <f>IF(C61&lt;&gt;"",INDEX('CPUs INTERNAS'!$A$2:$I$49,MATCH('CUSTO DIRETO'!C61,'CPUs INTERNAS'!$B$2:$B$48,0),1),"")</f>
        <v/>
      </c>
      <c r="C61" s="506"/>
      <c r="D61" s="507"/>
      <c r="E61" s="507"/>
      <c r="F61" s="508" t="str">
        <f>IF(C61&lt;&gt;"",VLOOKUP($B61,'CPUs INTERNAS'!$A$4:$I$23,5),"")</f>
        <v/>
      </c>
      <c r="G61" s="509" t="str">
        <f>IF(C61&lt;&gt;"",VLOOKUP($B61,'CPUs INTERNAS'!$A$4:$I$23,6),"")</f>
        <v/>
      </c>
      <c r="H61" s="509" t="str">
        <f t="shared" si="9"/>
        <v/>
      </c>
      <c r="I61" s="510"/>
      <c r="J61" s="511">
        <v>4</v>
      </c>
      <c r="K61" s="512" t="s">
        <v>128</v>
      </c>
      <c r="L61" s="507">
        <f>L58</f>
        <v>0</v>
      </c>
      <c r="M61" s="507">
        <f>'CPUs INTERNAS'!$F$86</f>
        <v>21</v>
      </c>
      <c r="N61" s="513">
        <f t="shared" si="8"/>
        <v>0</v>
      </c>
    </row>
    <row r="62" spans="1:15">
      <c r="B62" s="505" t="str">
        <f>IF(C62&lt;&gt;"",INDEX('CPUs INTERNAS'!$A$2:$I$49,MATCH('CUSTO DIRETO'!C62,'CPUs INTERNAS'!$B$2:$B$48,0),1),"")</f>
        <v/>
      </c>
      <c r="C62" s="506"/>
      <c r="D62" s="507"/>
      <c r="E62" s="507"/>
      <c r="F62" s="508" t="str">
        <f>IF(C62&lt;&gt;"",VLOOKUP($B62,'CPUs INTERNAS'!$A$4:$I$23,5),"")</f>
        <v/>
      </c>
      <c r="G62" s="509" t="str">
        <f>IF(C62&lt;&gt;"",VLOOKUP($B62,'CPUs INTERNAS'!$A$4:$I$23,6),"")</f>
        <v/>
      </c>
      <c r="H62" s="509" t="str">
        <f t="shared" si="9"/>
        <v/>
      </c>
      <c r="I62" s="510"/>
      <c r="J62" s="511"/>
      <c r="K62" s="512"/>
      <c r="L62" s="514"/>
      <c r="M62" s="507"/>
      <c r="N62" s="513" t="str">
        <f t="shared" si="8"/>
        <v/>
      </c>
    </row>
    <row r="63" spans="1:15">
      <c r="B63" s="505" t="str">
        <f>IF(C63&lt;&gt;"",INDEX('CPUs INTERNAS'!$A$2:$I$49,MATCH('CUSTO DIRETO'!C63,'CPUs INTERNAS'!$B$2:$B$48,0),1),"")</f>
        <v/>
      </c>
      <c r="C63" s="506"/>
      <c r="D63" s="507"/>
      <c r="E63" s="507"/>
      <c r="F63" s="508" t="str">
        <f>IF(C63&lt;&gt;"",VLOOKUP($B63,'CPUs INTERNAS'!$A$4:$I$23,5),"")</f>
        <v/>
      </c>
      <c r="G63" s="509" t="str">
        <f>IF(C63&lt;&gt;"",VLOOKUP($B63,'CPUs INTERNAS'!$A$4:$I$23,6),"")</f>
        <v/>
      </c>
      <c r="H63" s="509" t="str">
        <f t="shared" si="9"/>
        <v/>
      </c>
      <c r="I63" s="510"/>
      <c r="J63" s="511"/>
      <c r="K63" s="512"/>
      <c r="L63" s="514"/>
      <c r="M63" s="507"/>
      <c r="N63" s="513" t="str">
        <f t="shared" si="8"/>
        <v/>
      </c>
    </row>
    <row r="64" spans="1:15">
      <c r="B64" s="505" t="str">
        <f>IF(C64&lt;&gt;"",INDEX('CPUs INTERNAS'!$A$2:$I$49,MATCH('CUSTO DIRETO'!C64,'CPUs INTERNAS'!$B$2:$B$48,0),1),"")</f>
        <v/>
      </c>
      <c r="C64" s="506"/>
      <c r="D64" s="507"/>
      <c r="E64" s="507"/>
      <c r="F64" s="508" t="str">
        <f>IF(C64&lt;&gt;"",VLOOKUP($B64,'CPUs INTERNAS'!$A$4:$I$23,5),"")</f>
        <v/>
      </c>
      <c r="G64" s="509" t="str">
        <f>IF(C64&lt;&gt;"",VLOOKUP($B64,'CPUs INTERNAS'!$A$4:$I$23,6),"")</f>
        <v/>
      </c>
      <c r="H64" s="509" t="str">
        <f t="shared" si="9"/>
        <v/>
      </c>
      <c r="I64" s="510"/>
      <c r="J64" s="515"/>
      <c r="K64" s="516"/>
      <c r="L64" s="516"/>
      <c r="M64" s="517" t="s">
        <v>392</v>
      </c>
      <c r="N64" s="518">
        <f>SUM(N58:N63)</f>
        <v>2126.56907707159</v>
      </c>
    </row>
    <row r="65" spans="2:14">
      <c r="B65" s="505" t="str">
        <f>IF(C65&lt;&gt;"",INDEX('CPUs INTERNAS'!$A$2:$I$49,MATCH('CUSTO DIRETO'!C65,'CPUs INTERNAS'!$B$2:$B$48,0),1),"")</f>
        <v/>
      </c>
      <c r="C65" s="506"/>
      <c r="D65" s="507"/>
      <c r="E65" s="507"/>
      <c r="F65" s="508" t="str">
        <f>IF(C65&lt;&gt;"",VLOOKUP($B65,'CPUs INTERNAS'!$A$4:$I$23,5),"")</f>
        <v/>
      </c>
      <c r="G65" s="509" t="str">
        <f>IF(C65&lt;&gt;"",VLOOKUP($B65,'CPUs INTERNAS'!$A$4:$I$23,6),"")</f>
        <v/>
      </c>
      <c r="H65" s="509" t="str">
        <f t="shared" si="9"/>
        <v/>
      </c>
      <c r="I65" s="510"/>
      <c r="J65" s="510"/>
    </row>
    <row r="66" spans="2:14">
      <c r="B66" s="519" t="str">
        <f>IF(C66&lt;&gt;"",INDEX('CPUs INTERNAS'!$A$2:$I$49,MATCH('CUSTO DIRETO'!C66,'CPUs INTERNAS'!$B$2:$B$48,0),1),"")</f>
        <v/>
      </c>
      <c r="C66" s="520"/>
      <c r="D66" s="520"/>
      <c r="E66" s="520"/>
      <c r="F66" s="520"/>
      <c r="G66" s="521" t="s">
        <v>392</v>
      </c>
      <c r="H66" s="522">
        <f>SUM(H58:H65)</f>
        <v>17665.61</v>
      </c>
      <c r="J66" s="523"/>
    </row>
    <row r="67" ht="32.4" customHeight="1" spans="2:14">
      <c r="B67" s="500" t="s">
        <v>115</v>
      </c>
      <c r="C67" s="500" t="s">
        <v>393</v>
      </c>
      <c r="D67" s="500" t="s">
        <v>135</v>
      </c>
      <c r="E67" s="501" t="s">
        <v>40</v>
      </c>
      <c r="F67" s="500" t="s">
        <v>390</v>
      </c>
      <c r="G67" s="524" t="s">
        <v>391</v>
      </c>
      <c r="H67" s="503"/>
      <c r="I67" s="503"/>
      <c r="J67" s="503"/>
    </row>
    <row r="68" spans="2:14">
      <c r="B68" s="505"/>
      <c r="C68" s="506" t="s">
        <v>415</v>
      </c>
      <c r="D68" s="514" t="s">
        <v>416</v>
      </c>
      <c r="E68" s="507">
        <f>PLANILHA!E195+PLANILHA!E196+PLANILHA!E197+PLANILHA!E198</f>
        <v>3822.87</v>
      </c>
      <c r="F68" s="507">
        <v>4</v>
      </c>
      <c r="G68" s="513">
        <f>IF(C68&lt;&gt;"",F68*E68,"")</f>
        <v>15291.48</v>
      </c>
      <c r="H68" s="510" t="s">
        <v>417</v>
      </c>
      <c r="I68" s="510"/>
      <c r="J68" s="510"/>
    </row>
    <row r="69" spans="2:14">
      <c r="B69" s="505"/>
      <c r="C69" s="506" t="s">
        <v>418</v>
      </c>
      <c r="D69" s="514" t="s">
        <v>419</v>
      </c>
      <c r="E69" s="507">
        <f>PLANILHA!E202</f>
        <v>330</v>
      </c>
      <c r="F69" s="507">
        <v>45</v>
      </c>
      <c r="G69" s="513">
        <f>IF(C69&lt;&gt;"",F69*E69,"")</f>
        <v>14850</v>
      </c>
      <c r="H69" s="510" t="s">
        <v>420</v>
      </c>
      <c r="I69" s="510"/>
      <c r="J69" s="510"/>
    </row>
    <row r="70" spans="2:14">
      <c r="B70" s="505"/>
      <c r="C70" s="506"/>
      <c r="D70" s="514"/>
      <c r="E70" s="507"/>
      <c r="F70" s="507"/>
      <c r="G70" s="513" t="str">
        <f>IF(C70&lt;&gt;"",F70*E70,"")</f>
        <v/>
      </c>
      <c r="H70" s="510"/>
      <c r="I70" s="510"/>
      <c r="J70" s="510"/>
    </row>
    <row r="71" spans="2:14">
      <c r="B71" s="505"/>
      <c r="C71" s="506"/>
      <c r="D71" s="514"/>
      <c r="E71" s="507"/>
      <c r="F71" s="507"/>
      <c r="G71" s="513" t="str">
        <f>IF(C71&lt;&gt;"",F71*E71,"")</f>
        <v/>
      </c>
      <c r="H71" s="510"/>
      <c r="I71" s="510"/>
      <c r="J71" s="510"/>
    </row>
    <row r="72" spans="2:14">
      <c r="B72" s="505"/>
      <c r="C72" s="506"/>
      <c r="D72" s="514"/>
      <c r="E72" s="507"/>
      <c r="F72" s="507"/>
      <c r="G72" s="513" t="str">
        <f>IF(C72&lt;&gt;"",F72*E72,"")</f>
        <v/>
      </c>
      <c r="H72" s="510"/>
      <c r="I72" s="510"/>
      <c r="J72" s="510"/>
    </row>
    <row r="73" spans="2:14">
      <c r="B73" s="532"/>
      <c r="C73" s="520"/>
      <c r="D73" s="520"/>
      <c r="E73" s="520"/>
      <c r="F73" s="521" t="s">
        <v>402</v>
      </c>
      <c r="G73" s="522">
        <f>SUM(G68:G72)</f>
        <v>30141.48</v>
      </c>
      <c r="H73" s="523">
        <f>G73/6</f>
        <v>5023.58</v>
      </c>
      <c r="I73" s="523"/>
      <c r="J73" s="523"/>
    </row>
    <row r="74" ht="32.4" customHeight="1" spans="2:14">
      <c r="B74" s="533"/>
      <c r="C74" s="534"/>
      <c r="D74" s="534"/>
      <c r="E74" s="534"/>
      <c r="F74" s="534" t="s">
        <v>403</v>
      </c>
      <c r="G74" s="535">
        <f>(H66+N64)*G55+G73</f>
        <v>141487.274192731</v>
      </c>
      <c r="H74" s="536"/>
      <c r="I74" s="503"/>
      <c r="J74" s="503"/>
    </row>
    <row r="75" spans="2:14">
      <c r="B75" s="537"/>
      <c r="C75" s="537"/>
      <c r="D75" s="537"/>
      <c r="E75" s="537"/>
      <c r="F75" s="538"/>
      <c r="G75" s="523"/>
      <c r="H75" s="536"/>
      <c r="I75" s="510"/>
      <c r="J75" s="510"/>
    </row>
    <row r="76" ht="21" spans="2:14">
      <c r="B76" s="496" t="s">
        <v>404</v>
      </c>
      <c r="C76" s="539"/>
      <c r="D76" s="539"/>
      <c r="E76" s="539"/>
      <c r="F76" s="540"/>
      <c r="G76" s="541"/>
      <c r="H76" s="536"/>
      <c r="I76" s="536"/>
      <c r="K76" s="542" t="s">
        <v>405</v>
      </c>
      <c r="L76" s="543"/>
      <c r="M76" s="543"/>
      <c r="N76" s="544"/>
    </row>
    <row r="77" spans="2:14">
      <c r="B77" s="500" t="s">
        <v>115</v>
      </c>
      <c r="C77" s="500" t="s">
        <v>406</v>
      </c>
      <c r="D77" s="501" t="s">
        <v>135</v>
      </c>
      <c r="E77" s="500" t="s">
        <v>40</v>
      </c>
      <c r="F77" s="502" t="s">
        <v>407</v>
      </c>
      <c r="G77" s="545" t="s">
        <v>391</v>
      </c>
      <c r="H77" s="536"/>
      <c r="I77" s="536"/>
      <c r="K77" s="546" t="s">
        <v>134</v>
      </c>
      <c r="L77" s="546" t="s">
        <v>27</v>
      </c>
      <c r="M77" s="546" t="s">
        <v>408</v>
      </c>
      <c r="N77" s="546" t="s">
        <v>409</v>
      </c>
    </row>
    <row r="78" spans="2:14">
      <c r="B78" s="505">
        <f>IF(C78&lt;&gt;"",INDEX('BANCO - EQP'!$A$1:$F$53,MATCH('CUSTO DIRETO'!C78,'BANCO - EQP'!$B$1:$B$53,0),1),"")</f>
        <v>13</v>
      </c>
      <c r="C78" s="506" t="s">
        <v>231</v>
      </c>
      <c r="D78" s="547" t="str">
        <f>IF(B78&lt;&gt;"",VLOOKUP($B78,'BANCO - EQP'!$A$3:$F$391,3),"")</f>
        <v>mês</v>
      </c>
      <c r="E78" s="548">
        <v>1</v>
      </c>
      <c r="F78" s="509">
        <f>IF(B78&lt;&gt;"",VLOOKUP($B78,'BANCO - EQP'!$A$3:$F$391,6),"")</f>
        <v>1040</v>
      </c>
      <c r="G78" s="513">
        <f>IFERROR(F78*E78,"")</f>
        <v>1040</v>
      </c>
      <c r="H78" s="536"/>
      <c r="I78" s="536"/>
      <c r="K78" s="549">
        <f t="shared" ref="K78:K84" si="10">B78</f>
        <v>13</v>
      </c>
      <c r="L78" s="549" t="str">
        <f t="shared" ref="L78:L80" si="11">C78</f>
        <v>Compactador</v>
      </c>
      <c r="M78" s="549" t="str">
        <f>IFERROR(VLOOKUP($B78,'BANCO - EQP'!$A$3:$F$904,4,FALSE),"")</f>
        <v>Gasolina</v>
      </c>
      <c r="N78" s="549">
        <f>IFERROR(VLOOKUP($B78,'BANCO - EQP'!$A$3:$F$904,5,FALSE)*E78,"")</f>
        <v>290.4</v>
      </c>
    </row>
    <row r="79" spans="2:14">
      <c r="B79" s="505">
        <f>IF(C79&lt;&gt;"",INDEX('BANCO - EQP'!$A$1:$F$53,MATCH('CUSTO DIRETO'!C79,'BANCO - EQP'!$B$1:$B$53,0),1),"")</f>
        <v>17</v>
      </c>
      <c r="C79" s="506" t="s">
        <v>236</v>
      </c>
      <c r="D79" s="547" t="str">
        <f>IF(B79&lt;&gt;"",VLOOKUP($B79,'BANCO - EQP'!$A$3:$F$391,3),"")</f>
        <v>mês</v>
      </c>
      <c r="E79" s="548">
        <v>1</v>
      </c>
      <c r="F79" s="509">
        <f>IF(B79&lt;&gt;"",VLOOKUP($B79,'BANCO - EQP'!$A$3:$F$391,6),"")</f>
        <v>1920</v>
      </c>
      <c r="G79" s="513">
        <f t="shared" ref="G79:G90" si="12">IFERROR(F79*E79,"")</f>
        <v>1920</v>
      </c>
      <c r="H79" s="536"/>
      <c r="I79" s="536"/>
      <c r="K79" s="549">
        <f t="shared" si="10"/>
        <v>17</v>
      </c>
      <c r="L79" s="549" t="str">
        <f t="shared" si="11"/>
        <v>Gerador</v>
      </c>
      <c r="M79" s="549" t="str">
        <f>IFERROR(VLOOKUP($B79,'BANCO - EQP'!$A$3:$F$904,4,FALSE),"")</f>
        <v>Gasolina</v>
      </c>
      <c r="N79" s="549">
        <f>IFERROR(VLOOKUP($B79,'BANCO - EQP'!$A$3:$F$904,5,FALSE)*E79,"")</f>
        <v>200</v>
      </c>
    </row>
    <row r="80" spans="2:14">
      <c r="B80" s="505">
        <f>IF(C80&lt;&gt;"",INDEX('BANCO - EQP'!$A$1:$F$53,MATCH('CUSTO DIRETO'!C80,'BANCO - EQP'!$B$1:$B$53,0),1),"")</f>
        <v>4</v>
      </c>
      <c r="C80" s="506" t="s">
        <v>220</v>
      </c>
      <c r="D80" s="547" t="str">
        <f>IF(B80&lt;&gt;"",VLOOKUP($B80,'BANCO - EQP'!$A$3:$F$391,3),"")</f>
        <v>mês</v>
      </c>
      <c r="E80" s="548">
        <v>1</v>
      </c>
      <c r="F80" s="509">
        <f>IF(B80&lt;&gt;"",VLOOKUP($B80,'BANCO - EQP'!$A$3:$F$391,6),"")</f>
        <v>350</v>
      </c>
      <c r="G80" s="513">
        <f t="shared" si="12"/>
        <v>350</v>
      </c>
      <c r="H80" s="536"/>
      <c r="I80" s="536"/>
      <c r="K80" s="549">
        <f t="shared" si="10"/>
        <v>4</v>
      </c>
      <c r="L80" s="549" t="str">
        <f t="shared" si="11"/>
        <v>Betoneira 400L</v>
      </c>
      <c r="M80" s="549">
        <f>IFERROR(VLOOKUP($B80,'BANCO - EQP'!$A$3:$F$904,4,FALSE),"")</f>
        <v>0</v>
      </c>
      <c r="N80" s="549">
        <f>IFERROR(VLOOKUP($B80,'BANCO - EQP'!$A$3:$F$904,5,FALSE)*E80,"")</f>
        <v>0</v>
      </c>
    </row>
    <row r="81" spans="2:14">
      <c r="B81" s="505" t="str">
        <f>IF(C81&lt;&gt;"",INDEX('BANCO - EQP'!$A$1:$F$53,MATCH('CUSTO DIRETO'!C81,'BANCO - EQP'!$B$1:$B$53,0),1),"")</f>
        <v/>
      </c>
      <c r="C81" s="506"/>
      <c r="D81" s="547" t="str">
        <f>IF(B81&lt;&gt;"",VLOOKUP($B81,'BANCO - EQP'!$A$3:$F$391,3),"")</f>
        <v/>
      </c>
      <c r="E81" s="548"/>
      <c r="F81" s="509" t="str">
        <f>IF(B81&lt;&gt;"",VLOOKUP($B81,'BANCO - EQP'!$A$3:$F$391,6),"")</f>
        <v/>
      </c>
      <c r="G81" s="513" t="str">
        <f t="shared" si="12"/>
        <v/>
      </c>
      <c r="H81" s="536"/>
      <c r="I81" s="536"/>
      <c r="K81" s="549" t="str">
        <f t="shared" si="10"/>
        <v/>
      </c>
      <c r="L81" s="549">
        <f t="shared" ref="L81:L84" si="13">C81</f>
        <v>0</v>
      </c>
      <c r="M81" s="549" t="str">
        <f>IFERROR(VLOOKUP($B81,'BANCO - EQP'!$A$3:$F$904,4,FALSE),"")</f>
        <v/>
      </c>
      <c r="N81" s="549" t="str">
        <f>IFERROR(VLOOKUP($B81,'BANCO - EQP'!$A$3:$F$904,5,FALSE)*E81,"")</f>
        <v/>
      </c>
    </row>
    <row r="82" spans="2:14">
      <c r="B82" s="505" t="str">
        <f>IF(C82&lt;&gt;"",INDEX('BANCO - EQP'!$A$1:$F$53,MATCH('CUSTO DIRETO'!C82,'BANCO - EQP'!$B$1:$B$53,0),1),"")</f>
        <v/>
      </c>
      <c r="C82" s="506"/>
      <c r="D82" s="547" t="str">
        <f>IF(B82&lt;&gt;"",VLOOKUP($B82,'BANCO - EQP'!$A$3:$F$391,3),"")</f>
        <v/>
      </c>
      <c r="E82" s="548"/>
      <c r="F82" s="509" t="str">
        <f>IF(B82&lt;&gt;"",VLOOKUP($B82,'BANCO - EQP'!$A$3:$F$391,6),"")</f>
        <v/>
      </c>
      <c r="G82" s="513" t="str">
        <f t="shared" si="12"/>
        <v/>
      </c>
      <c r="H82" s="536"/>
      <c r="I82" s="536"/>
      <c r="K82" s="549" t="str">
        <f t="shared" si="10"/>
        <v/>
      </c>
      <c r="L82" s="549">
        <f t="shared" si="13"/>
        <v>0</v>
      </c>
      <c r="M82" s="549" t="str">
        <f>IFERROR(VLOOKUP($B82,'BANCO - EQP'!$A$3:$F$904,4,FALSE),"")</f>
        <v/>
      </c>
      <c r="N82" s="549" t="str">
        <f>IFERROR(VLOOKUP($B82,'BANCO - EQP'!$A$3:$F$904,5,FALSE)*E82,"")</f>
        <v/>
      </c>
    </row>
    <row r="83" spans="2:14">
      <c r="B83" s="505" t="str">
        <f>IF(C83&lt;&gt;"",INDEX('BANCO - EQP'!$A$1:$F$53,MATCH('CUSTO DIRETO'!C83,'BANCO - EQP'!$B$1:$B$53,0),1),"")</f>
        <v/>
      </c>
      <c r="C83" s="506"/>
      <c r="D83" s="547" t="str">
        <f>IF(B83&lt;&gt;"",VLOOKUP($B83,'BANCO - EQP'!$A$3:$F$391,3),"")</f>
        <v/>
      </c>
      <c r="E83" s="548"/>
      <c r="F83" s="509" t="str">
        <f>IF(B83&lt;&gt;"",VLOOKUP($B83,'BANCO - EQP'!$A$3:$F$391,6),"")</f>
        <v/>
      </c>
      <c r="G83" s="513" t="str">
        <f t="shared" si="12"/>
        <v/>
      </c>
      <c r="H83" s="536"/>
      <c r="I83" s="536"/>
      <c r="K83" s="549" t="str">
        <f t="shared" si="10"/>
        <v/>
      </c>
      <c r="L83" s="549">
        <f t="shared" si="13"/>
        <v>0</v>
      </c>
      <c r="M83" s="549" t="str">
        <f>IFERROR(VLOOKUP($B83,'BANCO - EQP'!$A$3:$F$904,4,FALSE),"")</f>
        <v/>
      </c>
      <c r="N83" s="549" t="str">
        <f>IFERROR(VLOOKUP($B83,'BANCO - EQP'!$A$3:$F$904,5,FALSE)*E83,"")</f>
        <v/>
      </c>
    </row>
    <row r="84" spans="2:14">
      <c r="B84" s="505" t="str">
        <f>IF(C84&lt;&gt;"",INDEX('BANCO - EQP'!$A$1:$F$53,MATCH('CUSTO DIRETO'!C84,'BANCO - EQP'!$B$1:$B$53,0),1),"")</f>
        <v/>
      </c>
      <c r="C84" s="506"/>
      <c r="D84" s="547" t="str">
        <f>IF(B84&lt;&gt;"",VLOOKUP($B84,'BANCO - EQP'!$A$3:$F$391,3),"")</f>
        <v/>
      </c>
      <c r="E84" s="548"/>
      <c r="F84" s="509" t="str">
        <f>IF(B84&lt;&gt;"",VLOOKUP($B84,'BANCO - EQP'!$A$3:$F$391,6),"")</f>
        <v/>
      </c>
      <c r="G84" s="513" t="str">
        <f t="shared" si="12"/>
        <v/>
      </c>
      <c r="H84" s="536"/>
      <c r="I84" s="536"/>
      <c r="K84" s="549" t="str">
        <f t="shared" si="10"/>
        <v/>
      </c>
      <c r="L84" s="549">
        <f t="shared" si="13"/>
        <v>0</v>
      </c>
      <c r="M84" s="549" t="str">
        <f>IFERROR(VLOOKUP($B84,'BANCO - EQP'!$A$3:$F$904,4,FALSE),"")</f>
        <v/>
      </c>
      <c r="N84" s="549" t="str">
        <f>IFERROR(VLOOKUP($B84,'BANCO - EQP'!$A$3:$F$904,5,FALSE)*E84,"")</f>
        <v/>
      </c>
    </row>
    <row r="85" spans="2:14">
      <c r="B85" s="505" t="str">
        <f>IF(C85&lt;&gt;"",INDEX('BANCO - EQP'!$A$1:$F$53,MATCH('CUSTO DIRETO'!C85,'BANCO - EQP'!$B$1:$B$53,0),1),"")</f>
        <v/>
      </c>
      <c r="C85" s="506"/>
      <c r="D85" s="547" t="str">
        <f>IF(B85&lt;&gt;"",VLOOKUP($B85,'BANCO - EQP'!$A$3:$F$391,3),"")</f>
        <v/>
      </c>
      <c r="E85" s="548"/>
      <c r="F85" s="509" t="str">
        <f>IF(B85&lt;&gt;"",VLOOKUP($B85,'BANCO - EQP'!$A$3:$F$391,6),"")</f>
        <v/>
      </c>
      <c r="G85" s="513" t="str">
        <f t="shared" si="12"/>
        <v/>
      </c>
      <c r="H85" s="536"/>
      <c r="I85" s="536"/>
      <c r="K85" s="549" t="str">
        <f t="shared" ref="K85:K90" si="14">B82</f>
        <v/>
      </c>
      <c r="L85" s="549">
        <f t="shared" ref="L85:L90" si="15">C82</f>
        <v>0</v>
      </c>
      <c r="M85" s="549" t="str">
        <f>IFERROR(VLOOKUP($B82,'BANCO - EQP'!$A$3:$F$904,4,FALSE),"")</f>
        <v/>
      </c>
      <c r="N85" s="549" t="str">
        <f>IFERROR(VLOOKUP($B82,'BANCO - EQP'!$A$3:$F$904,5,FALSE)*E82,"")</f>
        <v/>
      </c>
    </row>
    <row r="86" spans="2:14">
      <c r="B86" s="505" t="str">
        <f>IF(C86&lt;&gt;"",INDEX('BANCO - EQP'!$A$1:$F$53,MATCH('CUSTO DIRETO'!C86,'BANCO - EQP'!$B$1:$B$53,0),1),"")</f>
        <v/>
      </c>
      <c r="C86" s="506"/>
      <c r="D86" s="547" t="str">
        <f>IF(B86&lt;&gt;"",VLOOKUP($B86,'BANCO - EQP'!$A$3:$F$391,3),"")</f>
        <v/>
      </c>
      <c r="E86" s="548"/>
      <c r="F86" s="509" t="str">
        <f>IF(B86&lt;&gt;"",VLOOKUP($B86,'BANCO - EQP'!$A$3:$F$391,6),"")</f>
        <v/>
      </c>
      <c r="G86" s="513" t="str">
        <f t="shared" si="12"/>
        <v/>
      </c>
      <c r="H86" s="536"/>
      <c r="I86" s="536"/>
      <c r="K86" s="549" t="str">
        <f t="shared" si="14"/>
        <v/>
      </c>
      <c r="L86" s="549">
        <f t="shared" si="15"/>
        <v>0</v>
      </c>
      <c r="M86" s="549" t="str">
        <f>IFERROR(VLOOKUP($B83,'BANCO - EQP'!$A$3:$F$904,4,FALSE),"")</f>
        <v/>
      </c>
      <c r="N86" s="549" t="str">
        <f>IFERROR(VLOOKUP($B83,'BANCO - EQP'!$A$3:$F$904,5,FALSE)*E83,"")</f>
        <v/>
      </c>
    </row>
    <row r="87" spans="2:14">
      <c r="B87" s="505" t="str">
        <f>IF(C87&lt;&gt;"",INDEX('BANCO - EQP'!$A$1:$F$53,MATCH('CUSTO DIRETO'!C87,'BANCO - EQP'!$B$1:$B$53,0),1),"")</f>
        <v/>
      </c>
      <c r="C87" s="506"/>
      <c r="D87" s="547" t="str">
        <f>IF(B87&lt;&gt;"",VLOOKUP($B87,'BANCO - EQP'!$A$3:$F$391,3),"")</f>
        <v/>
      </c>
      <c r="E87" s="548"/>
      <c r="F87" s="509" t="str">
        <f>IF(B87&lt;&gt;"",VLOOKUP($B87,'BANCO - EQP'!$A$3:$F$391,6),"")</f>
        <v/>
      </c>
      <c r="G87" s="513" t="str">
        <f t="shared" si="12"/>
        <v/>
      </c>
      <c r="H87" s="536"/>
      <c r="I87" s="536"/>
      <c r="K87" s="549" t="str">
        <f t="shared" si="14"/>
        <v/>
      </c>
      <c r="L87" s="549">
        <f t="shared" si="15"/>
        <v>0</v>
      </c>
      <c r="M87" s="549" t="str">
        <f>IFERROR(VLOOKUP($B84,'BANCO - EQP'!$A$3:$F$904,4,FALSE),"")</f>
        <v/>
      </c>
      <c r="N87" s="549" t="str">
        <f>IFERROR(VLOOKUP($B84,'BANCO - EQP'!$A$3:$F$904,5,FALSE)*E84,"")</f>
        <v/>
      </c>
    </row>
    <row r="88" spans="2:14">
      <c r="B88" s="505" t="str">
        <f>IF(C88&lt;&gt;"",INDEX('BANCO - EQP'!$A$1:$F$53,MATCH('CUSTO DIRETO'!C88,'BANCO - EQP'!$B$1:$B$53,0),1),"")</f>
        <v/>
      </c>
      <c r="C88" s="506"/>
      <c r="D88" s="547" t="str">
        <f>IF(B88&lt;&gt;"",VLOOKUP($B88,'BANCO - EQP'!$A$3:$F$391,3),"")</f>
        <v/>
      </c>
      <c r="E88" s="548"/>
      <c r="F88" s="509" t="str">
        <f>IF(B88&lt;&gt;"",VLOOKUP($B88,'BANCO - EQP'!$A$3:$F$391,6),"")</f>
        <v/>
      </c>
      <c r="G88" s="513" t="str">
        <f t="shared" si="12"/>
        <v/>
      </c>
      <c r="H88" s="536"/>
      <c r="I88" s="536"/>
      <c r="K88" s="549" t="str">
        <f t="shared" si="14"/>
        <v/>
      </c>
      <c r="L88" s="549">
        <f t="shared" si="15"/>
        <v>0</v>
      </c>
      <c r="M88" s="549" t="str">
        <f>IFERROR(VLOOKUP($B85,'BANCO - EQP'!$A$3:$F$904,4,FALSE),"")</f>
        <v/>
      </c>
      <c r="N88" s="549" t="str">
        <f>IFERROR(VLOOKUP($B85,'BANCO - EQP'!$A$3:$F$904,5,FALSE)*E85,"")</f>
        <v/>
      </c>
    </row>
    <row r="89" spans="2:14">
      <c r="B89" s="505" t="str">
        <f>IF(C89&lt;&gt;"",INDEX('BANCO - EQP'!$A$1:$F$53,MATCH('CUSTO DIRETO'!C89,'BANCO - EQP'!$B$1:$B$53,0),1),"")</f>
        <v/>
      </c>
      <c r="C89" s="506"/>
      <c r="D89" s="547" t="str">
        <f>IF(B89&lt;&gt;"",VLOOKUP($B89,'BANCO - EQP'!$A$3:$F$391,3),"")</f>
        <v/>
      </c>
      <c r="E89" s="548"/>
      <c r="F89" s="509" t="str">
        <f>IF(B89&lt;&gt;"",VLOOKUP($B89,'BANCO - EQP'!$A$3:$F$391,6),"")</f>
        <v/>
      </c>
      <c r="G89" s="513" t="str">
        <f t="shared" si="12"/>
        <v/>
      </c>
      <c r="H89" s="536"/>
      <c r="I89" s="536"/>
      <c r="K89" s="549" t="str">
        <f t="shared" si="14"/>
        <v/>
      </c>
      <c r="L89" s="549">
        <f t="shared" si="15"/>
        <v>0</v>
      </c>
      <c r="M89" s="549" t="str">
        <f>IFERROR(VLOOKUP($B86,'BANCO - EQP'!$A$3:$F$904,4,FALSE),"")</f>
        <v/>
      </c>
      <c r="N89" s="549" t="str">
        <f>IFERROR(VLOOKUP($B86,'BANCO - EQP'!$A$3:$F$904,5,FALSE)*E86,"")</f>
        <v/>
      </c>
    </row>
    <row r="90" spans="2:14">
      <c r="B90" s="505" t="str">
        <f>IF(C90&lt;&gt;"",INDEX('BANCO - EQP'!$A$1:$F$53,MATCH('CUSTO DIRETO'!C90,'BANCO - EQP'!$B$1:$B$53,0),1),"")</f>
        <v/>
      </c>
      <c r="C90" s="506"/>
      <c r="D90" s="547" t="str">
        <f>IF(B90&lt;&gt;"",VLOOKUP($B90,'BANCO - EQP'!$A$3:$F$391,3),"")</f>
        <v/>
      </c>
      <c r="E90" s="548"/>
      <c r="F90" s="509" t="str">
        <f>IF(B90&lt;&gt;"",VLOOKUP($B90,'BANCO - EQP'!$A$3:$F$391,6),"")</f>
        <v/>
      </c>
      <c r="G90" s="513" t="str">
        <f t="shared" si="12"/>
        <v/>
      </c>
      <c r="H90" s="536"/>
      <c r="I90" s="536"/>
      <c r="K90" s="549" t="str">
        <f t="shared" si="14"/>
        <v/>
      </c>
      <c r="L90" s="549">
        <f t="shared" si="15"/>
        <v>0</v>
      </c>
      <c r="M90" s="549" t="str">
        <f>IFERROR(VLOOKUP($B87,'BANCO - EQP'!$A$3:$F$904,4,FALSE),"")</f>
        <v/>
      </c>
      <c r="N90" s="549" t="str">
        <f>IFERROR(VLOOKUP($B87,'BANCO - EQP'!$A$3:$F$904,5,FALSE)*E87,"")</f>
        <v/>
      </c>
    </row>
    <row r="91" spans="2:14">
      <c r="B91" s="550">
        <v>1</v>
      </c>
      <c r="C91" s="551" t="s">
        <v>214</v>
      </c>
      <c r="D91" s="552">
        <f>N91</f>
        <v>0</v>
      </c>
      <c r="E91" s="553" t="s">
        <v>215</v>
      </c>
      <c r="F91" s="554">
        <f>IF(B91&lt;&gt;"",VLOOKUP($B91,'BANCO - EQP'!$A$3:$F$391,6),"")</f>
        <v>8</v>
      </c>
      <c r="G91" s="554">
        <f>F91*D91</f>
        <v>0</v>
      </c>
      <c r="H91" s="536"/>
      <c r="I91" s="536"/>
      <c r="K91" s="555">
        <f>B91</f>
        <v>1</v>
      </c>
      <c r="L91" s="556" t="str">
        <f>C91</f>
        <v>Diesel</v>
      </c>
      <c r="M91" s="557"/>
      <c r="N91" s="558">
        <f>SUMIF(M78:M97,L91,N78:N97)</f>
        <v>0</v>
      </c>
    </row>
    <row r="92" spans="2:14">
      <c r="B92" s="550">
        <v>2</v>
      </c>
      <c r="C92" s="551" t="s">
        <v>217</v>
      </c>
      <c r="D92" s="552">
        <f>N92</f>
        <v>490.4</v>
      </c>
      <c r="E92" s="553" t="s">
        <v>215</v>
      </c>
      <c r="F92" s="554">
        <f>IF(B92&lt;&gt;"",VLOOKUP($B92,'BANCO - EQP'!$A$3:$F$391,6),"")</f>
        <v>6</v>
      </c>
      <c r="G92" s="554">
        <f>F92*D92</f>
        <v>2942.4</v>
      </c>
      <c r="H92" s="536"/>
      <c r="I92" s="536"/>
      <c r="K92" s="555">
        <f>B92</f>
        <v>2</v>
      </c>
      <c r="L92" s="556" t="str">
        <f>C92</f>
        <v>Gasolina</v>
      </c>
      <c r="M92" s="557"/>
      <c r="N92" s="558">
        <f>SUMIF(M78:M97,L92,N78:N97)</f>
        <v>490.4</v>
      </c>
    </row>
    <row r="93" spans="2:14">
      <c r="B93" s="519"/>
      <c r="C93" s="520"/>
      <c r="D93" s="520"/>
      <c r="E93" s="520"/>
      <c r="F93" s="521" t="s">
        <v>392</v>
      </c>
      <c r="G93" s="522">
        <f>SUM(G78:G92)</f>
        <v>6252.4</v>
      </c>
      <c r="H93" s="536"/>
      <c r="I93" s="536"/>
      <c r="K93" s="549"/>
      <c r="L93" s="549"/>
      <c r="M93" s="549"/>
      <c r="N93" s="549"/>
    </row>
    <row r="94" ht="15.75" spans="2:14">
      <c r="B94" s="559" t="s">
        <v>393</v>
      </c>
      <c r="C94" s="560"/>
      <c r="D94" s="560"/>
      <c r="E94" s="560"/>
      <c r="F94" s="561"/>
      <c r="G94" s="562"/>
      <c r="H94" s="536"/>
      <c r="I94" s="536"/>
      <c r="K94" s="549" t="str">
        <f>B94</f>
        <v>Empreiteiros</v>
      </c>
      <c r="L94" s="549"/>
      <c r="M94" s="549"/>
      <c r="N94" s="549"/>
    </row>
    <row r="95" spans="2:14">
      <c r="B95" s="500" t="s">
        <v>115</v>
      </c>
      <c r="C95" s="500" t="s">
        <v>410</v>
      </c>
      <c r="D95" s="501" t="s">
        <v>135</v>
      </c>
      <c r="E95" s="500" t="s">
        <v>40</v>
      </c>
      <c r="F95" s="502" t="s">
        <v>407</v>
      </c>
      <c r="G95" s="545" t="s">
        <v>391</v>
      </c>
      <c r="H95" s="536"/>
      <c r="I95" s="536"/>
      <c r="K95" s="549"/>
      <c r="L95" s="549"/>
      <c r="M95" s="549"/>
      <c r="N95" s="549"/>
    </row>
    <row r="96" spans="2:14">
      <c r="B96" s="505"/>
      <c r="C96" s="506"/>
      <c r="D96" s="547"/>
      <c r="E96" s="547"/>
      <c r="F96" s="547"/>
      <c r="G96" s="513" t="str">
        <f>IF(C96&lt;&gt;"",F96*D96,"")</f>
        <v/>
      </c>
      <c r="H96" s="536"/>
      <c r="I96" s="536"/>
      <c r="K96" s="549"/>
      <c r="L96" s="549"/>
      <c r="M96" s="549"/>
      <c r="N96" s="549"/>
    </row>
    <row r="97" spans="1:15">
      <c r="B97" s="505"/>
      <c r="C97" s="506"/>
      <c r="D97" s="547"/>
      <c r="E97" s="547"/>
      <c r="F97" s="547"/>
      <c r="G97" s="513" t="str">
        <f>IF(C97&lt;&gt;"",F97*D97,"")</f>
        <v/>
      </c>
      <c r="H97" s="536"/>
      <c r="I97" s="536"/>
      <c r="K97" s="549"/>
      <c r="L97" s="549"/>
      <c r="M97" s="549"/>
      <c r="N97" s="549"/>
    </row>
    <row r="98" spans="1:15">
      <c r="B98" s="532"/>
      <c r="C98" s="520"/>
      <c r="D98" s="520"/>
      <c r="E98" s="520"/>
      <c r="F98" s="521" t="s">
        <v>402</v>
      </c>
      <c r="G98" s="522">
        <f>SUM(G96:G97)</f>
        <v>0</v>
      </c>
      <c r="H98" s="536"/>
      <c r="I98" s="536"/>
    </row>
    <row r="99" spans="1:15">
      <c r="B99" s="533"/>
      <c r="C99" s="534"/>
      <c r="D99" s="534"/>
      <c r="E99" s="534"/>
      <c r="F99" s="534" t="s">
        <v>413</v>
      </c>
      <c r="G99" s="535">
        <f>(G93*G55)+G98</f>
        <v>35174.4212145454</v>
      </c>
      <c r="H99" s="536"/>
      <c r="I99" s="536"/>
    </row>
    <row r="100" ht="15.75" spans="1:15">
      <c r="B100" s="563"/>
      <c r="C100" s="564"/>
      <c r="D100" s="564"/>
      <c r="E100" s="564"/>
      <c r="F100" s="565" t="s">
        <v>414</v>
      </c>
      <c r="G100" s="566">
        <f>G99+G74</f>
        <v>176661.695407276</v>
      </c>
      <c r="H100" s="536"/>
      <c r="I100" s="536"/>
    </row>
    <row r="101" spans="1:15">
      <c r="F101" s="567"/>
      <c r="G101" s="567"/>
      <c r="H101" s="568"/>
      <c r="I101" s="536"/>
    </row>
    <row r="102" s="456" customFormat="1" ht="23.25" hidden="1" spans="1:15">
      <c r="A102" s="488"/>
      <c r="B102" s="489" t="str">
        <f>'DIMENSIONAMENTO DE EQUIPES'!B35</f>
        <v>RECOMPOSIÇÃO CBUQ</v>
      </c>
      <c r="C102" s="490"/>
      <c r="D102" s="490"/>
      <c r="E102" s="491"/>
      <c r="F102" s="492" t="s">
        <v>382</v>
      </c>
      <c r="G102" s="493">
        <f>'DIMENSIONAMENTO DE EQUIPES'!F35</f>
        <v>0</v>
      </c>
      <c r="H102" s="488"/>
      <c r="I102" s="488">
        <f>G102/2</f>
        <v>0</v>
      </c>
      <c r="J102" s="488"/>
      <c r="K102" s="488">
        <f>COUNTIF(F:F,F102)-1</f>
        <v>2</v>
      </c>
      <c r="L102" s="494"/>
      <c r="M102" s="495"/>
    </row>
    <row r="103" s="455" customFormat="1" ht="25.95" hidden="1" customHeight="1" spans="1:15">
      <c r="A103" s="458"/>
      <c r="B103" s="496" t="s">
        <v>383</v>
      </c>
      <c r="C103" s="497"/>
      <c r="D103" s="497"/>
      <c r="E103" s="497"/>
      <c r="F103" s="498"/>
      <c r="G103" s="499"/>
      <c r="H103" s="458"/>
      <c r="I103" s="458"/>
      <c r="J103" s="458"/>
      <c r="K103" s="485"/>
      <c r="L103" s="486"/>
      <c r="M103" s="487"/>
      <c r="N103" s="484"/>
      <c r="O103" s="484"/>
    </row>
    <row r="104" ht="32.4" hidden="1" customHeight="1" spans="1:15">
      <c r="B104" s="500" t="s">
        <v>115</v>
      </c>
      <c r="C104" s="500" t="s">
        <v>384</v>
      </c>
      <c r="D104" s="500" t="s">
        <v>385</v>
      </c>
      <c r="E104" s="501" t="s">
        <v>386</v>
      </c>
      <c r="F104" s="502" t="s">
        <v>387</v>
      </c>
      <c r="G104" s="502" t="s">
        <v>388</v>
      </c>
      <c r="H104" s="502" t="s">
        <v>389</v>
      </c>
      <c r="I104" s="503"/>
      <c r="J104" s="502" t="s">
        <v>115</v>
      </c>
      <c r="K104" s="502" t="s">
        <v>27</v>
      </c>
      <c r="L104" s="502" t="s">
        <v>40</v>
      </c>
      <c r="M104" s="502" t="s">
        <v>390</v>
      </c>
      <c r="N104" s="504" t="s">
        <v>391</v>
      </c>
    </row>
    <row r="105" hidden="1" spans="1:15">
      <c r="B105" s="505" t="str">
        <f>IF(C105&lt;&gt;"",INDEX('CPUs INTERNAS'!$A$2:$I$49,MATCH('CUSTO DIRETO'!C105,'CPUs INTERNAS'!$B$2:$B$48,0),1),"")</f>
        <v/>
      </c>
      <c r="C105" s="506"/>
      <c r="D105" s="507"/>
      <c r="E105" s="507"/>
      <c r="F105" s="508" t="str">
        <f>IF(C105&lt;&gt;"",VLOOKUP($B105,'CPUs INTERNAS'!$A$4:$I$23,5),"")</f>
        <v/>
      </c>
      <c r="G105" s="509" t="str">
        <f>IF(C105&lt;&gt;"",VLOOKUP($B105,'CPUs INTERNAS'!$A$4:$I$23,6),"")</f>
        <v/>
      </c>
      <c r="H105" s="509" t="str">
        <f t="shared" ref="H105:H106" si="16">IFERROR(ROUND((D105*F105+E105*G105),2),"")</f>
        <v/>
      </c>
      <c r="I105" s="510"/>
      <c r="J105" s="511">
        <v>1</v>
      </c>
      <c r="K105" s="512" t="s">
        <v>123</v>
      </c>
      <c r="L105" s="507">
        <f>SUM(E105:E112)</f>
        <v>0</v>
      </c>
      <c r="M105" s="507">
        <f>IF(K105&lt;&gt;"",VLOOKUP($J105,'CPUs INTERNAS'!$A$52:$H$62,8),"")</f>
        <v>1255.5</v>
      </c>
      <c r="N105" s="513">
        <f t="shared" ref="N105:N110" si="17">IF(J105&lt;&gt;"",M105*L105,"")</f>
        <v>0</v>
      </c>
    </row>
    <row r="106" hidden="1" spans="1:15">
      <c r="B106" s="505" t="str">
        <f>IF(C106&lt;&gt;"",INDEX('CPUs INTERNAS'!$A$2:$I$49,MATCH('CUSTO DIRETO'!C106,'CPUs INTERNAS'!$B$2:$B$48,0),1),"")</f>
        <v/>
      </c>
      <c r="C106" s="506"/>
      <c r="D106" s="507"/>
      <c r="E106" s="507"/>
      <c r="F106" s="508" t="str">
        <f>IF(C106&lt;&gt;"",VLOOKUP($B106,'CPUs INTERNAS'!$A$4:$I$23,5),"")</f>
        <v/>
      </c>
      <c r="G106" s="509" t="str">
        <f>IF(C106&lt;&gt;"",VLOOKUP($B106,'CPUs INTERNAS'!$A$4:$I$23,6),"")</f>
        <v/>
      </c>
      <c r="H106" s="509" t="str">
        <f t="shared" si="16"/>
        <v/>
      </c>
      <c r="I106" s="510"/>
      <c r="J106" s="511">
        <v>2</v>
      </c>
      <c r="K106" s="512" t="s">
        <v>124</v>
      </c>
      <c r="L106" s="507">
        <f>SUM(D105:D112)</f>
        <v>0</v>
      </c>
      <c r="M106" s="507">
        <f>IF(K106&lt;&gt;"",VLOOKUP($J106,'CPUs INTERNAS'!$A$52:$H$62,8),"")</f>
        <v>495</v>
      </c>
      <c r="N106" s="513">
        <f t="shared" si="17"/>
        <v>0</v>
      </c>
    </row>
    <row r="107" hidden="1" spans="1:15">
      <c r="B107" s="505" t="str">
        <f>IF(C107&lt;&gt;"",INDEX('CPUs INTERNAS'!$A$2:$I$49,MATCH('CUSTO DIRETO'!C107,'CPUs INTERNAS'!$B$2:$B$48,0),1),"")</f>
        <v/>
      </c>
      <c r="C107" s="506"/>
      <c r="D107" s="507"/>
      <c r="E107" s="507"/>
      <c r="F107" s="508" t="str">
        <f>IF(C107&lt;&gt;"",VLOOKUP($B107,'CPUs INTERNAS'!$A$4:$I$23,5),"")</f>
        <v/>
      </c>
      <c r="G107" s="509" t="str">
        <f>IF(C107&lt;&gt;"",VLOOKUP($B107,'CPUs INTERNAS'!$A$4:$I$23,6),"")</f>
        <v/>
      </c>
      <c r="H107" s="509" t="str">
        <f t="shared" ref="H107:H112" si="18">IFERROR(ROUND((D107*F107+E107*G107),2),"")</f>
        <v/>
      </c>
      <c r="I107" s="510"/>
      <c r="J107" s="511">
        <f>'CPUs INTERNAS'!J195</f>
        <v>0</v>
      </c>
      <c r="K107" s="512" t="str">
        <f>'CPUs INTERNAS'!$B$64</f>
        <v>EPI/UNIFORME</v>
      </c>
      <c r="L107" s="507">
        <f>L105+L106</f>
        <v>0</v>
      </c>
      <c r="M107" s="507">
        <f>'CPUs INTERNAS'!$G$64</f>
        <v>150.1475</v>
      </c>
      <c r="N107" s="513">
        <f t="shared" si="17"/>
        <v>0</v>
      </c>
    </row>
    <row r="108" hidden="1" spans="1:15">
      <c r="B108" s="505" t="str">
        <f>IF(C108&lt;&gt;"",INDEX('CPUs INTERNAS'!$A$2:$I$49,MATCH('CUSTO DIRETO'!C108,'CPUs INTERNAS'!$B$2:$B$48,0),1),"")</f>
        <v/>
      </c>
      <c r="C108" s="506"/>
      <c r="D108" s="507"/>
      <c r="E108" s="507"/>
      <c r="F108" s="508" t="str">
        <f>IF(C108&lt;&gt;"",VLOOKUP($B108,'CPUs INTERNAS'!$A$4:$I$23,5),"")</f>
        <v/>
      </c>
      <c r="G108" s="509" t="str">
        <f>IF(C108&lt;&gt;"",VLOOKUP($B108,'CPUs INTERNAS'!$A$4:$I$23,6),"")</f>
        <v/>
      </c>
      <c r="H108" s="509" t="str">
        <f t="shared" si="18"/>
        <v/>
      </c>
      <c r="I108" s="510"/>
      <c r="J108" s="511">
        <v>4</v>
      </c>
      <c r="K108" s="512" t="s">
        <v>128</v>
      </c>
      <c r="L108" s="507">
        <f>L105</f>
        <v>0</v>
      </c>
      <c r="M108" s="507">
        <f>'CPUs INTERNAS'!$F$86</f>
        <v>21</v>
      </c>
      <c r="N108" s="513">
        <f t="shared" si="17"/>
        <v>0</v>
      </c>
    </row>
    <row r="109" hidden="1" spans="1:15">
      <c r="B109" s="505" t="str">
        <f>IF(C109&lt;&gt;"",INDEX('CPUs INTERNAS'!$A$2:$I$49,MATCH('CUSTO DIRETO'!C109,'CPUs INTERNAS'!$B$2:$B$48,0),1),"")</f>
        <v/>
      </c>
      <c r="C109" s="506"/>
      <c r="D109" s="507"/>
      <c r="E109" s="507"/>
      <c r="F109" s="508" t="str">
        <f>IF(C109&lt;&gt;"",VLOOKUP($B109,'CPUs INTERNAS'!$A$4:$I$23,5),"")</f>
        <v/>
      </c>
      <c r="G109" s="509" t="str">
        <f>IF(C109&lt;&gt;"",VLOOKUP($B109,'CPUs INTERNAS'!$A$4:$I$23,6),"")</f>
        <v/>
      </c>
      <c r="H109" s="509" t="str">
        <f t="shared" si="18"/>
        <v/>
      </c>
      <c r="I109" s="510"/>
      <c r="J109" s="511"/>
      <c r="K109" s="512"/>
      <c r="L109" s="514"/>
      <c r="M109" s="507"/>
      <c r="N109" s="513" t="str">
        <f t="shared" si="17"/>
        <v/>
      </c>
    </row>
    <row r="110" hidden="1" spans="1:15">
      <c r="B110" s="505" t="str">
        <f>IF(C110&lt;&gt;"",INDEX('CPUs INTERNAS'!$A$2:$I$49,MATCH('CUSTO DIRETO'!C110,'CPUs INTERNAS'!$B$2:$B$48,0),1),"")</f>
        <v/>
      </c>
      <c r="C110" s="506"/>
      <c r="D110" s="507"/>
      <c r="E110" s="507"/>
      <c r="F110" s="508" t="str">
        <f>IF(C110&lt;&gt;"",VLOOKUP($B110,'CPUs INTERNAS'!$A$4:$I$23,5),"")</f>
        <v/>
      </c>
      <c r="G110" s="509" t="str">
        <f>IF(C110&lt;&gt;"",VLOOKUP($B110,'CPUs INTERNAS'!$A$4:$I$23,6),"")</f>
        <v/>
      </c>
      <c r="H110" s="509" t="str">
        <f t="shared" si="18"/>
        <v/>
      </c>
      <c r="I110" s="510"/>
      <c r="J110" s="511"/>
      <c r="K110" s="512"/>
      <c r="L110" s="514"/>
      <c r="M110" s="507"/>
      <c r="N110" s="513" t="str">
        <f t="shared" si="17"/>
        <v/>
      </c>
    </row>
    <row r="111" hidden="1" spans="1:15">
      <c r="B111" s="505" t="str">
        <f>IF(C111&lt;&gt;"",INDEX('CPUs INTERNAS'!$A$2:$I$49,MATCH('CUSTO DIRETO'!C111,'CPUs INTERNAS'!$B$2:$B$48,0),1),"")</f>
        <v/>
      </c>
      <c r="C111" s="506"/>
      <c r="D111" s="507"/>
      <c r="E111" s="507"/>
      <c r="F111" s="508" t="str">
        <f>IF(C111&lt;&gt;"",VLOOKUP($B111,'CPUs INTERNAS'!$A$4:$I$23,5),"")</f>
        <v/>
      </c>
      <c r="G111" s="509" t="str">
        <f>IF(C111&lt;&gt;"",VLOOKUP($B111,'CPUs INTERNAS'!$A$4:$I$23,6),"")</f>
        <v/>
      </c>
      <c r="H111" s="509" t="str">
        <f t="shared" si="18"/>
        <v/>
      </c>
      <c r="I111" s="510"/>
      <c r="J111" s="515"/>
      <c r="K111" s="516"/>
      <c r="L111" s="516"/>
      <c r="M111" s="517" t="s">
        <v>392</v>
      </c>
      <c r="N111" s="518">
        <f>SUM(N105:N110)</f>
        <v>0</v>
      </c>
    </row>
    <row r="112" hidden="1" spans="1:15">
      <c r="B112" s="505" t="str">
        <f>IF(C112&lt;&gt;"",INDEX('CPUs INTERNAS'!$A$2:$I$49,MATCH('CUSTO DIRETO'!C112,'CPUs INTERNAS'!$B$2:$B$48,0),1),"")</f>
        <v/>
      </c>
      <c r="C112" s="506"/>
      <c r="D112" s="507"/>
      <c r="E112" s="507"/>
      <c r="F112" s="508" t="str">
        <f>IF(C112&lt;&gt;"",VLOOKUP($B112,'CPUs INTERNAS'!$A$4:$I$23,5),"")</f>
        <v/>
      </c>
      <c r="G112" s="509" t="str">
        <f>IF(C112&lt;&gt;"",VLOOKUP($B112,'CPUs INTERNAS'!$A$4:$I$23,6),"")</f>
        <v/>
      </c>
      <c r="H112" s="509" t="str">
        <f t="shared" si="18"/>
        <v/>
      </c>
      <c r="I112" s="510"/>
      <c r="J112" s="510"/>
    </row>
    <row r="113" hidden="1" spans="2:14">
      <c r="B113" s="519" t="str">
        <f>IF(C113&lt;&gt;"",INDEX('CPUs INTERNAS'!$A$2:$I$49,MATCH('CUSTO DIRETO'!C113,'CPUs INTERNAS'!$B$2:$B$48,0),1),"")</f>
        <v/>
      </c>
      <c r="C113" s="520"/>
      <c r="D113" s="520"/>
      <c r="E113" s="520"/>
      <c r="F113" s="520"/>
      <c r="G113" s="521" t="s">
        <v>392</v>
      </c>
      <c r="H113" s="522">
        <f>SUM(H105:H112)</f>
        <v>0</v>
      </c>
      <c r="J113" s="523"/>
    </row>
    <row r="114" ht="32.4" hidden="1" customHeight="1" spans="2:14">
      <c r="B114" s="500" t="s">
        <v>115</v>
      </c>
      <c r="C114" s="500" t="s">
        <v>393</v>
      </c>
      <c r="D114" s="500" t="s">
        <v>135</v>
      </c>
      <c r="E114" s="501" t="s">
        <v>40</v>
      </c>
      <c r="F114" s="500" t="s">
        <v>390</v>
      </c>
      <c r="G114" s="524" t="s">
        <v>391</v>
      </c>
      <c r="H114" s="503"/>
      <c r="I114" s="503"/>
      <c r="J114" s="503"/>
    </row>
    <row r="115" hidden="1" spans="2:14">
      <c r="B115" s="505"/>
      <c r="C115" s="569"/>
      <c r="D115" s="570"/>
      <c r="E115" s="547"/>
      <c r="F115" s="547"/>
      <c r="G115" s="513" t="str">
        <f>IF(C115&lt;&gt;"",F115*E115,"")</f>
        <v/>
      </c>
      <c r="H115" s="510"/>
      <c r="I115" s="510"/>
      <c r="J115" s="510"/>
    </row>
    <row r="116" hidden="1" spans="2:14">
      <c r="B116" s="505"/>
      <c r="C116" s="506"/>
      <c r="D116" s="570"/>
      <c r="E116" s="507"/>
      <c r="F116" s="507"/>
      <c r="G116" s="513" t="str">
        <f>IF(C116&lt;&gt;"",F116*E116,"")</f>
        <v/>
      </c>
      <c r="H116" s="510"/>
      <c r="I116" s="510"/>
      <c r="J116" s="510"/>
    </row>
    <row r="117" hidden="1" spans="2:14">
      <c r="B117" s="505"/>
      <c r="C117" s="506"/>
      <c r="D117" s="514"/>
      <c r="E117" s="507"/>
      <c r="F117" s="507"/>
      <c r="G117" s="513" t="str">
        <f>IF(C117&lt;&gt;"",F117*E117,"")</f>
        <v/>
      </c>
      <c r="H117" s="510"/>
      <c r="I117" s="510"/>
      <c r="J117" s="510"/>
    </row>
    <row r="118" hidden="1" spans="2:14">
      <c r="B118" s="505"/>
      <c r="C118" s="506"/>
      <c r="D118" s="514"/>
      <c r="E118" s="507"/>
      <c r="F118" s="507"/>
      <c r="G118" s="513" t="str">
        <f>IF(C118&lt;&gt;"",F118*E118,"")</f>
        <v/>
      </c>
      <c r="H118" s="510"/>
      <c r="I118" s="510"/>
      <c r="J118" s="510"/>
    </row>
    <row r="119" hidden="1" spans="2:14">
      <c r="B119" s="505"/>
      <c r="C119" s="506"/>
      <c r="D119" s="514"/>
      <c r="E119" s="507"/>
      <c r="F119" s="507"/>
      <c r="G119" s="513" t="str">
        <f>IF(C119&lt;&gt;"",F119*E119,"")</f>
        <v/>
      </c>
      <c r="H119" s="510"/>
      <c r="I119" s="510"/>
      <c r="J119" s="510"/>
    </row>
    <row r="120" hidden="1" spans="2:14">
      <c r="B120" s="532"/>
      <c r="C120" s="520"/>
      <c r="D120" s="520"/>
      <c r="E120" s="520"/>
      <c r="F120" s="521" t="s">
        <v>402</v>
      </c>
      <c r="G120" s="522">
        <f>SUM(G115:G119)</f>
        <v>0</v>
      </c>
      <c r="H120" s="523"/>
      <c r="I120" s="523"/>
      <c r="J120" s="523"/>
    </row>
    <row r="121" ht="32.4" hidden="1" customHeight="1" spans="2:14">
      <c r="B121" s="533"/>
      <c r="C121" s="534"/>
      <c r="D121" s="534"/>
      <c r="E121" s="534"/>
      <c r="F121" s="534" t="s">
        <v>403</v>
      </c>
      <c r="G121" s="535">
        <f>(H113+N111)*G102+G120</f>
        <v>0</v>
      </c>
      <c r="H121" s="536"/>
      <c r="I121" s="503"/>
      <c r="J121" s="503"/>
    </row>
    <row r="122" hidden="1" spans="2:14">
      <c r="B122" s="537"/>
      <c r="C122" s="537"/>
      <c r="D122" s="537"/>
      <c r="E122" s="537"/>
      <c r="F122" s="538"/>
      <c r="G122" s="523"/>
      <c r="H122" s="536"/>
      <c r="I122" s="510"/>
      <c r="J122" s="510"/>
    </row>
    <row r="123" ht="21" hidden="1" spans="2:14">
      <c r="B123" s="496" t="s">
        <v>404</v>
      </c>
      <c r="C123" s="539"/>
      <c r="D123" s="539"/>
      <c r="E123" s="539"/>
      <c r="F123" s="540"/>
      <c r="G123" s="541"/>
      <c r="H123" s="536"/>
      <c r="I123" s="536"/>
      <c r="K123" s="542" t="s">
        <v>405</v>
      </c>
      <c r="L123" s="543"/>
      <c r="M123" s="543"/>
      <c r="N123" s="544"/>
    </row>
    <row r="124" hidden="1" spans="2:14">
      <c r="B124" s="500" t="s">
        <v>115</v>
      </c>
      <c r="C124" s="500" t="s">
        <v>406</v>
      </c>
      <c r="D124" s="501" t="s">
        <v>135</v>
      </c>
      <c r="E124" s="500" t="s">
        <v>40</v>
      </c>
      <c r="F124" s="502" t="s">
        <v>407</v>
      </c>
      <c r="G124" s="545" t="s">
        <v>391</v>
      </c>
      <c r="H124" s="536"/>
      <c r="I124" s="536"/>
      <c r="K124" s="546" t="s">
        <v>134</v>
      </c>
      <c r="L124" s="546" t="s">
        <v>27</v>
      </c>
      <c r="M124" s="546" t="s">
        <v>408</v>
      </c>
      <c r="N124" s="546" t="s">
        <v>409</v>
      </c>
    </row>
    <row r="125" hidden="1" spans="2:14">
      <c r="B125" s="505" t="str">
        <f>IF(C125&lt;&gt;"",INDEX('BANCO - EQP'!$A$1:$F$53,MATCH('CUSTO DIRETO'!C125,'BANCO - EQP'!$B$1:$B$53,0),1),"")</f>
        <v/>
      </c>
      <c r="C125" s="506"/>
      <c r="D125" s="547" t="str">
        <f>IF(B125&lt;&gt;"",VLOOKUP($B125,'BANCO - EQP'!$A$3:$F$391,3),"")</f>
        <v/>
      </c>
      <c r="E125" s="548"/>
      <c r="F125" s="509" t="str">
        <f>IF(B125&lt;&gt;"",VLOOKUP($B125,'BANCO - EQP'!$A$3:$F$391,6),"")</f>
        <v/>
      </c>
      <c r="G125" s="513" t="str">
        <f t="shared" ref="G125:G137" si="19">IFERROR(F125*E125,"")</f>
        <v/>
      </c>
      <c r="H125" s="536"/>
      <c r="I125" s="536"/>
      <c r="K125" s="549" t="str">
        <f t="shared" ref="K125:K131" si="20">B125</f>
        <v/>
      </c>
      <c r="L125" s="549">
        <f t="shared" ref="L125:L127" si="21">C125</f>
        <v>0</v>
      </c>
      <c r="M125" s="549" t="str">
        <f>IFERROR(VLOOKUP($B125,'BANCO - EQP'!$A$3:$F$904,4,FALSE),"")</f>
        <v/>
      </c>
      <c r="N125" s="549" t="str">
        <f>IFERROR(VLOOKUP($B125,'BANCO - EQP'!$A$3:$F$904,5,FALSE)*E125,"")</f>
        <v/>
      </c>
    </row>
    <row r="126" hidden="1" spans="2:14">
      <c r="B126" s="505" t="str">
        <f>IF(C126&lt;&gt;"",INDEX('BANCO - EQP'!$A$1:$F$53,MATCH('CUSTO DIRETO'!C126,'BANCO - EQP'!$B$1:$B$53,0),1),"")</f>
        <v/>
      </c>
      <c r="C126" s="506"/>
      <c r="D126" s="547" t="str">
        <f>IF(B126&lt;&gt;"",VLOOKUP($B126,'BANCO - EQP'!$A$3:$F$391,3),"")</f>
        <v/>
      </c>
      <c r="E126" s="548"/>
      <c r="F126" s="509" t="str">
        <f>IF(B126&lt;&gt;"",VLOOKUP($B126,'BANCO - EQP'!$A$3:$F$391,6),"")</f>
        <v/>
      </c>
      <c r="G126" s="513" t="str">
        <f t="shared" si="19"/>
        <v/>
      </c>
      <c r="H126" s="536"/>
      <c r="I126" s="536"/>
      <c r="K126" s="549" t="str">
        <f t="shared" si="20"/>
        <v/>
      </c>
      <c r="L126" s="549">
        <f t="shared" si="21"/>
        <v>0</v>
      </c>
      <c r="M126" s="549" t="str">
        <f>IFERROR(VLOOKUP($B126,'BANCO - EQP'!$A$3:$F$904,4,FALSE),"")</f>
        <v/>
      </c>
      <c r="N126" s="549" t="str">
        <f>IFERROR(VLOOKUP($B126,'BANCO - EQP'!$A$3:$F$904,5,FALSE)*E126,"")</f>
        <v/>
      </c>
    </row>
    <row r="127" hidden="1" spans="2:14">
      <c r="B127" s="505" t="str">
        <f>IF(C127&lt;&gt;"",INDEX('BANCO - EQP'!$A$1:$F$53,MATCH('CUSTO DIRETO'!C127,'BANCO - EQP'!$B$1:$B$53,0),1),"")</f>
        <v/>
      </c>
      <c r="C127" s="506"/>
      <c r="D127" s="547" t="str">
        <f>IF(B127&lt;&gt;"",VLOOKUP($B127,'BANCO - EQP'!$A$3:$F$391,3),"")</f>
        <v/>
      </c>
      <c r="E127" s="548"/>
      <c r="F127" s="509" t="str">
        <f>IF(B127&lt;&gt;"",VLOOKUP($B127,'BANCO - EQP'!$A$3:$F$391,6),"")</f>
        <v/>
      </c>
      <c r="G127" s="513" t="str">
        <f t="shared" si="19"/>
        <v/>
      </c>
      <c r="H127" s="536"/>
      <c r="I127" s="536"/>
      <c r="K127" s="549" t="str">
        <f t="shared" si="20"/>
        <v/>
      </c>
      <c r="L127" s="549">
        <f t="shared" si="21"/>
        <v>0</v>
      </c>
      <c r="M127" s="549" t="str">
        <f>IFERROR(VLOOKUP($B127,'BANCO - EQP'!$A$3:$F$904,4,FALSE),"")</f>
        <v/>
      </c>
      <c r="N127" s="549" t="str">
        <f>IFERROR(VLOOKUP($B127,'BANCO - EQP'!$A$3:$F$904,5,FALSE)*E127,"")</f>
        <v/>
      </c>
    </row>
    <row r="128" hidden="1" spans="2:14">
      <c r="B128" s="505" t="str">
        <f>IF(C128&lt;&gt;"",INDEX('BANCO - EQP'!$A$1:$F$53,MATCH('CUSTO DIRETO'!C128,'BANCO - EQP'!$B$1:$B$53,0),1),"")</f>
        <v/>
      </c>
      <c r="C128" s="506"/>
      <c r="D128" s="547" t="str">
        <f>IF(B128&lt;&gt;"",VLOOKUP($B128,'BANCO - EQP'!$A$3:$F$391,3),"")</f>
        <v/>
      </c>
      <c r="E128" s="548"/>
      <c r="F128" s="509" t="str">
        <f>IF(B128&lt;&gt;"",VLOOKUP($B128,'BANCO - EQP'!$A$3:$F$391,6),"")</f>
        <v/>
      </c>
      <c r="G128" s="513" t="str">
        <f t="shared" si="19"/>
        <v/>
      </c>
      <c r="H128" s="536"/>
      <c r="I128" s="536"/>
      <c r="K128" s="549" t="str">
        <f t="shared" si="20"/>
        <v/>
      </c>
      <c r="L128" s="549">
        <f t="shared" ref="L128:L131" si="22">C128</f>
        <v>0</v>
      </c>
      <c r="M128" s="549" t="str">
        <f>IFERROR(VLOOKUP($B128,'BANCO - EQP'!$A$3:$F$904,4,FALSE),"")</f>
        <v/>
      </c>
      <c r="N128" s="549" t="str">
        <f>IFERROR(VLOOKUP($B128,'BANCO - EQP'!$A$3:$F$904,5,FALSE)*E128,"")</f>
        <v/>
      </c>
    </row>
    <row r="129" hidden="1" spans="2:14">
      <c r="B129" s="505" t="str">
        <f>IF(C129&lt;&gt;"",INDEX('BANCO - EQP'!$A$1:$F$53,MATCH('CUSTO DIRETO'!C129,'BANCO - EQP'!$B$1:$B$53,0),1),"")</f>
        <v/>
      </c>
      <c r="C129" s="506"/>
      <c r="D129" s="547" t="str">
        <f>IF(B129&lt;&gt;"",VLOOKUP($B129,'BANCO - EQP'!$A$3:$F$391,3),"")</f>
        <v/>
      </c>
      <c r="E129" s="548"/>
      <c r="F129" s="509" t="str">
        <f>IF(B129&lt;&gt;"",VLOOKUP($B129,'BANCO - EQP'!$A$3:$F$391,6),"")</f>
        <v/>
      </c>
      <c r="G129" s="513" t="str">
        <f t="shared" si="19"/>
        <v/>
      </c>
      <c r="H129" s="536"/>
      <c r="I129" s="536"/>
      <c r="K129" s="549" t="str">
        <f t="shared" si="20"/>
        <v/>
      </c>
      <c r="L129" s="549">
        <f t="shared" si="22"/>
        <v>0</v>
      </c>
      <c r="M129" s="549" t="str">
        <f>IFERROR(VLOOKUP($B129,'BANCO - EQP'!$A$3:$F$904,4,FALSE),"")</f>
        <v/>
      </c>
      <c r="N129" s="549" t="str">
        <f>IFERROR(VLOOKUP($B129,'BANCO - EQP'!$A$3:$F$904,5,FALSE)*E129,"")</f>
        <v/>
      </c>
    </row>
    <row r="130" hidden="1" spans="2:14">
      <c r="B130" s="505" t="str">
        <f>IF(C130&lt;&gt;"",INDEX('BANCO - EQP'!$A$1:$F$53,MATCH('CUSTO DIRETO'!C130,'BANCO - EQP'!$B$1:$B$53,0),1),"")</f>
        <v/>
      </c>
      <c r="C130" s="506"/>
      <c r="D130" s="547" t="str">
        <f>IF(B130&lt;&gt;"",VLOOKUP($B130,'BANCO - EQP'!$A$3:$F$391,3),"")</f>
        <v/>
      </c>
      <c r="E130" s="548"/>
      <c r="F130" s="509" t="str">
        <f>IF(B130&lt;&gt;"",VLOOKUP($B130,'BANCO - EQP'!$A$3:$F$391,6),"")</f>
        <v/>
      </c>
      <c r="G130" s="513" t="str">
        <f t="shared" si="19"/>
        <v/>
      </c>
      <c r="H130" s="536"/>
      <c r="I130" s="536"/>
      <c r="K130" s="549" t="str">
        <f t="shared" si="20"/>
        <v/>
      </c>
      <c r="L130" s="549">
        <f t="shared" si="22"/>
        <v>0</v>
      </c>
      <c r="M130" s="549" t="str">
        <f>IFERROR(VLOOKUP($B130,'BANCO - EQP'!$A$3:$F$904,4,FALSE),"")</f>
        <v/>
      </c>
      <c r="N130" s="549" t="str">
        <f>IFERROR(VLOOKUP($B130,'BANCO - EQP'!$A$3:$F$904,5,FALSE)*E130,"")</f>
        <v/>
      </c>
    </row>
    <row r="131" hidden="1" spans="2:14">
      <c r="B131" s="505" t="str">
        <f>IF(C131&lt;&gt;"",INDEX('BANCO - EQP'!$A$1:$F$53,MATCH('CUSTO DIRETO'!C131,'BANCO - EQP'!$B$1:$B$53,0),1),"")</f>
        <v/>
      </c>
      <c r="C131" s="506"/>
      <c r="D131" s="547" t="str">
        <f>IF(B131&lt;&gt;"",VLOOKUP($B131,'BANCO - EQP'!$A$3:$F$391,3),"")</f>
        <v/>
      </c>
      <c r="E131" s="548"/>
      <c r="F131" s="509" t="str">
        <f>IF(B131&lt;&gt;"",VLOOKUP($B131,'BANCO - EQP'!$A$3:$F$391,6),"")</f>
        <v/>
      </c>
      <c r="G131" s="513" t="str">
        <f t="shared" si="19"/>
        <v/>
      </c>
      <c r="H131" s="536"/>
      <c r="I131" s="536"/>
      <c r="K131" s="549" t="str">
        <f t="shared" si="20"/>
        <v/>
      </c>
      <c r="L131" s="549">
        <f t="shared" si="22"/>
        <v>0</v>
      </c>
      <c r="M131" s="549" t="str">
        <f>IFERROR(VLOOKUP($B131,'BANCO - EQP'!$A$3:$F$904,4,FALSE),"")</f>
        <v/>
      </c>
      <c r="N131" s="549" t="str">
        <f>IFERROR(VLOOKUP($B131,'BANCO - EQP'!$A$3:$F$904,5,FALSE)*E131,"")</f>
        <v/>
      </c>
    </row>
    <row r="132" hidden="1" spans="2:14">
      <c r="B132" s="505" t="str">
        <f>IF(C132&lt;&gt;"",INDEX('BANCO - EQP'!$A$1:$F$53,MATCH('CUSTO DIRETO'!C132,'BANCO - EQP'!$B$1:$B$53,0),1),"")</f>
        <v/>
      </c>
      <c r="C132" s="506"/>
      <c r="D132" s="547" t="str">
        <f>IF(B132&lt;&gt;"",VLOOKUP($B132,'BANCO - EQP'!$A$3:$F$391,3),"")</f>
        <v/>
      </c>
      <c r="E132" s="548"/>
      <c r="F132" s="509" t="str">
        <f>IF(B132&lt;&gt;"",VLOOKUP($B132,'BANCO - EQP'!$A$3:$F$391,6),"")</f>
        <v/>
      </c>
      <c r="G132" s="513" t="str">
        <f t="shared" si="19"/>
        <v/>
      </c>
      <c r="H132" s="536"/>
      <c r="I132" s="536"/>
      <c r="K132" s="549" t="str">
        <f t="shared" ref="K132:K137" si="23">B129</f>
        <v/>
      </c>
      <c r="L132" s="549">
        <f t="shared" ref="L132:L137" si="24">C129</f>
        <v>0</v>
      </c>
      <c r="M132" s="549" t="str">
        <f>IFERROR(VLOOKUP($B129,'BANCO - EQP'!$A$3:$F$904,4,FALSE),"")</f>
        <v/>
      </c>
      <c r="N132" s="549" t="str">
        <f>IFERROR(VLOOKUP($B129,'BANCO - EQP'!$A$3:$F$904,5,FALSE)*E129,"")</f>
        <v/>
      </c>
    </row>
    <row r="133" hidden="1" spans="2:14">
      <c r="B133" s="505" t="str">
        <f>IF(C133&lt;&gt;"",INDEX('BANCO - EQP'!$A$1:$F$53,MATCH('CUSTO DIRETO'!C133,'BANCO - EQP'!$B$1:$B$53,0),1),"")</f>
        <v/>
      </c>
      <c r="C133" s="506"/>
      <c r="D133" s="547" t="str">
        <f>IF(B133&lt;&gt;"",VLOOKUP($B133,'BANCO - EQP'!$A$3:$F$391,3),"")</f>
        <v/>
      </c>
      <c r="E133" s="548"/>
      <c r="F133" s="509" t="str">
        <f>IF(B133&lt;&gt;"",VLOOKUP($B133,'BANCO - EQP'!$A$3:$F$391,6),"")</f>
        <v/>
      </c>
      <c r="G133" s="513" t="str">
        <f t="shared" si="19"/>
        <v/>
      </c>
      <c r="H133" s="536"/>
      <c r="I133" s="536"/>
      <c r="K133" s="549" t="str">
        <f t="shared" si="23"/>
        <v/>
      </c>
      <c r="L133" s="549">
        <f t="shared" si="24"/>
        <v>0</v>
      </c>
      <c r="M133" s="549" t="str">
        <f>IFERROR(VLOOKUP($B130,'BANCO - EQP'!$A$3:$F$904,4,FALSE),"")</f>
        <v/>
      </c>
      <c r="N133" s="549" t="str">
        <f>IFERROR(VLOOKUP($B130,'BANCO - EQP'!$A$3:$F$904,5,FALSE)*E130,"")</f>
        <v/>
      </c>
    </row>
    <row r="134" hidden="1" spans="2:14">
      <c r="B134" s="505" t="str">
        <f>IF(C134&lt;&gt;"",INDEX('BANCO - EQP'!$A$1:$F$53,MATCH('CUSTO DIRETO'!C134,'BANCO - EQP'!$B$1:$B$53,0),1),"")</f>
        <v/>
      </c>
      <c r="C134" s="506"/>
      <c r="D134" s="547" t="str">
        <f>IF(B134&lt;&gt;"",VLOOKUP($B134,'BANCO - EQP'!$A$3:$F$391,3),"")</f>
        <v/>
      </c>
      <c r="E134" s="548"/>
      <c r="F134" s="509" t="str">
        <f>IF(B134&lt;&gt;"",VLOOKUP($B134,'BANCO - EQP'!$A$3:$F$391,6),"")</f>
        <v/>
      </c>
      <c r="G134" s="513" t="str">
        <f t="shared" si="19"/>
        <v/>
      </c>
      <c r="H134" s="536"/>
      <c r="I134" s="536"/>
      <c r="K134" s="549" t="str">
        <f t="shared" si="23"/>
        <v/>
      </c>
      <c r="L134" s="549">
        <f t="shared" si="24"/>
        <v>0</v>
      </c>
      <c r="M134" s="549" t="str">
        <f>IFERROR(VLOOKUP($B131,'BANCO - EQP'!$A$3:$F$904,4,FALSE),"")</f>
        <v/>
      </c>
      <c r="N134" s="549" t="str">
        <f>IFERROR(VLOOKUP($B131,'BANCO - EQP'!$A$3:$F$904,5,FALSE)*E131,"")</f>
        <v/>
      </c>
    </row>
    <row r="135" hidden="1" spans="2:14">
      <c r="B135" s="505" t="str">
        <f>IF(C135&lt;&gt;"",INDEX('BANCO - EQP'!$A$1:$F$53,MATCH('CUSTO DIRETO'!C135,'BANCO - EQP'!$B$1:$B$53,0),1),"")</f>
        <v/>
      </c>
      <c r="C135" s="506"/>
      <c r="D135" s="547" t="str">
        <f>IF(B135&lt;&gt;"",VLOOKUP($B135,'BANCO - EQP'!$A$3:$F$391,3),"")</f>
        <v/>
      </c>
      <c r="E135" s="548"/>
      <c r="F135" s="509" t="str">
        <f>IF(B135&lt;&gt;"",VLOOKUP($B135,'BANCO - EQP'!$A$3:$F$391,6),"")</f>
        <v/>
      </c>
      <c r="G135" s="513" t="str">
        <f t="shared" si="19"/>
        <v/>
      </c>
      <c r="H135" s="536"/>
      <c r="I135" s="536"/>
      <c r="K135" s="549" t="str">
        <f t="shared" si="23"/>
        <v/>
      </c>
      <c r="L135" s="549">
        <f t="shared" si="24"/>
        <v>0</v>
      </c>
      <c r="M135" s="549" t="str">
        <f>IFERROR(VLOOKUP($B132,'BANCO - EQP'!$A$3:$F$904,4,FALSE),"")</f>
        <v/>
      </c>
      <c r="N135" s="549" t="str">
        <f>IFERROR(VLOOKUP($B132,'BANCO - EQP'!$A$3:$F$904,5,FALSE)*E132,"")</f>
        <v/>
      </c>
    </row>
    <row r="136" hidden="1" spans="2:14">
      <c r="B136" s="505" t="str">
        <f>IF(C136&lt;&gt;"",INDEX('BANCO - EQP'!$A$1:$F$53,MATCH('CUSTO DIRETO'!C136,'BANCO - EQP'!$B$1:$B$53,0),1),"")</f>
        <v/>
      </c>
      <c r="C136" s="506"/>
      <c r="D136" s="547" t="str">
        <f>IF(B136&lt;&gt;"",VLOOKUP($B136,'BANCO - EQP'!$A$3:$F$391,3),"")</f>
        <v/>
      </c>
      <c r="E136" s="548"/>
      <c r="F136" s="509" t="str">
        <f>IF(B136&lt;&gt;"",VLOOKUP($B136,'BANCO - EQP'!$A$3:$F$391,6),"")</f>
        <v/>
      </c>
      <c r="G136" s="513" t="str">
        <f t="shared" si="19"/>
        <v/>
      </c>
      <c r="H136" s="536"/>
      <c r="I136" s="536"/>
      <c r="K136" s="549" t="str">
        <f t="shared" si="23"/>
        <v/>
      </c>
      <c r="L136" s="549">
        <f t="shared" si="24"/>
        <v>0</v>
      </c>
      <c r="M136" s="549" t="str">
        <f>IFERROR(VLOOKUP($B133,'BANCO - EQP'!$A$3:$F$904,4,FALSE),"")</f>
        <v/>
      </c>
      <c r="N136" s="549" t="str">
        <f>IFERROR(VLOOKUP($B133,'BANCO - EQP'!$A$3:$F$904,5,FALSE)*E133,"")</f>
        <v/>
      </c>
    </row>
    <row r="137" hidden="1" spans="2:14">
      <c r="B137" s="505" t="str">
        <f>IF(C137&lt;&gt;"",INDEX('BANCO - EQP'!$A$1:$F$53,MATCH('CUSTO DIRETO'!C137,'BANCO - EQP'!$B$1:$B$53,0),1),"")</f>
        <v/>
      </c>
      <c r="C137" s="506"/>
      <c r="D137" s="547" t="str">
        <f>IF(B137&lt;&gt;"",VLOOKUP($B137,'BANCO - EQP'!$A$3:$F$391,3),"")</f>
        <v/>
      </c>
      <c r="E137" s="548"/>
      <c r="F137" s="509" t="str">
        <f>IF(B137&lt;&gt;"",VLOOKUP($B137,'BANCO - EQP'!$A$3:$F$391,6),"")</f>
        <v/>
      </c>
      <c r="G137" s="513" t="str">
        <f t="shared" si="19"/>
        <v/>
      </c>
      <c r="H137" s="536"/>
      <c r="I137" s="536"/>
      <c r="K137" s="549" t="str">
        <f t="shared" si="23"/>
        <v/>
      </c>
      <c r="L137" s="549">
        <f t="shared" si="24"/>
        <v>0</v>
      </c>
      <c r="M137" s="549" t="str">
        <f>IFERROR(VLOOKUP($B134,'BANCO - EQP'!$A$3:$F$904,4,FALSE),"")</f>
        <v/>
      </c>
      <c r="N137" s="549" t="str">
        <f>IFERROR(VLOOKUP($B134,'BANCO - EQP'!$A$3:$F$904,5,FALSE)*E134,"")</f>
        <v/>
      </c>
    </row>
    <row r="138" hidden="1" spans="2:14">
      <c r="B138" s="550">
        <v>1</v>
      </c>
      <c r="C138" s="551" t="s">
        <v>214</v>
      </c>
      <c r="D138" s="552">
        <f>N138</f>
        <v>0</v>
      </c>
      <c r="E138" s="553" t="s">
        <v>215</v>
      </c>
      <c r="F138" s="554">
        <f>IF(B138&lt;&gt;"",VLOOKUP($B138,'BANCO - EQP'!$A$3:$F$391,6),"")</f>
        <v>8</v>
      </c>
      <c r="G138" s="554">
        <f>F138*D138</f>
        <v>0</v>
      </c>
      <c r="H138" s="536"/>
      <c r="I138" s="536"/>
      <c r="K138" s="555">
        <f>B138</f>
        <v>1</v>
      </c>
      <c r="L138" s="556" t="str">
        <f>C138</f>
        <v>Diesel</v>
      </c>
      <c r="M138" s="557"/>
      <c r="N138" s="558">
        <f>SUMIF(M125:M144,L138,N125:N144)</f>
        <v>0</v>
      </c>
    </row>
    <row r="139" hidden="1" spans="2:14">
      <c r="B139" s="550">
        <v>2</v>
      </c>
      <c r="C139" s="551" t="s">
        <v>217</v>
      </c>
      <c r="D139" s="552">
        <f>N139</f>
        <v>0</v>
      </c>
      <c r="E139" s="553" t="s">
        <v>215</v>
      </c>
      <c r="F139" s="554">
        <f>IF(B139&lt;&gt;"",VLOOKUP($B139,'BANCO - EQP'!$A$3:$F$391,6),"")</f>
        <v>6</v>
      </c>
      <c r="G139" s="554">
        <f>F139*D139</f>
        <v>0</v>
      </c>
      <c r="H139" s="536"/>
      <c r="I139" s="536"/>
      <c r="K139" s="555">
        <f>B139</f>
        <v>2</v>
      </c>
      <c r="L139" s="556" t="str">
        <f>C139</f>
        <v>Gasolina</v>
      </c>
      <c r="M139" s="557"/>
      <c r="N139" s="558">
        <f>SUMIF(M125:M144,L139,N125:N144)</f>
        <v>0</v>
      </c>
    </row>
    <row r="140" hidden="1" spans="2:14">
      <c r="B140" s="519"/>
      <c r="C140" s="520"/>
      <c r="D140" s="520"/>
      <c r="E140" s="520"/>
      <c r="F140" s="521" t="s">
        <v>392</v>
      </c>
      <c r="G140" s="522">
        <f>SUM(G125:G139)</f>
        <v>0</v>
      </c>
      <c r="H140" s="536"/>
      <c r="I140" s="536"/>
      <c r="K140" s="549"/>
      <c r="L140" s="549"/>
      <c r="M140" s="549"/>
      <c r="N140" s="549"/>
    </row>
    <row r="141" ht="15.75" hidden="1" spans="2:14">
      <c r="B141" s="559" t="s">
        <v>393</v>
      </c>
      <c r="C141" s="560"/>
      <c r="D141" s="560"/>
      <c r="E141" s="560"/>
      <c r="F141" s="561"/>
      <c r="G141" s="562"/>
      <c r="H141" s="536"/>
      <c r="I141" s="536"/>
      <c r="K141" s="549" t="str">
        <f>B141</f>
        <v>Empreiteiros</v>
      </c>
      <c r="L141" s="549"/>
      <c r="M141" s="549"/>
      <c r="N141" s="549"/>
    </row>
    <row r="142" hidden="1" spans="2:14">
      <c r="B142" s="500" t="s">
        <v>115</v>
      </c>
      <c r="C142" s="500" t="s">
        <v>410</v>
      </c>
      <c r="D142" s="501" t="s">
        <v>135</v>
      </c>
      <c r="E142" s="500" t="s">
        <v>40</v>
      </c>
      <c r="F142" s="502" t="s">
        <v>407</v>
      </c>
      <c r="G142" s="545" t="s">
        <v>391</v>
      </c>
      <c r="H142" s="536"/>
      <c r="I142" s="536"/>
      <c r="K142" s="549"/>
      <c r="L142" s="549"/>
      <c r="M142" s="549"/>
      <c r="N142" s="549"/>
    </row>
    <row r="143" hidden="1" spans="2:14">
      <c r="B143" s="505"/>
      <c r="C143" s="506"/>
      <c r="D143" s="547"/>
      <c r="E143" s="547"/>
      <c r="F143" s="547"/>
      <c r="G143" s="513" t="str">
        <f>IF(C143&lt;&gt;"",F143*D143,"")</f>
        <v/>
      </c>
      <c r="H143" s="536"/>
      <c r="I143" s="536"/>
      <c r="K143" s="549"/>
      <c r="L143" s="549"/>
      <c r="M143" s="549"/>
      <c r="N143" s="549"/>
    </row>
    <row r="144" hidden="1" spans="2:14">
      <c r="B144" s="505"/>
      <c r="C144" s="506"/>
      <c r="D144" s="547"/>
      <c r="E144" s="547"/>
      <c r="F144" s="547"/>
      <c r="G144" s="513" t="str">
        <f>IF(C144&lt;&gt;"",F144*D144,"")</f>
        <v/>
      </c>
      <c r="H144" s="536"/>
      <c r="I144" s="536"/>
      <c r="K144" s="549"/>
      <c r="L144" s="549"/>
      <c r="M144" s="549"/>
      <c r="N144" s="549"/>
    </row>
    <row r="145" hidden="1" spans="2:9">
      <c r="B145" s="532"/>
      <c r="C145" s="520"/>
      <c r="D145" s="520"/>
      <c r="E145" s="520"/>
      <c r="F145" s="521" t="s">
        <v>402</v>
      </c>
      <c r="G145" s="522">
        <f>SUM(G143:G144)</f>
        <v>0</v>
      </c>
      <c r="H145" s="536"/>
      <c r="I145" s="536"/>
    </row>
    <row r="146" hidden="1" spans="2:9">
      <c r="B146" s="533"/>
      <c r="C146" s="534"/>
      <c r="D146" s="534"/>
      <c r="E146" s="534"/>
      <c r="F146" s="534" t="s">
        <v>413</v>
      </c>
      <c r="G146" s="535">
        <f>(G140*G102)+G145</f>
        <v>0</v>
      </c>
      <c r="H146" s="536"/>
      <c r="I146" s="536"/>
    </row>
    <row r="147" ht="15.75" hidden="1" spans="2:9">
      <c r="B147" s="563"/>
      <c r="C147" s="564"/>
      <c r="D147" s="564"/>
      <c r="E147" s="564"/>
      <c r="F147" s="565" t="s">
        <v>414</v>
      </c>
      <c r="G147" s="566">
        <f>G146+G121</f>
        <v>0</v>
      </c>
      <c r="H147" s="536"/>
      <c r="I147" s="536"/>
    </row>
    <row r="148" spans="2:9">
      <c r="F148" s="567"/>
      <c r="G148" s="567"/>
      <c r="H148" s="568"/>
      <c r="I148" s="536"/>
    </row>
    <row r="149" spans="2:9">
      <c r="F149" s="567"/>
      <c r="G149" s="567"/>
      <c r="H149" s="568"/>
      <c r="I149" s="536"/>
    </row>
    <row r="150" spans="2:9">
      <c r="F150" s="567"/>
      <c r="G150" s="567"/>
      <c r="H150" s="568"/>
      <c r="I150" s="536"/>
    </row>
    <row r="151" spans="2:9">
      <c r="F151" s="567"/>
      <c r="G151" s="567"/>
      <c r="H151" s="568"/>
      <c r="I151" s="536"/>
    </row>
    <row r="152" spans="2:9">
      <c r="F152" s="567"/>
      <c r="G152" s="567"/>
      <c r="H152" s="568"/>
      <c r="I152" s="536"/>
    </row>
    <row r="153" spans="2:9">
      <c r="F153" s="567"/>
      <c r="G153" s="567"/>
      <c r="H153" s="568"/>
      <c r="I153" s="536"/>
    </row>
    <row r="154" spans="2:9">
      <c r="F154" s="567"/>
      <c r="G154" s="567"/>
      <c r="H154" s="568"/>
      <c r="I154" s="536"/>
    </row>
    <row r="155" spans="2:9">
      <c r="F155" s="567"/>
      <c r="G155" s="567"/>
      <c r="H155" s="568"/>
      <c r="I155" s="536"/>
    </row>
    <row r="1057" spans="1:1">
      <c r="A1057" s="571"/>
    </row>
  </sheetData>
  <sheetProtection formatCells="0" formatColumns="0" formatRows="0" insertRows="0" insertColumns="0" deleteColumns="0" deleteRows="0" sort="0" autoFilter="0" pivotTables="0"/>
  <mergeCells count="1">
    <mergeCell ref="I3:I4"/>
  </mergeCells>
  <dataValidations count="3">
    <dataValidation type="list" allowBlank="1" showInputMessage="1" showErrorMessage="1" sqref="C11:C18 C58:C65 C105:C112 C152:C155">
      <formula1>'CPUs INTERNAS'!$B$4:$B$48</formula1>
    </dataValidation>
    <dataValidation type="list" allowBlank="1" showInputMessage="1" showErrorMessage="1" sqref="C31:C43 C78:C90 C125:C137">
      <formula1>'BANCO - EQP'!$B$6:$B$283</formula1>
    </dataValidation>
    <dataValidation type="list" allowBlank="1" showInputMessage="1" showErrorMessage="1" sqref="I3:I4">
      <formula1>BD!$C$3:$J$3</formula1>
    </dataValidation>
  </dataValidations>
  <printOptions horizontalCentered="1"/>
  <pageMargins left="0.393700787401575" right="0.393700787401575" top="0.393700787401575" bottom="0.393700787401575" header="0.511811023622047" footer="0.511811023622047"/>
  <pageSetup paperSize="1" scale="45"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pageSetUpPr fitToPage="1"/>
  </sheetPr>
  <dimension ref="A1:K37"/>
  <sheetViews>
    <sheetView showGridLines="0" zoomScale="130" zoomScaleNormal="130" workbookViewId="0">
      <selection activeCell="I21" sqref="I21"/>
    </sheetView>
  </sheetViews>
  <sheetFormatPr defaultColWidth="9.21904761904762" defaultRowHeight="11.25"/>
  <cols>
    <col min="1" max="1" width="2" style="390" customWidth="1"/>
    <col min="2" max="2" width="6.78095238095238" style="390" customWidth="1"/>
    <col min="3" max="3" width="66.552380952381" style="390" customWidth="1"/>
    <col min="4" max="4" width="12.2190476190476" style="389" customWidth="1"/>
    <col min="5" max="5" width="5.55238095238095" style="391" customWidth="1"/>
    <col min="6" max="6" width="12" style="391" customWidth="1"/>
    <col min="7" max="7" width="13.7809523809524" style="391" customWidth="1"/>
    <col min="8" max="8" width="19.4380952380952" style="390" customWidth="1"/>
    <col min="9" max="10" width="14.4380952380952" style="390" customWidth="1"/>
    <col min="11" max="16384" width="9.21904761904762" style="390"/>
  </cols>
  <sheetData>
    <row r="1" ht="36" customHeight="1" spans="1:11">
      <c r="A1" s="392"/>
    </row>
    <row r="2" ht="35.25" customHeight="1" spans="1:11">
      <c r="A2" s="392"/>
      <c r="B2" s="393" t="s">
        <v>421</v>
      </c>
      <c r="C2" s="394"/>
      <c r="D2" s="394"/>
      <c r="E2" s="394"/>
      <c r="F2" s="394"/>
      <c r="G2" s="395"/>
      <c r="I2" s="396"/>
    </row>
    <row r="3" ht="15" customHeight="1" spans="1:11">
      <c r="A3" s="392"/>
      <c r="B3" s="397" t="s">
        <v>310</v>
      </c>
      <c r="C3" s="398" t="s">
        <v>422</v>
      </c>
      <c r="D3" s="399" t="s">
        <v>312</v>
      </c>
      <c r="E3" s="398" t="s">
        <v>423</v>
      </c>
      <c r="F3" s="398" t="s">
        <v>424</v>
      </c>
      <c r="G3" s="400" t="s">
        <v>425</v>
      </c>
    </row>
    <row r="4" s="387" customFormat="1" ht="15" customHeight="1" spans="1:11">
      <c r="A4" s="401"/>
      <c r="B4" s="402"/>
      <c r="C4" s="403"/>
      <c r="D4" s="404"/>
      <c r="E4" s="403"/>
      <c r="F4" s="403"/>
      <c r="G4" s="405"/>
      <c r="I4" s="406"/>
      <c r="J4" s="406"/>
    </row>
    <row r="5" ht="15" customHeight="1" spans="1:11">
      <c r="A5" s="392"/>
      <c r="B5" s="407">
        <v>1</v>
      </c>
      <c r="C5" s="408" t="s">
        <v>426</v>
      </c>
      <c r="D5" s="409"/>
      <c r="E5" s="410"/>
      <c r="F5" s="411"/>
      <c r="G5" s="412">
        <f>SUM(G6:G14)</f>
        <v>2600847</v>
      </c>
      <c r="H5" s="413"/>
      <c r="I5" s="414"/>
      <c r="J5" s="414"/>
    </row>
    <row r="6" spans="1:11">
      <c r="A6" s="392"/>
      <c r="B6" s="415" t="s">
        <v>139</v>
      </c>
      <c r="C6" s="909" t="s">
        <v>427</v>
      </c>
      <c r="D6" s="417">
        <v>60</v>
      </c>
      <c r="E6" s="418" t="s">
        <v>428</v>
      </c>
      <c r="F6" s="419">
        <v>165</v>
      </c>
      <c r="G6" s="420">
        <f t="shared" ref="G6:G14" si="0">D6*F6</f>
        <v>9900</v>
      </c>
      <c r="H6" s="421"/>
      <c r="I6" s="414"/>
      <c r="J6" s="414"/>
    </row>
    <row r="7" spans="1:11">
      <c r="A7" s="392"/>
      <c r="B7" s="415" t="s">
        <v>144</v>
      </c>
      <c r="C7" s="909" t="s">
        <v>429</v>
      </c>
      <c r="D7" s="417">
        <v>7320</v>
      </c>
      <c r="E7" s="418" t="s">
        <v>428</v>
      </c>
      <c r="F7" s="419">
        <v>185</v>
      </c>
      <c r="G7" s="420">
        <f t="shared" si="0"/>
        <v>1354200</v>
      </c>
      <c r="H7" s="421"/>
      <c r="I7" s="414"/>
      <c r="J7" s="414"/>
    </row>
    <row r="8" spans="1:11">
      <c r="A8" s="392"/>
      <c r="B8" s="415" t="s">
        <v>148</v>
      </c>
      <c r="C8" s="909" t="s">
        <v>430</v>
      </c>
      <c r="D8" s="417">
        <v>2725</v>
      </c>
      <c r="E8" s="418" t="s">
        <v>428</v>
      </c>
      <c r="F8" s="419">
        <v>195</v>
      </c>
      <c r="G8" s="420">
        <f t="shared" si="0"/>
        <v>531375</v>
      </c>
      <c r="H8" s="413"/>
      <c r="I8" s="414"/>
      <c r="J8" s="414"/>
    </row>
    <row r="9" spans="1:11">
      <c r="A9" s="392"/>
      <c r="B9" s="415" t="s">
        <v>152</v>
      </c>
      <c r="C9" s="909" t="s">
        <v>431</v>
      </c>
      <c r="D9" s="417">
        <v>205</v>
      </c>
      <c r="E9" s="418" t="s">
        <v>428</v>
      </c>
      <c r="F9" s="419">
        <v>237</v>
      </c>
      <c r="G9" s="420">
        <f t="shared" si="0"/>
        <v>48585</v>
      </c>
      <c r="H9" s="413"/>
      <c r="I9" s="414"/>
      <c r="J9" s="414"/>
    </row>
    <row r="10" spans="1:11">
      <c r="A10" s="392"/>
      <c r="B10" s="415" t="s">
        <v>158</v>
      </c>
      <c r="C10" s="909" t="s">
        <v>432</v>
      </c>
      <c r="D10" s="417">
        <v>1825</v>
      </c>
      <c r="E10" s="418" t="s">
        <v>433</v>
      </c>
      <c r="F10" s="419">
        <v>355</v>
      </c>
      <c r="G10" s="420">
        <f t="shared" si="0"/>
        <v>647875</v>
      </c>
      <c r="H10" s="413"/>
      <c r="I10" s="414"/>
      <c r="J10" s="414"/>
    </row>
    <row r="11" s="388" customFormat="1" spans="1:11">
      <c r="A11" s="422"/>
      <c r="B11" s="423" t="s">
        <v>434</v>
      </c>
      <c r="C11" s="910" t="s">
        <v>435</v>
      </c>
      <c r="D11" s="425">
        <v>40</v>
      </c>
      <c r="E11" s="426" t="s">
        <v>436</v>
      </c>
      <c r="F11" s="427">
        <v>50</v>
      </c>
      <c r="G11" s="428">
        <f t="shared" si="0"/>
        <v>2000</v>
      </c>
      <c r="H11" s="429"/>
      <c r="I11" s="430"/>
      <c r="J11" s="430"/>
    </row>
    <row r="12" s="388" customFormat="1" spans="1:11">
      <c r="A12" s="422"/>
      <c r="B12" s="423"/>
      <c r="C12" s="910" t="s">
        <v>437</v>
      </c>
      <c r="D12" s="425">
        <v>40</v>
      </c>
      <c r="E12" s="426"/>
      <c r="F12" s="427">
        <v>18</v>
      </c>
      <c r="G12" s="428">
        <f t="shared" si="0"/>
        <v>720</v>
      </c>
      <c r="H12" s="429"/>
      <c r="I12" s="430"/>
      <c r="J12" s="430"/>
    </row>
    <row r="13" s="388" customFormat="1" ht="22.5" spans="1:11">
      <c r="A13" s="422"/>
      <c r="B13" s="423" t="s">
        <v>438</v>
      </c>
      <c r="C13" s="910" t="s">
        <v>439</v>
      </c>
      <c r="D13" s="425">
        <v>40</v>
      </c>
      <c r="E13" s="426" t="s">
        <v>440</v>
      </c>
      <c r="F13" s="427">
        <v>105</v>
      </c>
      <c r="G13" s="428">
        <f t="shared" si="0"/>
        <v>4200</v>
      </c>
      <c r="H13" s="429"/>
      <c r="J13" s="431"/>
    </row>
    <row r="14" s="388" customFormat="1" spans="1:11">
      <c r="A14" s="422"/>
      <c r="B14" s="423" t="s">
        <v>441</v>
      </c>
      <c r="C14" s="910" t="s">
        <v>442</v>
      </c>
      <c r="D14" s="425">
        <v>12</v>
      </c>
      <c r="E14" s="426" t="s">
        <v>440</v>
      </c>
      <c r="F14" s="427">
        <v>166</v>
      </c>
      <c r="G14" s="428">
        <f t="shared" si="0"/>
        <v>1992</v>
      </c>
      <c r="H14" s="429"/>
      <c r="J14" s="431"/>
      <c r="K14" s="432"/>
    </row>
    <row r="15" spans="1:11">
      <c r="A15" s="392"/>
      <c r="B15" s="407">
        <v>2</v>
      </c>
      <c r="C15" s="408" t="s">
        <v>443</v>
      </c>
      <c r="D15" s="409"/>
      <c r="E15" s="410"/>
      <c r="F15" s="411"/>
      <c r="G15" s="412">
        <f>SUM(G16:G17)</f>
        <v>634600</v>
      </c>
      <c r="H15" s="396"/>
      <c r="J15" s="433"/>
      <c r="K15" s="396"/>
    </row>
    <row r="16" ht="22.5" spans="1:11">
      <c r="A16" s="392"/>
      <c r="B16" s="415" t="s">
        <v>163</v>
      </c>
      <c r="C16" s="911" t="s">
        <v>444</v>
      </c>
      <c r="D16" s="435">
        <v>2600</v>
      </c>
      <c r="E16" s="436" t="s">
        <v>445</v>
      </c>
      <c r="F16" s="419">
        <v>70</v>
      </c>
      <c r="G16" s="437">
        <f t="shared" ref="G16:G17" si="1">D16*F16</f>
        <v>182000</v>
      </c>
      <c r="H16" s="438">
        <f>D16/(D6+D7+D8+D9)</f>
        <v>0.252182347235693</v>
      </c>
      <c r="I16" s="390" t="s">
        <v>446</v>
      </c>
      <c r="J16" s="396"/>
      <c r="K16" s="396"/>
    </row>
    <row r="17" ht="22.5" spans="1:11">
      <c r="A17" s="392"/>
      <c r="B17" s="415" t="s">
        <v>165</v>
      </c>
      <c r="C17" s="911" t="s">
        <v>447</v>
      </c>
      <c r="D17" s="435">
        <v>730</v>
      </c>
      <c r="E17" s="436" t="s">
        <v>445</v>
      </c>
      <c r="F17" s="419">
        <v>620</v>
      </c>
      <c r="G17" s="437">
        <f t="shared" si="1"/>
        <v>452600</v>
      </c>
      <c r="H17" s="396">
        <f>D17/(D6+D7+D8+D9)</f>
        <v>0.0708050436469447</v>
      </c>
      <c r="I17" s="390" t="s">
        <v>446</v>
      </c>
      <c r="J17" s="396"/>
      <c r="K17" s="396"/>
    </row>
    <row r="18" spans="1:11">
      <c r="A18" s="392"/>
      <c r="B18" s="407">
        <v>3</v>
      </c>
      <c r="C18" s="408" t="s">
        <v>448</v>
      </c>
      <c r="D18" s="409"/>
      <c r="E18" s="410"/>
      <c r="F18" s="411"/>
      <c r="G18" s="412">
        <f>SUM(G19:G20)</f>
        <v>529000</v>
      </c>
      <c r="H18" s="413"/>
      <c r="J18" s="396"/>
      <c r="K18" s="396"/>
    </row>
    <row r="19" spans="1:11">
      <c r="A19" s="392"/>
      <c r="B19" s="415" t="s">
        <v>177</v>
      </c>
      <c r="C19" s="911" t="s">
        <v>444</v>
      </c>
      <c r="D19" s="439">
        <v>1800</v>
      </c>
      <c r="E19" s="436" t="s">
        <v>445</v>
      </c>
      <c r="F19" s="419">
        <v>70</v>
      </c>
      <c r="G19" s="437">
        <f t="shared" ref="G19:G20" si="2">D19*F19</f>
        <v>126000</v>
      </c>
      <c r="H19" s="396">
        <f>D19/D10</f>
        <v>0.986301369863014</v>
      </c>
      <c r="I19" s="390" t="s">
        <v>449</v>
      </c>
      <c r="J19" s="396"/>
      <c r="K19" s="396"/>
    </row>
    <row r="20" spans="1:11">
      <c r="A20" s="392"/>
      <c r="B20" s="415" t="s">
        <v>179</v>
      </c>
      <c r="C20" s="911" t="s">
        <v>450</v>
      </c>
      <c r="D20" s="439">
        <v>650</v>
      </c>
      <c r="E20" s="436" t="s">
        <v>445</v>
      </c>
      <c r="F20" s="419">
        <v>620</v>
      </c>
      <c r="G20" s="437">
        <f t="shared" si="2"/>
        <v>403000</v>
      </c>
      <c r="H20" s="396">
        <f>D20/D10</f>
        <v>0.356164383561644</v>
      </c>
      <c r="I20" s="390" t="s">
        <v>449</v>
      </c>
      <c r="J20" s="396"/>
      <c r="K20" s="396"/>
    </row>
    <row r="21" ht="12" spans="1:11">
      <c r="A21" s="392"/>
      <c r="B21" s="440" t="s">
        <v>216</v>
      </c>
      <c r="C21" s="441"/>
      <c r="D21" s="442"/>
      <c r="E21" s="443"/>
      <c r="F21" s="443" t="s">
        <v>451</v>
      </c>
      <c r="G21" s="444">
        <f>SUM(,G5,G15,G18)</f>
        <v>3764447</v>
      </c>
      <c r="H21" s="396"/>
      <c r="J21" s="396"/>
      <c r="K21" s="396"/>
    </row>
    <row r="22" ht="32.55" customHeight="1" spans="1:11">
      <c r="A22" s="392"/>
      <c r="B22" s="445"/>
      <c r="C22" s="446"/>
      <c r="D22" s="446"/>
      <c r="E22" s="446"/>
      <c r="F22" s="446"/>
      <c r="G22" s="446"/>
      <c r="I22" s="447"/>
      <c r="J22" s="396"/>
    </row>
    <row r="23" s="389" customFormat="1" ht="37.35" customHeight="1" spans="1:11">
      <c r="A23" s="392"/>
      <c r="B23" s="448"/>
      <c r="C23" s="449"/>
      <c r="E23" s="391"/>
      <c r="F23" s="450"/>
      <c r="G23" s="450"/>
      <c r="H23" s="390"/>
    </row>
    <row r="24" spans="1:11">
      <c r="C24" s="449"/>
      <c r="F24" s="450"/>
      <c r="G24" s="451"/>
      <c r="H24" s="450"/>
      <c r="J24" s="452"/>
    </row>
    <row r="25" spans="1:11">
      <c r="C25" s="449"/>
      <c r="F25" s="453"/>
      <c r="G25" s="454"/>
      <c r="H25" s="450"/>
    </row>
    <row r="26" spans="1:11">
      <c r="C26" s="449"/>
      <c r="F26" s="453"/>
      <c r="G26" s="450"/>
      <c r="H26" s="450"/>
    </row>
    <row r="27" spans="1:11">
      <c r="F27" s="450"/>
      <c r="G27" s="450"/>
      <c r="H27" s="450"/>
    </row>
    <row r="28" spans="1:11">
      <c r="F28" s="450"/>
      <c r="G28" s="450"/>
      <c r="H28" s="450"/>
    </row>
    <row r="29" spans="1:11">
      <c r="F29" s="450"/>
      <c r="G29" s="450"/>
      <c r="H29" s="450"/>
    </row>
    <row r="30" spans="1:11">
      <c r="F30" s="450"/>
      <c r="G30" s="450"/>
      <c r="H30" s="450"/>
    </row>
    <row r="31" spans="1:11">
      <c r="F31" s="450"/>
      <c r="G31" s="450"/>
      <c r="H31" s="450"/>
    </row>
    <row r="32" spans="1:11">
      <c r="F32" s="450"/>
      <c r="G32" s="450"/>
      <c r="H32" s="450"/>
    </row>
    <row r="33" spans="6:8">
      <c r="F33" s="450"/>
      <c r="G33" s="450"/>
      <c r="H33" s="450"/>
    </row>
    <row r="34" spans="6:8">
      <c r="F34" s="450"/>
      <c r="G34" s="450"/>
      <c r="H34" s="450"/>
    </row>
    <row r="35" spans="6:8">
      <c r="F35" s="450"/>
      <c r="G35" s="450"/>
      <c r="H35" s="450"/>
    </row>
    <row r="36" spans="6:8">
      <c r="F36" s="450"/>
      <c r="G36" s="450"/>
      <c r="H36" s="450"/>
    </row>
    <row r="37" spans="6:8">
      <c r="H37" s="450"/>
    </row>
  </sheetData>
  <mergeCells count="8">
    <mergeCell ref="B2:G2"/>
    <mergeCell ref="C22:G22"/>
    <mergeCell ref="B3:B4"/>
    <mergeCell ref="C3:C4"/>
    <mergeCell ref="D3:D4"/>
    <mergeCell ref="E3:E4"/>
    <mergeCell ref="F3:F4"/>
    <mergeCell ref="G3:G4"/>
  </mergeCells>
  <printOptions horizontalCentered="1"/>
  <pageMargins left="0" right="0" top="0.590551181102362" bottom="0.590551181102362" header="0.118110236220472" footer="0.118110236220472"/>
  <pageSetup paperSize="9" firstPageNumber="49" orientation="portrait" useFirstPageNumber="1"/>
  <headerFooter alignWithMargins="0"/>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rgb="FF92D050"/>
  </sheetPr>
  <dimension ref="A1:N93"/>
  <sheetViews>
    <sheetView zoomScale="85" zoomScaleNormal="85" workbookViewId="0">
      <pane ySplit="1" topLeftCell="A28" activePane="bottomLeft" state="frozen"/>
      <selection/>
      <selection pane="bottomLeft" activeCell="M22" sqref="M22"/>
    </sheetView>
  </sheetViews>
  <sheetFormatPr defaultColWidth="9.1047619047619" defaultRowHeight="15"/>
  <cols>
    <col min="1" max="1" width="19.3333333333333" style="345" customWidth="1"/>
    <col min="2" max="2" width="43.8857142857143" style="346" customWidth="1"/>
    <col min="3" max="3" width="9.1047619047619" style="347"/>
    <col min="4" max="4" width="14.552380952381" style="348" customWidth="1"/>
    <col min="5" max="5" width="13.6666666666667" style="347" customWidth="1"/>
    <col min="6" max="6" width="14.552380952381" style="348" customWidth="1"/>
    <col min="7" max="7" width="17.4380952380952" style="346" customWidth="1"/>
    <col min="8" max="8" width="17.1047619047619" style="346" customWidth="1"/>
    <col min="9" max="10" width="11.552380952381" style="346" customWidth="1"/>
    <col min="11" max="12" width="14.1047619047619" style="347" customWidth="1"/>
    <col min="13" max="13" width="13.6666666666667" style="347" customWidth="1"/>
    <col min="14" max="14" width="10.4380952380952" style="347" customWidth="1"/>
    <col min="15" max="16384" width="9.1047619047619" style="347"/>
  </cols>
  <sheetData>
    <row r="1" ht="45" spans="1:10">
      <c r="A1" s="349" t="s">
        <v>452</v>
      </c>
      <c r="B1" s="350" t="s">
        <v>453</v>
      </c>
      <c r="C1" s="351" t="s">
        <v>454</v>
      </c>
      <c r="D1" s="352" t="s">
        <v>455</v>
      </c>
      <c r="E1" s="350" t="s">
        <v>456</v>
      </c>
      <c r="F1" s="352" t="s">
        <v>457</v>
      </c>
      <c r="G1" s="350" t="s">
        <v>458</v>
      </c>
      <c r="H1" s="350" t="s">
        <v>459</v>
      </c>
      <c r="I1" s="350" t="s">
        <v>460</v>
      </c>
      <c r="J1" s="350" t="s">
        <v>461</v>
      </c>
    </row>
    <row r="2" spans="1:10">
      <c r="A2" s="353"/>
      <c r="B2" s="354" t="s">
        <v>462</v>
      </c>
      <c r="C2" s="353" t="s">
        <v>463</v>
      </c>
      <c r="D2" s="355">
        <v>80</v>
      </c>
      <c r="E2" s="356">
        <v>130</v>
      </c>
      <c r="F2" s="355"/>
      <c r="G2" s="357">
        <f t="shared" ref="G2:G11" si="0">F2/D2</f>
        <v>0</v>
      </c>
      <c r="H2" s="357">
        <f>IFERROR(G2/I2,G2/J2)</f>
        <v>0</v>
      </c>
      <c r="I2" s="357">
        <v>1</v>
      </c>
      <c r="J2" s="357">
        <v>2</v>
      </c>
    </row>
    <row r="3" ht="45" spans="1:10">
      <c r="A3" s="358" t="s">
        <v>464</v>
      </c>
      <c r="B3" s="359" t="s">
        <v>465</v>
      </c>
      <c r="C3" s="353" t="s">
        <v>466</v>
      </c>
      <c r="D3" s="355">
        <f>E3</f>
        <v>1.1</v>
      </c>
      <c r="E3" s="356">
        <f>8.8/8</f>
        <v>1.1</v>
      </c>
      <c r="F3" s="355"/>
      <c r="G3" s="357">
        <f t="shared" si="0"/>
        <v>0</v>
      </c>
      <c r="H3" s="357">
        <f t="shared" ref="H3:H10" si="1">G3/I3</f>
        <v>0</v>
      </c>
      <c r="I3" s="357">
        <v>1</v>
      </c>
      <c r="J3" s="357">
        <v>1</v>
      </c>
    </row>
    <row r="4" ht="45" spans="1:10">
      <c r="A4" s="353">
        <v>103915</v>
      </c>
      <c r="B4" s="354" t="s">
        <v>467</v>
      </c>
      <c r="C4" s="353" t="s">
        <v>419</v>
      </c>
      <c r="D4" s="355">
        <v>10</v>
      </c>
      <c r="E4" s="356">
        <f>8.8/0.41</f>
        <v>21.4634146341463</v>
      </c>
      <c r="F4" s="355"/>
      <c r="G4" s="357">
        <f t="shared" si="0"/>
        <v>0</v>
      </c>
      <c r="H4" s="357">
        <f t="shared" si="1"/>
        <v>0</v>
      </c>
      <c r="I4" s="357">
        <v>1</v>
      </c>
      <c r="J4" s="357">
        <v>1</v>
      </c>
    </row>
    <row r="5" ht="120" spans="1:10">
      <c r="A5" s="353" t="s">
        <v>468</v>
      </c>
      <c r="B5" s="359" t="s">
        <v>469</v>
      </c>
      <c r="C5" s="353" t="s">
        <v>419</v>
      </c>
      <c r="D5" s="355">
        <v>4</v>
      </c>
      <c r="E5" s="356">
        <f>8.8/1.33</f>
        <v>6.61654135338346</v>
      </c>
      <c r="F5" s="355"/>
      <c r="G5" s="357">
        <f t="shared" si="0"/>
        <v>0</v>
      </c>
      <c r="H5" s="357">
        <f t="shared" si="1"/>
        <v>0</v>
      </c>
      <c r="I5" s="357">
        <v>1</v>
      </c>
      <c r="J5" s="357">
        <v>1</v>
      </c>
    </row>
    <row r="6" ht="30" spans="1:10">
      <c r="A6" s="360">
        <v>65000242</v>
      </c>
      <c r="B6" s="361" t="s">
        <v>470</v>
      </c>
      <c r="C6" s="360" t="s">
        <v>466</v>
      </c>
      <c r="D6" s="362">
        <f>E6</f>
        <v>4.88888888888889</v>
      </c>
      <c r="E6" s="363">
        <f>8.8/1.8</f>
        <v>4.88888888888889</v>
      </c>
      <c r="F6" s="362"/>
      <c r="G6" s="364">
        <f t="shared" si="0"/>
        <v>0</v>
      </c>
      <c r="H6" s="364">
        <f t="shared" si="1"/>
        <v>0</v>
      </c>
      <c r="I6" s="364">
        <v>1</v>
      </c>
      <c r="J6" s="364">
        <v>1</v>
      </c>
    </row>
    <row r="7" ht="30" spans="1:10">
      <c r="A7" s="353">
        <v>65002510</v>
      </c>
      <c r="B7" s="359" t="s">
        <v>471</v>
      </c>
      <c r="C7" s="353" t="s">
        <v>466</v>
      </c>
      <c r="D7" s="355">
        <f>E7</f>
        <v>1.09045848822801</v>
      </c>
      <c r="E7" s="356">
        <f>8.8/8.07</f>
        <v>1.09045848822801</v>
      </c>
      <c r="F7" s="355"/>
      <c r="G7" s="357">
        <f t="shared" si="0"/>
        <v>0</v>
      </c>
      <c r="H7" s="357">
        <f t="shared" si="1"/>
        <v>0</v>
      </c>
      <c r="I7" s="357">
        <v>1</v>
      </c>
      <c r="J7" s="357">
        <f>13.28/8.07</f>
        <v>1.6456009913259</v>
      </c>
    </row>
    <row r="8" ht="30" spans="1:10">
      <c r="A8" s="353" t="s">
        <v>472</v>
      </c>
      <c r="B8" s="354" t="s">
        <v>473</v>
      </c>
      <c r="C8" s="353" t="s">
        <v>466</v>
      </c>
      <c r="D8" s="355">
        <f>E8</f>
        <v>5.53459119496855</v>
      </c>
      <c r="E8" s="356">
        <f>8.8/1.59</f>
        <v>5.53459119496855</v>
      </c>
      <c r="F8" s="355"/>
      <c r="G8" s="357">
        <f t="shared" si="0"/>
        <v>0</v>
      </c>
      <c r="H8" s="357">
        <f t="shared" si="1"/>
        <v>0</v>
      </c>
      <c r="I8" s="357">
        <v>1</v>
      </c>
      <c r="J8" s="357">
        <f>2.65/1.59</f>
        <v>1.66666666666667</v>
      </c>
    </row>
    <row r="9" ht="75" spans="1:10">
      <c r="A9" s="353">
        <v>101199</v>
      </c>
      <c r="B9" s="359" t="s">
        <v>474</v>
      </c>
      <c r="C9" s="353" t="s">
        <v>112</v>
      </c>
      <c r="D9" s="355">
        <f>E9</f>
        <v>10.1149425287356</v>
      </c>
      <c r="E9" s="356">
        <f>8.8/0.87</f>
        <v>10.1149425287356</v>
      </c>
      <c r="F9" s="355"/>
      <c r="G9" s="357">
        <f t="shared" si="0"/>
        <v>0</v>
      </c>
      <c r="H9" s="357">
        <f t="shared" si="1"/>
        <v>0</v>
      </c>
      <c r="I9" s="357">
        <v>1</v>
      </c>
      <c r="J9" s="357">
        <v>1</v>
      </c>
    </row>
    <row r="10" spans="1:10">
      <c r="A10" s="353"/>
      <c r="B10" s="359" t="s">
        <v>475</v>
      </c>
      <c r="C10" s="353" t="s">
        <v>476</v>
      </c>
      <c r="D10" s="355">
        <v>8</v>
      </c>
      <c r="E10" s="356">
        <v>16</v>
      </c>
      <c r="F10" s="355"/>
      <c r="G10" s="357">
        <f t="shared" si="0"/>
        <v>0</v>
      </c>
      <c r="H10" s="357">
        <f t="shared" si="1"/>
        <v>0</v>
      </c>
      <c r="I10" s="357">
        <v>1</v>
      </c>
      <c r="J10" s="357">
        <f>I10*1</f>
        <v>1</v>
      </c>
    </row>
    <row r="11" spans="1:10">
      <c r="A11" s="353" t="s">
        <v>477</v>
      </c>
      <c r="B11" s="354" t="s">
        <v>478</v>
      </c>
      <c r="C11" s="353" t="s">
        <v>476</v>
      </c>
      <c r="D11" s="355">
        <f t="shared" ref="D11" si="2">E11</f>
        <v>1.37071651090343</v>
      </c>
      <c r="E11" s="356">
        <f>8.8/6.42</f>
        <v>1.37071651090343</v>
      </c>
      <c r="F11" s="355"/>
      <c r="G11" s="357">
        <f t="shared" si="0"/>
        <v>0</v>
      </c>
      <c r="H11" s="357">
        <f>G11</f>
        <v>0</v>
      </c>
      <c r="I11" s="357">
        <v>0</v>
      </c>
      <c r="J11" s="357">
        <v>1</v>
      </c>
    </row>
    <row r="12" spans="1:10">
      <c r="A12" s="365" t="s">
        <v>479</v>
      </c>
      <c r="B12" s="366" t="s">
        <v>480</v>
      </c>
      <c r="C12" s="367" t="s">
        <v>466</v>
      </c>
      <c r="D12" s="368">
        <v>50</v>
      </c>
      <c r="E12" s="369">
        <f>8.8/0.74</f>
        <v>11.8918918918919</v>
      </c>
      <c r="F12" s="368">
        <f>PLANILHA!E133</f>
        <v>715.74</v>
      </c>
      <c r="G12" s="370">
        <f t="shared" ref="G12:G43" si="3">F12/D12</f>
        <v>14.3148</v>
      </c>
      <c r="H12" s="370">
        <f>IFERROR(G12/I12,G12/J12)</f>
        <v>14.3148</v>
      </c>
      <c r="I12" s="370">
        <v>1</v>
      </c>
      <c r="J12" s="370">
        <v>0.72</v>
      </c>
    </row>
    <row r="13" ht="45" spans="1:10">
      <c r="A13" s="353" t="s">
        <v>481</v>
      </c>
      <c r="B13" s="359" t="s">
        <v>482</v>
      </c>
      <c r="C13" s="353" t="s">
        <v>476</v>
      </c>
      <c r="D13" s="355">
        <f t="shared" ref="D13:D44" si="4">E13</f>
        <v>1.76</v>
      </c>
      <c r="E13" s="356">
        <f>8.8/5</f>
        <v>1.76</v>
      </c>
      <c r="F13" s="355"/>
      <c r="G13" s="357">
        <f t="shared" si="3"/>
        <v>0</v>
      </c>
      <c r="H13" s="357">
        <f>G13/I13</f>
        <v>0</v>
      </c>
      <c r="I13" s="357">
        <v>1</v>
      </c>
      <c r="J13" s="357">
        <f>7.53/5</f>
        <v>1.506</v>
      </c>
    </row>
    <row r="14" ht="45" spans="1:10">
      <c r="A14" s="371" t="s">
        <v>483</v>
      </c>
      <c r="B14" s="354" t="s">
        <v>484</v>
      </c>
      <c r="C14" s="353" t="s">
        <v>476</v>
      </c>
      <c r="D14" s="355">
        <f t="shared" si="4"/>
        <v>0.201511335012594</v>
      </c>
      <c r="E14" s="356">
        <f>8.8/43.67</f>
        <v>0.201511335012594</v>
      </c>
      <c r="F14" s="355">
        <f>PLANILHA!E207</f>
        <v>7.12</v>
      </c>
      <c r="G14" s="357">
        <f t="shared" si="3"/>
        <v>35.333</v>
      </c>
      <c r="H14" s="370">
        <f>IFERROR(G14/I14,G14/J14)</f>
        <v>35.333</v>
      </c>
      <c r="I14" s="370">
        <v>1</v>
      </c>
      <c r="J14" s="357">
        <f>38.08/43.67</f>
        <v>0.871994504236318</v>
      </c>
    </row>
    <row r="15" spans="1:10">
      <c r="A15" s="353" t="s">
        <v>485</v>
      </c>
      <c r="B15" s="359" t="s">
        <v>486</v>
      </c>
      <c r="C15" s="353" t="s">
        <v>463</v>
      </c>
      <c r="D15" s="355">
        <f t="shared" si="4"/>
        <v>146.666666666667</v>
      </c>
      <c r="E15" s="356">
        <f>8.8/0.06</f>
        <v>146.666666666667</v>
      </c>
      <c r="F15" s="355"/>
      <c r="G15" s="357">
        <f t="shared" si="3"/>
        <v>0</v>
      </c>
      <c r="H15" s="357">
        <f>G15/I15</f>
        <v>0</v>
      </c>
      <c r="I15" s="357">
        <v>1</v>
      </c>
      <c r="J15" s="357">
        <f>0.06/0.12</f>
        <v>0.5</v>
      </c>
    </row>
    <row r="16" spans="1:10">
      <c r="A16" s="353">
        <v>65003281</v>
      </c>
      <c r="B16" s="354" t="s">
        <v>487</v>
      </c>
      <c r="C16" s="353" t="s">
        <v>476</v>
      </c>
      <c r="D16" s="355">
        <f t="shared" si="4"/>
        <v>5.86666666666667</v>
      </c>
      <c r="E16" s="356">
        <f>8.8/1.5</f>
        <v>5.86666666666667</v>
      </c>
      <c r="F16" s="355"/>
      <c r="G16" s="357">
        <f t="shared" si="3"/>
        <v>0</v>
      </c>
      <c r="H16" s="357">
        <f>G16</f>
        <v>0</v>
      </c>
      <c r="I16" s="357">
        <v>0</v>
      </c>
      <c r="J16" s="357">
        <v>1</v>
      </c>
    </row>
    <row r="17" ht="90" spans="1:10">
      <c r="A17" s="353">
        <v>101104</v>
      </c>
      <c r="B17" s="359" t="s">
        <v>488</v>
      </c>
      <c r="C17" s="353" t="s">
        <v>476</v>
      </c>
      <c r="D17" s="355">
        <f t="shared" si="4"/>
        <v>0.802919708029197</v>
      </c>
      <c r="E17" s="356">
        <f>8.8/10.96</f>
        <v>0.802919708029197</v>
      </c>
      <c r="F17" s="355"/>
      <c r="G17" s="357">
        <f t="shared" si="3"/>
        <v>0</v>
      </c>
      <c r="H17" s="357">
        <f>G17/I17</f>
        <v>0</v>
      </c>
      <c r="I17" s="357">
        <v>1</v>
      </c>
      <c r="J17" s="357">
        <v>1</v>
      </c>
    </row>
    <row r="18" ht="30" spans="1:10">
      <c r="A18" s="353">
        <v>65002509</v>
      </c>
      <c r="B18" s="359" t="s">
        <v>489</v>
      </c>
      <c r="C18" s="353" t="s">
        <v>466</v>
      </c>
      <c r="D18" s="355">
        <f t="shared" si="4"/>
        <v>55</v>
      </c>
      <c r="E18" s="356">
        <f>8.8/0.16</f>
        <v>55</v>
      </c>
      <c r="F18" s="355"/>
      <c r="G18" s="357">
        <f t="shared" si="3"/>
        <v>0</v>
      </c>
      <c r="H18" s="357">
        <f>G18/I18</f>
        <v>0</v>
      </c>
      <c r="I18" s="357">
        <v>1</v>
      </c>
      <c r="J18" s="357">
        <f>0.68/0.16</f>
        <v>4.25</v>
      </c>
    </row>
    <row r="19" ht="45" spans="1:10">
      <c r="A19" s="353">
        <v>94281</v>
      </c>
      <c r="B19" s="359" t="s">
        <v>490</v>
      </c>
      <c r="C19" s="353" t="s">
        <v>112</v>
      </c>
      <c r="D19" s="355">
        <f t="shared" si="4"/>
        <v>33.8461538461538</v>
      </c>
      <c r="E19" s="356">
        <f>8.8/0.26</f>
        <v>33.8461538461538</v>
      </c>
      <c r="F19" s="355"/>
      <c r="G19" s="357">
        <f t="shared" si="3"/>
        <v>0</v>
      </c>
      <c r="H19" s="357">
        <f>G19/I19</f>
        <v>0</v>
      </c>
      <c r="I19" s="357">
        <v>1</v>
      </c>
      <c r="J19" s="357">
        <v>1</v>
      </c>
    </row>
    <row r="20" s="343" customFormat="1" ht="60" spans="1:10">
      <c r="A20" s="353">
        <v>101159</v>
      </c>
      <c r="B20" s="359" t="s">
        <v>491</v>
      </c>
      <c r="C20" s="353" t="s">
        <v>466</v>
      </c>
      <c r="D20" s="355">
        <f t="shared" si="4"/>
        <v>4.44444444444444</v>
      </c>
      <c r="E20" s="356">
        <f>8.8/1.98</f>
        <v>4.44444444444444</v>
      </c>
      <c r="F20" s="355"/>
      <c r="G20" s="357">
        <f t="shared" si="3"/>
        <v>0</v>
      </c>
      <c r="H20" s="357">
        <f>G20/I20</f>
        <v>0</v>
      </c>
      <c r="I20" s="357">
        <v>1</v>
      </c>
      <c r="J20" s="357">
        <f>1.12/1.98</f>
        <v>0.565656565656566</v>
      </c>
    </row>
    <row r="21" ht="45" spans="1:10">
      <c r="A21" s="353" t="s">
        <v>492</v>
      </c>
      <c r="B21" s="359" t="s">
        <v>493</v>
      </c>
      <c r="C21" s="353" t="s">
        <v>494</v>
      </c>
      <c r="D21" s="355">
        <f t="shared" si="4"/>
        <v>0.888888888888889</v>
      </c>
      <c r="E21" s="356">
        <f>8.8/9.9</f>
        <v>0.888888888888889</v>
      </c>
      <c r="F21" s="355"/>
      <c r="G21" s="357">
        <f t="shared" si="3"/>
        <v>0</v>
      </c>
      <c r="H21" s="357">
        <f>G21/I21</f>
        <v>0</v>
      </c>
      <c r="I21" s="357">
        <v>1</v>
      </c>
      <c r="J21" s="357">
        <v>1</v>
      </c>
    </row>
    <row r="22" ht="60" spans="1:10">
      <c r="A22" s="371" t="s">
        <v>495</v>
      </c>
      <c r="B22" s="354" t="s">
        <v>496</v>
      </c>
      <c r="C22" s="353" t="s">
        <v>466</v>
      </c>
      <c r="D22" s="355">
        <f t="shared" si="4"/>
        <v>12.7536231884058</v>
      </c>
      <c r="E22" s="356">
        <f>8.8/0.69</f>
        <v>12.7536231884058</v>
      </c>
      <c r="F22" s="355">
        <f>PLANILHA!E201</f>
        <v>413.6</v>
      </c>
      <c r="G22" s="357">
        <f t="shared" si="3"/>
        <v>32.43</v>
      </c>
      <c r="H22" s="370">
        <f>IFERROR(G22/I22,G22/J22)</f>
        <v>32.43</v>
      </c>
      <c r="I22" s="370">
        <v>1</v>
      </c>
      <c r="J22" s="357">
        <f>0.4/0.69</f>
        <v>0.579710144927536</v>
      </c>
    </row>
    <row r="23" spans="1:10">
      <c r="A23" s="353">
        <v>88489</v>
      </c>
      <c r="B23" s="354" t="s">
        <v>497</v>
      </c>
      <c r="C23" s="353" t="s">
        <v>466</v>
      </c>
      <c r="D23" s="355">
        <f t="shared" si="4"/>
        <v>51.7647058823529</v>
      </c>
      <c r="E23" s="356">
        <f>8.8/0.17</f>
        <v>51.7647058823529</v>
      </c>
      <c r="F23" s="355"/>
      <c r="G23" s="357">
        <f t="shared" si="3"/>
        <v>0</v>
      </c>
      <c r="H23" s="357">
        <f t="shared" ref="H23:H30" si="5">G23/I23</f>
        <v>0</v>
      </c>
      <c r="I23" s="357">
        <v>1</v>
      </c>
      <c r="J23" s="357">
        <f>0.06/0.17</f>
        <v>0.352941176470588</v>
      </c>
    </row>
    <row r="24" ht="30" spans="1:10">
      <c r="A24" s="353">
        <v>65000017</v>
      </c>
      <c r="B24" s="359" t="s">
        <v>498</v>
      </c>
      <c r="C24" s="353" t="s">
        <v>466</v>
      </c>
      <c r="D24" s="355">
        <f t="shared" si="4"/>
        <v>88</v>
      </c>
      <c r="E24" s="356">
        <f>8.8/0.1</f>
        <v>88</v>
      </c>
      <c r="F24" s="355"/>
      <c r="G24" s="357">
        <f t="shared" si="3"/>
        <v>0</v>
      </c>
      <c r="H24" s="357">
        <f t="shared" si="5"/>
        <v>0</v>
      </c>
      <c r="I24" s="357">
        <v>1</v>
      </c>
      <c r="J24" s="357">
        <v>1</v>
      </c>
    </row>
    <row r="25" spans="1:10">
      <c r="A25" s="353">
        <v>65003323</v>
      </c>
      <c r="B25" s="359" t="s">
        <v>499</v>
      </c>
      <c r="C25" s="353" t="s">
        <v>494</v>
      </c>
      <c r="D25" s="355">
        <f t="shared" si="4"/>
        <v>0.677444187836798</v>
      </c>
      <c r="E25" s="356">
        <f>8.8/12.99</f>
        <v>0.677444187836798</v>
      </c>
      <c r="F25" s="355"/>
      <c r="G25" s="357">
        <f t="shared" si="3"/>
        <v>0</v>
      </c>
      <c r="H25" s="357">
        <f t="shared" si="5"/>
        <v>0</v>
      </c>
      <c r="I25" s="357">
        <v>1</v>
      </c>
      <c r="J25" s="357">
        <f>28.96/12.99</f>
        <v>2.22940723633564</v>
      </c>
    </row>
    <row r="26" ht="13.8" customHeight="1" spans="1:10">
      <c r="A26" s="360" t="s">
        <v>500</v>
      </c>
      <c r="B26" s="361" t="s">
        <v>501</v>
      </c>
      <c r="C26" s="360" t="s">
        <v>466</v>
      </c>
      <c r="D26" s="362">
        <f t="shared" si="4"/>
        <v>27.5</v>
      </c>
      <c r="E26" s="363">
        <f>8.8/0.32</f>
        <v>27.5</v>
      </c>
      <c r="F26" s="362"/>
      <c r="G26" s="364">
        <f t="shared" si="3"/>
        <v>0</v>
      </c>
      <c r="H26" s="364">
        <f t="shared" si="5"/>
        <v>0</v>
      </c>
      <c r="I26" s="364">
        <v>1</v>
      </c>
      <c r="J26" s="364">
        <f>0.76/0.32</f>
        <v>2.375</v>
      </c>
    </row>
    <row r="27" s="343" customFormat="1" ht="30" spans="1:10">
      <c r="A27" s="353" t="s">
        <v>502</v>
      </c>
      <c r="B27" s="359" t="s">
        <v>503</v>
      </c>
      <c r="C27" s="353" t="s">
        <v>476</v>
      </c>
      <c r="D27" s="355">
        <f t="shared" si="4"/>
        <v>4.46700507614213</v>
      </c>
      <c r="E27" s="356">
        <f>8.8/1.97</f>
        <v>4.46700507614213</v>
      </c>
      <c r="F27" s="355"/>
      <c r="G27" s="357">
        <f t="shared" si="3"/>
        <v>0</v>
      </c>
      <c r="H27" s="357">
        <f t="shared" si="5"/>
        <v>0</v>
      </c>
      <c r="I27" s="357">
        <v>1</v>
      </c>
      <c r="J27" s="357">
        <f>4/1.97</f>
        <v>2.03045685279188</v>
      </c>
    </row>
    <row r="28" ht="75" spans="1:10">
      <c r="A28" s="353" t="s">
        <v>504</v>
      </c>
      <c r="B28" s="354" t="s">
        <v>505</v>
      </c>
      <c r="C28" s="353" t="s">
        <v>466</v>
      </c>
      <c r="D28" s="355">
        <f t="shared" si="4"/>
        <v>9.77777777777778</v>
      </c>
      <c r="E28" s="356">
        <f>8.8/0.9</f>
        <v>9.77777777777778</v>
      </c>
      <c r="F28" s="355"/>
      <c r="G28" s="357">
        <f t="shared" si="3"/>
        <v>0</v>
      </c>
      <c r="H28" s="357">
        <f t="shared" si="5"/>
        <v>0</v>
      </c>
      <c r="I28" s="357">
        <v>1</v>
      </c>
      <c r="J28" s="357">
        <f>0.52/0.9</f>
        <v>0.577777777777778</v>
      </c>
    </row>
    <row r="29" ht="45" spans="1:10">
      <c r="A29" s="353">
        <v>102990</v>
      </c>
      <c r="B29" s="359" t="s">
        <v>506</v>
      </c>
      <c r="C29" s="353" t="s">
        <v>112</v>
      </c>
      <c r="D29" s="355">
        <f t="shared" si="4"/>
        <v>25.8823529411765</v>
      </c>
      <c r="E29" s="356">
        <f>8.8/0.34</f>
        <v>25.8823529411765</v>
      </c>
      <c r="F29" s="355"/>
      <c r="G29" s="357">
        <f t="shared" si="3"/>
        <v>0</v>
      </c>
      <c r="H29" s="357">
        <f t="shared" si="5"/>
        <v>0</v>
      </c>
      <c r="I29" s="357">
        <v>1</v>
      </c>
      <c r="J29" s="357">
        <v>1</v>
      </c>
    </row>
    <row r="30" spans="1:10">
      <c r="A30" s="353">
        <v>87878</v>
      </c>
      <c r="B30" s="354" t="s">
        <v>507</v>
      </c>
      <c r="C30" s="353" t="s">
        <v>466</v>
      </c>
      <c r="D30" s="355">
        <f t="shared" si="4"/>
        <v>125.714285714286</v>
      </c>
      <c r="E30" s="356">
        <f>8.8/0.07</f>
        <v>125.714285714286</v>
      </c>
      <c r="F30" s="355"/>
      <c r="G30" s="357">
        <f t="shared" si="3"/>
        <v>0</v>
      </c>
      <c r="H30" s="357">
        <f t="shared" si="5"/>
        <v>0</v>
      </c>
      <c r="I30" s="357">
        <v>1</v>
      </c>
      <c r="J30" s="357">
        <v>1</v>
      </c>
    </row>
    <row r="31" spans="1:10">
      <c r="A31" s="353">
        <v>65003278</v>
      </c>
      <c r="B31" s="354" t="s">
        <v>508</v>
      </c>
      <c r="C31" s="353" t="s">
        <v>476</v>
      </c>
      <c r="D31" s="355">
        <f t="shared" si="4"/>
        <v>5.26946107784431</v>
      </c>
      <c r="E31" s="356">
        <f>8.8/1.67</f>
        <v>5.26946107784431</v>
      </c>
      <c r="F31" s="355"/>
      <c r="G31" s="357">
        <f t="shared" si="3"/>
        <v>0</v>
      </c>
      <c r="H31" s="357">
        <f>G31</f>
        <v>0</v>
      </c>
      <c r="I31" s="357">
        <v>0</v>
      </c>
      <c r="J31" s="357">
        <v>1</v>
      </c>
    </row>
    <row r="32" ht="60" spans="1:10">
      <c r="A32" s="353">
        <v>87265</v>
      </c>
      <c r="B32" s="359" t="s">
        <v>509</v>
      </c>
      <c r="C32" s="353" t="s">
        <v>466</v>
      </c>
      <c r="D32" s="355">
        <f t="shared" si="4"/>
        <v>16.2962962962963</v>
      </c>
      <c r="E32" s="356">
        <f>8.8/0.54</f>
        <v>16.2962962962963</v>
      </c>
      <c r="F32" s="355"/>
      <c r="G32" s="357">
        <f t="shared" si="3"/>
        <v>0</v>
      </c>
      <c r="H32" s="357">
        <f t="shared" ref="H32:H56" si="6">G32/I32</f>
        <v>0</v>
      </c>
      <c r="I32" s="357">
        <v>1</v>
      </c>
      <c r="J32" s="357">
        <f>0.27/0.54</f>
        <v>0.5</v>
      </c>
    </row>
    <row r="33" ht="30" spans="1:10">
      <c r="A33" s="353">
        <v>65001628</v>
      </c>
      <c r="B33" s="359" t="s">
        <v>510</v>
      </c>
      <c r="C33" s="353" t="s">
        <v>466</v>
      </c>
      <c r="D33" s="355">
        <f t="shared" si="4"/>
        <v>8.38095238095238</v>
      </c>
      <c r="E33" s="356">
        <f>8.8/1.05</f>
        <v>8.38095238095238</v>
      </c>
      <c r="F33" s="355"/>
      <c r="G33" s="357">
        <f t="shared" si="3"/>
        <v>0</v>
      </c>
      <c r="H33" s="357">
        <f t="shared" si="6"/>
        <v>0</v>
      </c>
      <c r="I33" s="357">
        <v>1</v>
      </c>
      <c r="J33" s="357">
        <v>1</v>
      </c>
    </row>
    <row r="34" ht="45" spans="1:10">
      <c r="A34" s="353">
        <v>102992</v>
      </c>
      <c r="B34" s="359" t="s">
        <v>511</v>
      </c>
      <c r="C34" s="353" t="s">
        <v>112</v>
      </c>
      <c r="D34" s="355">
        <f t="shared" si="4"/>
        <v>62.8571428571429</v>
      </c>
      <c r="E34" s="356">
        <f>8.8/0.14</f>
        <v>62.8571428571429</v>
      </c>
      <c r="F34" s="355"/>
      <c r="G34" s="357">
        <f t="shared" si="3"/>
        <v>0</v>
      </c>
      <c r="H34" s="357">
        <f t="shared" si="6"/>
        <v>0</v>
      </c>
      <c r="I34" s="357">
        <v>1</v>
      </c>
      <c r="J34" s="357">
        <f>0.31/0.14</f>
        <v>2.21428571428571</v>
      </c>
    </row>
    <row r="35" ht="105" spans="1:10">
      <c r="A35" s="353">
        <v>94559</v>
      </c>
      <c r="B35" s="359" t="s">
        <v>512</v>
      </c>
      <c r="C35" s="353" t="s">
        <v>466</v>
      </c>
      <c r="D35" s="355">
        <f t="shared" si="4"/>
        <v>1.68905950095969</v>
      </c>
      <c r="E35" s="356">
        <f>8.8/5.21</f>
        <v>1.68905950095969</v>
      </c>
      <c r="F35" s="355"/>
      <c r="G35" s="357">
        <f t="shared" si="3"/>
        <v>0</v>
      </c>
      <c r="H35" s="357">
        <f t="shared" si="6"/>
        <v>0</v>
      </c>
      <c r="I35" s="357">
        <v>1</v>
      </c>
      <c r="J35" s="357">
        <f>2.79/5.21</f>
        <v>0.535508637236084</v>
      </c>
    </row>
    <row r="36" ht="60" spans="1:10">
      <c r="A36" s="353" t="s">
        <v>513</v>
      </c>
      <c r="B36" s="359" t="s">
        <v>514</v>
      </c>
      <c r="C36" s="353" t="s">
        <v>494</v>
      </c>
      <c r="D36" s="355">
        <f t="shared" si="4"/>
        <v>1.17333333333333</v>
      </c>
      <c r="E36" s="356">
        <f>8.8/7.5</f>
        <v>1.17333333333333</v>
      </c>
      <c r="F36" s="355"/>
      <c r="G36" s="357">
        <f t="shared" si="3"/>
        <v>0</v>
      </c>
      <c r="H36" s="357">
        <f t="shared" si="6"/>
        <v>0</v>
      </c>
      <c r="I36" s="357">
        <v>1</v>
      </c>
      <c r="J36" s="357">
        <v>1</v>
      </c>
    </row>
    <row r="37" ht="60" spans="1:10">
      <c r="A37" s="353" t="s">
        <v>515</v>
      </c>
      <c r="B37" s="359" t="s">
        <v>516</v>
      </c>
      <c r="C37" s="353" t="s">
        <v>494</v>
      </c>
      <c r="D37" s="355">
        <f t="shared" si="4"/>
        <v>1.30563798219585</v>
      </c>
      <c r="E37" s="356">
        <f>8.8/6.74</f>
        <v>1.30563798219585</v>
      </c>
      <c r="F37" s="355"/>
      <c r="G37" s="357">
        <f t="shared" si="3"/>
        <v>0</v>
      </c>
      <c r="H37" s="357">
        <f t="shared" si="6"/>
        <v>0</v>
      </c>
      <c r="I37" s="357">
        <v>1</v>
      </c>
      <c r="J37" s="357">
        <v>1</v>
      </c>
    </row>
    <row r="38" spans="1:10">
      <c r="A38" s="353" t="s">
        <v>517</v>
      </c>
      <c r="B38" s="359" t="s">
        <v>518</v>
      </c>
      <c r="C38" s="353" t="s">
        <v>494</v>
      </c>
      <c r="D38" s="355">
        <f t="shared" si="4"/>
        <v>0.765217391304348</v>
      </c>
      <c r="E38" s="356">
        <f>8.8/11.5</f>
        <v>0.765217391304348</v>
      </c>
      <c r="F38" s="355"/>
      <c r="G38" s="357">
        <f t="shared" si="3"/>
        <v>0</v>
      </c>
      <c r="H38" s="357">
        <f t="shared" si="6"/>
        <v>0</v>
      </c>
      <c r="I38" s="357">
        <v>1</v>
      </c>
      <c r="J38" s="357">
        <f>26.24/11.5</f>
        <v>2.28173913043478</v>
      </c>
    </row>
    <row r="39" ht="30" spans="1:10">
      <c r="A39" s="353">
        <v>98509</v>
      </c>
      <c r="B39" s="359" t="s">
        <v>519</v>
      </c>
      <c r="C39" s="353" t="s">
        <v>494</v>
      </c>
      <c r="D39" s="355">
        <f t="shared" si="4"/>
        <v>880</v>
      </c>
      <c r="E39" s="356">
        <f>8.8/0.01</f>
        <v>880</v>
      </c>
      <c r="F39" s="355"/>
      <c r="G39" s="357">
        <f t="shared" si="3"/>
        <v>0</v>
      </c>
      <c r="H39" s="357">
        <f t="shared" si="6"/>
        <v>0</v>
      </c>
      <c r="I39" s="357">
        <v>1</v>
      </c>
      <c r="J39" s="357">
        <f>0.06/0.01</f>
        <v>6</v>
      </c>
    </row>
    <row r="40" ht="13.8" customHeight="1" spans="1:10">
      <c r="A40" s="353" t="s">
        <v>520</v>
      </c>
      <c r="B40" s="359" t="s">
        <v>521</v>
      </c>
      <c r="C40" s="353" t="s">
        <v>494</v>
      </c>
      <c r="D40" s="355">
        <f t="shared" si="4"/>
        <v>1.08776266996292</v>
      </c>
      <c r="E40" s="356">
        <f>8.8/8.09</f>
        <v>1.08776266996292</v>
      </c>
      <c r="F40" s="355"/>
      <c r="G40" s="357">
        <f t="shared" si="3"/>
        <v>0</v>
      </c>
      <c r="H40" s="357">
        <f t="shared" si="6"/>
        <v>0</v>
      </c>
      <c r="I40" s="357">
        <v>1</v>
      </c>
      <c r="J40" s="357">
        <f>18.21/8.09</f>
        <v>2.25092707045735</v>
      </c>
    </row>
    <row r="41" ht="45" spans="1:10">
      <c r="A41" s="353">
        <v>94218</v>
      </c>
      <c r="B41" s="359" t="s">
        <v>522</v>
      </c>
      <c r="C41" s="353" t="s">
        <v>466</v>
      </c>
      <c r="D41" s="355">
        <f t="shared" si="4"/>
        <v>62.8571428571429</v>
      </c>
      <c r="E41" s="356">
        <f>8.8/0.14</f>
        <v>62.8571428571429</v>
      </c>
      <c r="F41" s="355"/>
      <c r="G41" s="357">
        <f t="shared" si="3"/>
        <v>0</v>
      </c>
      <c r="H41" s="357">
        <f t="shared" si="6"/>
        <v>0</v>
      </c>
      <c r="I41" s="357">
        <v>1</v>
      </c>
      <c r="J41" s="357">
        <v>1</v>
      </c>
    </row>
    <row r="42" ht="45" spans="1:10">
      <c r="A42" s="353" t="s">
        <v>523</v>
      </c>
      <c r="B42" s="354" t="s">
        <v>524</v>
      </c>
      <c r="C42" s="353" t="s">
        <v>494</v>
      </c>
      <c r="D42" s="355">
        <f t="shared" si="4"/>
        <v>5.7516339869281</v>
      </c>
      <c r="E42" s="356">
        <f>8.8/1.53</f>
        <v>5.7516339869281</v>
      </c>
      <c r="F42" s="355"/>
      <c r="G42" s="357">
        <f t="shared" si="3"/>
        <v>0</v>
      </c>
      <c r="H42" s="357">
        <f t="shared" si="6"/>
        <v>0</v>
      </c>
      <c r="I42" s="357">
        <v>1</v>
      </c>
      <c r="J42" s="357">
        <v>1</v>
      </c>
    </row>
    <row r="43" ht="45" spans="1:10">
      <c r="A43" s="353" t="s">
        <v>525</v>
      </c>
      <c r="B43" s="359" t="s">
        <v>526</v>
      </c>
      <c r="C43" s="353" t="s">
        <v>476</v>
      </c>
      <c r="D43" s="355">
        <f t="shared" si="4"/>
        <v>36.6666666666667</v>
      </c>
      <c r="E43" s="356">
        <f>8.8/0.24</f>
        <v>36.6666666666667</v>
      </c>
      <c r="F43" s="355"/>
      <c r="G43" s="357">
        <f t="shared" si="3"/>
        <v>0</v>
      </c>
      <c r="H43" s="357">
        <f t="shared" si="6"/>
        <v>0</v>
      </c>
      <c r="I43" s="357">
        <v>1</v>
      </c>
      <c r="J43" s="357">
        <f>0.16/0.24</f>
        <v>0.666666666666667</v>
      </c>
    </row>
    <row r="44" ht="60" spans="1:10">
      <c r="A44" s="353">
        <v>87248</v>
      </c>
      <c r="B44" s="359" t="s">
        <v>527</v>
      </c>
      <c r="C44" s="353" t="s">
        <v>466</v>
      </c>
      <c r="D44" s="355">
        <f t="shared" si="4"/>
        <v>36.6666666666667</v>
      </c>
      <c r="E44" s="356">
        <f>8.8/0.24</f>
        <v>36.6666666666667</v>
      </c>
      <c r="F44" s="355"/>
      <c r="G44" s="357">
        <f t="shared" ref="G44:G75" si="7">F44/D44</f>
        <v>0</v>
      </c>
      <c r="H44" s="357">
        <f t="shared" si="6"/>
        <v>0</v>
      </c>
      <c r="I44" s="357">
        <v>1</v>
      </c>
      <c r="J44" s="357">
        <f>0.13/0.24</f>
        <v>0.541666666666667</v>
      </c>
    </row>
    <row r="45" ht="45" spans="1:10">
      <c r="A45" s="353" t="s">
        <v>528</v>
      </c>
      <c r="B45" s="359" t="s">
        <v>529</v>
      </c>
      <c r="C45" s="353" t="s">
        <v>466</v>
      </c>
      <c r="D45" s="355">
        <f t="shared" ref="D45:D76" si="8">E45</f>
        <v>11.1392405063291</v>
      </c>
      <c r="E45" s="356">
        <f>8.8/0.79</f>
        <v>11.1392405063291</v>
      </c>
      <c r="F45" s="355"/>
      <c r="G45" s="357">
        <f t="shared" si="7"/>
        <v>0</v>
      </c>
      <c r="H45" s="357">
        <f t="shared" si="6"/>
        <v>0</v>
      </c>
      <c r="I45" s="357">
        <v>1</v>
      </c>
      <c r="J45" s="357">
        <v>1</v>
      </c>
    </row>
    <row r="46" ht="60" spans="1:10">
      <c r="A46" s="353">
        <v>90822</v>
      </c>
      <c r="B46" s="359" t="s">
        <v>530</v>
      </c>
      <c r="C46" s="353" t="s">
        <v>494</v>
      </c>
      <c r="D46" s="355">
        <f t="shared" si="8"/>
        <v>5.60509554140127</v>
      </c>
      <c r="E46" s="356">
        <f>8.8/1.57</f>
        <v>5.60509554140127</v>
      </c>
      <c r="F46" s="355"/>
      <c r="G46" s="357">
        <f t="shared" si="7"/>
        <v>0</v>
      </c>
      <c r="H46" s="357">
        <f t="shared" si="6"/>
        <v>0</v>
      </c>
      <c r="I46" s="357">
        <v>1</v>
      </c>
      <c r="J46" s="357">
        <f>0.79/1.57</f>
        <v>0.503184713375796</v>
      </c>
    </row>
    <row r="47" ht="60" spans="1:10">
      <c r="A47" s="353">
        <v>91307</v>
      </c>
      <c r="B47" s="359" t="s">
        <v>531</v>
      </c>
      <c r="C47" s="353" t="s">
        <v>494</v>
      </c>
      <c r="D47" s="355">
        <f t="shared" si="8"/>
        <v>11.2820512820513</v>
      </c>
      <c r="E47" s="356">
        <f>8.8/0.78</f>
        <v>11.2820512820513</v>
      </c>
      <c r="F47" s="355"/>
      <c r="G47" s="357">
        <f t="shared" si="7"/>
        <v>0</v>
      </c>
      <c r="H47" s="357">
        <f t="shared" si="6"/>
        <v>0</v>
      </c>
      <c r="I47" s="357">
        <v>1</v>
      </c>
      <c r="J47" s="357">
        <f>0.39/0.78</f>
        <v>0.5</v>
      </c>
    </row>
    <row r="48" ht="60" spans="1:10">
      <c r="A48" s="353">
        <v>98680</v>
      </c>
      <c r="B48" s="359" t="s">
        <v>532</v>
      </c>
      <c r="C48" s="353" t="s">
        <v>466</v>
      </c>
      <c r="D48" s="355">
        <f t="shared" si="8"/>
        <v>22</v>
      </c>
      <c r="E48" s="356">
        <f>8.8/0.4</f>
        <v>22</v>
      </c>
      <c r="F48" s="355"/>
      <c r="G48" s="357">
        <f t="shared" si="7"/>
        <v>0</v>
      </c>
      <c r="H48" s="357">
        <f t="shared" si="6"/>
        <v>0</v>
      </c>
      <c r="I48" s="357">
        <v>1</v>
      </c>
      <c r="J48" s="357">
        <v>1</v>
      </c>
    </row>
    <row r="49" ht="60" spans="1:10">
      <c r="A49" s="353">
        <v>90820</v>
      </c>
      <c r="B49" s="359" t="s">
        <v>533</v>
      </c>
      <c r="C49" s="353" t="s">
        <v>494</v>
      </c>
      <c r="D49" s="355">
        <f t="shared" si="8"/>
        <v>6.76923076923077</v>
      </c>
      <c r="E49" s="356">
        <f>8.8/1.3</f>
        <v>6.76923076923077</v>
      </c>
      <c r="F49" s="355"/>
      <c r="G49" s="357">
        <f t="shared" si="7"/>
        <v>0</v>
      </c>
      <c r="H49" s="357">
        <f t="shared" si="6"/>
        <v>0</v>
      </c>
      <c r="I49" s="357">
        <v>1</v>
      </c>
      <c r="J49" s="357">
        <f>0.65/1.3</f>
        <v>0.5</v>
      </c>
    </row>
    <row r="50" ht="45" spans="1:10">
      <c r="A50" s="353">
        <v>98511</v>
      </c>
      <c r="B50" s="359" t="s">
        <v>534</v>
      </c>
      <c r="C50" s="353" t="s">
        <v>494</v>
      </c>
      <c r="D50" s="355">
        <f t="shared" si="8"/>
        <v>36.6666666666667</v>
      </c>
      <c r="E50" s="356">
        <f>8.8/0.24</f>
        <v>36.6666666666667</v>
      </c>
      <c r="F50" s="355"/>
      <c r="G50" s="357">
        <f t="shared" si="7"/>
        <v>0</v>
      </c>
      <c r="H50" s="357">
        <f t="shared" si="6"/>
        <v>0</v>
      </c>
      <c r="I50" s="357">
        <v>1</v>
      </c>
      <c r="J50" s="357">
        <f>1.24/0.24</f>
        <v>5.16666666666667</v>
      </c>
    </row>
    <row r="51" ht="13.8" customHeight="1" spans="1:10">
      <c r="A51" s="353">
        <v>91338</v>
      </c>
      <c r="B51" s="359" t="s">
        <v>535</v>
      </c>
      <c r="C51" s="353" t="s">
        <v>466</v>
      </c>
      <c r="D51" s="355">
        <f t="shared" si="8"/>
        <v>24.4444444444444</v>
      </c>
      <c r="E51" s="356">
        <f>8.8/0.36</f>
        <v>24.4444444444444</v>
      </c>
      <c r="F51" s="355"/>
      <c r="G51" s="357">
        <f t="shared" si="7"/>
        <v>0</v>
      </c>
      <c r="H51" s="357">
        <f t="shared" si="6"/>
        <v>0</v>
      </c>
      <c r="I51" s="357">
        <v>1</v>
      </c>
      <c r="J51" s="357">
        <f>0.18/0.36</f>
        <v>0.5</v>
      </c>
    </row>
    <row r="52" ht="60" spans="1:10">
      <c r="A52" s="353">
        <v>91305</v>
      </c>
      <c r="B52" s="359" t="s">
        <v>536</v>
      </c>
      <c r="C52" s="353" t="s">
        <v>494</v>
      </c>
      <c r="D52" s="355">
        <f t="shared" si="8"/>
        <v>11.2820512820513</v>
      </c>
      <c r="E52" s="356">
        <f>8.8/0.78</f>
        <v>11.2820512820513</v>
      </c>
      <c r="F52" s="355"/>
      <c r="G52" s="357">
        <f t="shared" si="7"/>
        <v>0</v>
      </c>
      <c r="H52" s="357">
        <f t="shared" si="6"/>
        <v>0</v>
      </c>
      <c r="I52" s="357">
        <v>1</v>
      </c>
      <c r="J52" s="357">
        <f>0.39/0.78</f>
        <v>0.5</v>
      </c>
    </row>
    <row r="53" ht="120" spans="1:10">
      <c r="A53" s="353" t="s">
        <v>537</v>
      </c>
      <c r="B53" s="359" t="s">
        <v>538</v>
      </c>
      <c r="C53" s="353" t="s">
        <v>466</v>
      </c>
      <c r="D53" s="355">
        <f t="shared" si="8"/>
        <v>27.5</v>
      </c>
      <c r="E53" s="356">
        <f>8.8/0.32</f>
        <v>27.5</v>
      </c>
      <c r="F53" s="355"/>
      <c r="G53" s="357">
        <f t="shared" si="7"/>
        <v>0</v>
      </c>
      <c r="H53" s="357">
        <f t="shared" si="6"/>
        <v>0</v>
      </c>
      <c r="I53" s="357">
        <v>1</v>
      </c>
      <c r="J53" s="357">
        <f>0.16/0.32</f>
        <v>0.5</v>
      </c>
    </row>
    <row r="54" ht="30" spans="1:10">
      <c r="A54" s="353">
        <v>65000216</v>
      </c>
      <c r="B54" s="359" t="s">
        <v>539</v>
      </c>
      <c r="C54" s="353" t="s">
        <v>476</v>
      </c>
      <c r="D54" s="355">
        <f t="shared" si="8"/>
        <v>2.93333333333333</v>
      </c>
      <c r="E54" s="356">
        <f>8.8/3</f>
        <v>2.93333333333333</v>
      </c>
      <c r="F54" s="355"/>
      <c r="G54" s="357">
        <f t="shared" si="7"/>
        <v>0</v>
      </c>
      <c r="H54" s="357">
        <f t="shared" si="6"/>
        <v>0</v>
      </c>
      <c r="I54" s="357">
        <v>1</v>
      </c>
      <c r="J54" s="357">
        <f>5.5/3</f>
        <v>1.83333333333333</v>
      </c>
    </row>
    <row r="55" ht="30" spans="1:10">
      <c r="A55" s="353">
        <v>65000217</v>
      </c>
      <c r="B55" s="359" t="s">
        <v>540</v>
      </c>
      <c r="C55" s="353" t="s">
        <v>476</v>
      </c>
      <c r="D55" s="355">
        <f t="shared" si="8"/>
        <v>5.86666666666667</v>
      </c>
      <c r="E55" s="356">
        <f>8.8/1.5</f>
        <v>5.86666666666667</v>
      </c>
      <c r="F55" s="355"/>
      <c r="G55" s="357">
        <f t="shared" si="7"/>
        <v>0</v>
      </c>
      <c r="H55" s="357">
        <f t="shared" si="6"/>
        <v>0</v>
      </c>
      <c r="I55" s="357">
        <v>1</v>
      </c>
      <c r="J55" s="357">
        <f>4/1.5</f>
        <v>2.66666666666667</v>
      </c>
    </row>
    <row r="56" s="344" customFormat="1" ht="30" spans="1:10">
      <c r="A56" s="353">
        <v>98504</v>
      </c>
      <c r="B56" s="354" t="s">
        <v>541</v>
      </c>
      <c r="C56" s="353" t="s">
        <v>466</v>
      </c>
      <c r="D56" s="355">
        <f t="shared" si="8"/>
        <v>293.333333333333</v>
      </c>
      <c r="E56" s="356">
        <f>8.8/0.03</f>
        <v>293.333333333333</v>
      </c>
      <c r="F56" s="355">
        <f>PLANILHA!E263</f>
        <v>2672.53</v>
      </c>
      <c r="G56" s="357">
        <f t="shared" si="7"/>
        <v>9.11089772727273</v>
      </c>
      <c r="H56" s="357">
        <f t="shared" si="6"/>
        <v>9.11089772727273</v>
      </c>
      <c r="I56" s="357">
        <v>1</v>
      </c>
      <c r="J56" s="357">
        <f>0.14/0.03</f>
        <v>4.66666666666667</v>
      </c>
    </row>
    <row r="57" s="344" customFormat="1" ht="75" spans="1:10">
      <c r="A57" s="372" t="s">
        <v>542</v>
      </c>
      <c r="B57" s="366" t="s">
        <v>543</v>
      </c>
      <c r="C57" s="367" t="s">
        <v>466</v>
      </c>
      <c r="D57" s="368">
        <f t="shared" si="8"/>
        <v>1.21212121212121</v>
      </c>
      <c r="E57" s="369">
        <f>8.8/7.26</f>
        <v>1.21212121212121</v>
      </c>
      <c r="F57" s="368"/>
      <c r="G57" s="370">
        <f t="shared" si="7"/>
        <v>0</v>
      </c>
      <c r="H57" s="370">
        <f t="shared" ref="H57:H70" si="9">IFERROR(G57/I57,G57/J57)</f>
        <v>0</v>
      </c>
      <c r="I57" s="370">
        <v>1</v>
      </c>
      <c r="J57" s="370">
        <f>4.04/7.26</f>
        <v>0.556473829201102</v>
      </c>
    </row>
    <row r="58" s="344" customFormat="1" ht="75" spans="1:10">
      <c r="A58" s="372" t="s">
        <v>544</v>
      </c>
      <c r="B58" s="366" t="s">
        <v>545</v>
      </c>
      <c r="C58" s="367" t="s">
        <v>466</v>
      </c>
      <c r="D58" s="368">
        <f t="shared" si="8"/>
        <v>1.66982922201139</v>
      </c>
      <c r="E58" s="369">
        <f>8.8/5.27</f>
        <v>1.66982922201139</v>
      </c>
      <c r="F58" s="368"/>
      <c r="G58" s="370">
        <f t="shared" si="7"/>
        <v>0</v>
      </c>
      <c r="H58" s="370">
        <f t="shared" si="9"/>
        <v>0</v>
      </c>
      <c r="I58" s="370">
        <v>1</v>
      </c>
      <c r="J58" s="370">
        <v>0.61</v>
      </c>
    </row>
    <row r="59" s="344" customFormat="1" spans="1:10">
      <c r="A59" s="372" t="s">
        <v>546</v>
      </c>
      <c r="B59" s="366" t="s">
        <v>547</v>
      </c>
      <c r="C59" s="367" t="s">
        <v>476</v>
      </c>
      <c r="D59" s="368">
        <f t="shared" si="8"/>
        <v>5.46583850931677</v>
      </c>
      <c r="E59" s="369">
        <f>8.8/1.61</f>
        <v>5.46583850931677</v>
      </c>
      <c r="F59" s="368"/>
      <c r="G59" s="370">
        <f t="shared" si="7"/>
        <v>0</v>
      </c>
      <c r="H59" s="370">
        <f t="shared" si="9"/>
        <v>0</v>
      </c>
      <c r="I59" s="370">
        <v>1</v>
      </c>
      <c r="J59" s="370">
        <v>0.4</v>
      </c>
    </row>
    <row r="60" s="344" customFormat="1" ht="75" spans="1:10">
      <c r="A60" s="372" t="s">
        <v>548</v>
      </c>
      <c r="B60" s="366" t="s">
        <v>549</v>
      </c>
      <c r="C60" s="367" t="s">
        <v>466</v>
      </c>
      <c r="D60" s="368">
        <f t="shared" si="8"/>
        <v>1.68905950095969</v>
      </c>
      <c r="E60" s="369">
        <f>8.8/5.21</f>
        <v>1.68905950095969</v>
      </c>
      <c r="F60" s="368"/>
      <c r="G60" s="370">
        <f t="shared" si="7"/>
        <v>0</v>
      </c>
      <c r="H60" s="370">
        <f t="shared" si="9"/>
        <v>0</v>
      </c>
      <c r="I60" s="370">
        <v>1</v>
      </c>
      <c r="J60" s="370">
        <v>0.52</v>
      </c>
    </row>
    <row r="61" s="344" customFormat="1" ht="45" spans="1:10">
      <c r="A61" s="372" t="s">
        <v>550</v>
      </c>
      <c r="B61" s="366" t="s">
        <v>551</v>
      </c>
      <c r="C61" s="367" t="s">
        <v>494</v>
      </c>
      <c r="D61" s="368">
        <f t="shared" si="8"/>
        <v>0.137242669993762</v>
      </c>
      <c r="E61" s="369">
        <f>8.8/64.12</f>
        <v>0.137242669993762</v>
      </c>
      <c r="F61" s="368"/>
      <c r="G61" s="370">
        <f t="shared" si="7"/>
        <v>0</v>
      </c>
      <c r="H61" s="370">
        <f t="shared" si="9"/>
        <v>0</v>
      </c>
      <c r="I61" s="370">
        <v>1</v>
      </c>
      <c r="J61" s="370">
        <v>0.67</v>
      </c>
    </row>
    <row r="62" s="344" customFormat="1" ht="60" spans="1:10">
      <c r="A62" s="372" t="s">
        <v>552</v>
      </c>
      <c r="B62" s="366" t="s">
        <v>553</v>
      </c>
      <c r="C62" s="367" t="s">
        <v>466</v>
      </c>
      <c r="D62" s="368">
        <f t="shared" si="8"/>
        <v>0.88</v>
      </c>
      <c r="E62" s="369">
        <f>8.8/10</f>
        <v>0.88</v>
      </c>
      <c r="F62" s="368"/>
      <c r="G62" s="370">
        <f t="shared" si="7"/>
        <v>0</v>
      </c>
      <c r="H62" s="370">
        <f t="shared" si="9"/>
        <v>0</v>
      </c>
      <c r="I62" s="370">
        <v>1</v>
      </c>
      <c r="J62" s="370">
        <v>1</v>
      </c>
    </row>
    <row r="63" s="344" customFormat="1" ht="60" spans="1:10">
      <c r="A63" s="372" t="s">
        <v>554</v>
      </c>
      <c r="B63" s="366" t="s">
        <v>555</v>
      </c>
      <c r="C63" s="367" t="s">
        <v>476</v>
      </c>
      <c r="D63" s="368">
        <f t="shared" si="8"/>
        <v>4.88888888888889</v>
      </c>
      <c r="E63" s="369">
        <f>8.8/1.8</f>
        <v>4.88888888888889</v>
      </c>
      <c r="F63" s="368"/>
      <c r="G63" s="370">
        <f t="shared" si="7"/>
        <v>0</v>
      </c>
      <c r="H63" s="370">
        <f t="shared" si="9"/>
        <v>0</v>
      </c>
      <c r="I63" s="370">
        <v>1</v>
      </c>
      <c r="J63" s="370">
        <v>1</v>
      </c>
    </row>
    <row r="64" s="344" customFormat="1" ht="60" spans="1:10">
      <c r="A64" s="372" t="s">
        <v>556</v>
      </c>
      <c r="B64" s="366" t="s">
        <v>557</v>
      </c>
      <c r="C64" s="367" t="s">
        <v>466</v>
      </c>
      <c r="D64" s="368">
        <f t="shared" si="8"/>
        <v>11.7333333333333</v>
      </c>
      <c r="E64" s="369">
        <f>8.8/0.75</f>
        <v>11.7333333333333</v>
      </c>
      <c r="F64" s="368"/>
      <c r="G64" s="370">
        <f t="shared" si="7"/>
        <v>0</v>
      </c>
      <c r="H64" s="370">
        <f t="shared" si="9"/>
        <v>0</v>
      </c>
      <c r="I64" s="370">
        <v>1</v>
      </c>
      <c r="J64" s="370">
        <v>0.5</v>
      </c>
    </row>
    <row r="65" s="344" customFormat="1" ht="60" spans="1:10">
      <c r="A65" s="373" t="s">
        <v>558</v>
      </c>
      <c r="B65" s="366" t="s">
        <v>559</v>
      </c>
      <c r="C65" s="367" t="s">
        <v>466</v>
      </c>
      <c r="D65" s="368">
        <f t="shared" si="8"/>
        <v>8.62745098039216</v>
      </c>
      <c r="E65" s="369">
        <f>8.8/1.02</f>
        <v>8.62745098039216</v>
      </c>
      <c r="F65" s="368"/>
      <c r="G65" s="370">
        <f t="shared" si="7"/>
        <v>0</v>
      </c>
      <c r="H65" s="370">
        <f t="shared" si="9"/>
        <v>0</v>
      </c>
      <c r="I65" s="370">
        <v>1</v>
      </c>
      <c r="J65" s="370">
        <f>1.02/1.12</f>
        <v>0.910714285714286</v>
      </c>
    </row>
    <row r="66" s="344" customFormat="1" ht="75" spans="1:10">
      <c r="A66" s="372" t="s">
        <v>560</v>
      </c>
      <c r="B66" s="366" t="s">
        <v>561</v>
      </c>
      <c r="C66" s="367" t="s">
        <v>494</v>
      </c>
      <c r="D66" s="368">
        <f t="shared" si="8"/>
        <v>0.705693664795509</v>
      </c>
      <c r="E66" s="369">
        <f>8.8/12.47</f>
        <v>0.705693664795509</v>
      </c>
      <c r="F66" s="368"/>
      <c r="G66" s="370">
        <f t="shared" si="7"/>
        <v>0</v>
      </c>
      <c r="H66" s="370">
        <f t="shared" si="9"/>
        <v>0</v>
      </c>
      <c r="I66" s="370">
        <v>1</v>
      </c>
      <c r="J66" s="370">
        <f>10.03/12.47</f>
        <v>0.804330392943063</v>
      </c>
    </row>
    <row r="67" s="344" customFormat="1" ht="60" spans="1:10">
      <c r="A67" s="371" t="s">
        <v>562</v>
      </c>
      <c r="B67" s="354" t="s">
        <v>563</v>
      </c>
      <c r="C67" s="353" t="s">
        <v>466</v>
      </c>
      <c r="D67" s="355">
        <f t="shared" si="8"/>
        <v>10</v>
      </c>
      <c r="E67" s="356">
        <f>8.8/0.88</f>
        <v>10</v>
      </c>
      <c r="F67" s="355">
        <f>PLANILHA!E194</f>
        <v>79.42</v>
      </c>
      <c r="G67" s="357">
        <f t="shared" si="7"/>
        <v>7.942</v>
      </c>
      <c r="H67" s="370">
        <f t="shared" si="9"/>
        <v>7.942</v>
      </c>
      <c r="I67" s="370">
        <v>1</v>
      </c>
      <c r="J67" s="370">
        <f>0.6/0.88</f>
        <v>0.681818181818182</v>
      </c>
    </row>
    <row r="68" s="344" customFormat="1" ht="30" spans="1:10">
      <c r="A68" s="372" t="s">
        <v>564</v>
      </c>
      <c r="B68" s="366" t="s">
        <v>565</v>
      </c>
      <c r="C68" s="367" t="s">
        <v>466</v>
      </c>
      <c r="D68" s="368">
        <f>8.8/0.118</f>
        <v>74.5762711864407</v>
      </c>
      <c r="E68" s="369">
        <v>74.5762711864407</v>
      </c>
      <c r="F68" s="368"/>
      <c r="G68" s="370">
        <f t="shared" si="7"/>
        <v>0</v>
      </c>
      <c r="H68" s="370">
        <f t="shared" si="9"/>
        <v>0</v>
      </c>
      <c r="I68" s="370">
        <v>1</v>
      </c>
      <c r="J68" s="370">
        <f>0.065/0.118</f>
        <v>0.550847457627119</v>
      </c>
    </row>
    <row r="69" s="344" customFormat="1" ht="75" spans="1:10">
      <c r="A69" s="372" t="s">
        <v>566</v>
      </c>
      <c r="B69" s="366" t="s">
        <v>567</v>
      </c>
      <c r="C69" s="367" t="s">
        <v>466</v>
      </c>
      <c r="D69" s="368">
        <f>8.8/0.115</f>
        <v>76.5217391304348</v>
      </c>
      <c r="E69" s="369">
        <f>8.8/0.13</f>
        <v>67.6923076923077</v>
      </c>
      <c r="F69" s="368"/>
      <c r="G69" s="370">
        <f t="shared" si="7"/>
        <v>0</v>
      </c>
      <c r="H69" s="370">
        <f t="shared" si="9"/>
        <v>0</v>
      </c>
      <c r="I69" s="370">
        <v>1</v>
      </c>
      <c r="J69" s="370">
        <v>1</v>
      </c>
    </row>
    <row r="70" s="344" customFormat="1" ht="60" spans="1:10">
      <c r="A70" s="372" t="s">
        <v>568</v>
      </c>
      <c r="B70" s="366" t="s">
        <v>569</v>
      </c>
      <c r="C70" s="367" t="s">
        <v>494</v>
      </c>
      <c r="D70" s="368">
        <f t="shared" ref="D70:D78" si="10">E70</f>
        <v>3.60655737704918</v>
      </c>
      <c r="E70" s="369">
        <f>8.8/2.44</f>
        <v>3.60655737704918</v>
      </c>
      <c r="F70" s="368"/>
      <c r="G70" s="370">
        <f t="shared" si="7"/>
        <v>0</v>
      </c>
      <c r="H70" s="370">
        <f t="shared" si="9"/>
        <v>0</v>
      </c>
      <c r="I70" s="370">
        <v>1</v>
      </c>
      <c r="J70" s="370">
        <v>1</v>
      </c>
    </row>
    <row r="71" spans="1:10">
      <c r="A71" s="353" t="s">
        <v>570</v>
      </c>
      <c r="B71" s="354" t="s">
        <v>571</v>
      </c>
      <c r="C71" s="353" t="s">
        <v>466</v>
      </c>
      <c r="D71" s="355">
        <f t="shared" si="10"/>
        <v>20.952380952381</v>
      </c>
      <c r="E71" s="356">
        <f>8.8/0.42</f>
        <v>20.952380952381</v>
      </c>
      <c r="F71" s="355">
        <f>PLANILHA!E248</f>
        <v>158.84</v>
      </c>
      <c r="G71" s="357">
        <f t="shared" si="7"/>
        <v>7.581</v>
      </c>
      <c r="H71" s="357">
        <f>G71/I71</f>
        <v>7.581</v>
      </c>
      <c r="I71" s="357">
        <v>1</v>
      </c>
      <c r="J71" s="357">
        <f>0.75/0.42</f>
        <v>1.78571428571429</v>
      </c>
    </row>
    <row r="72" ht="75" spans="1:10">
      <c r="A72" s="371" t="s">
        <v>572</v>
      </c>
      <c r="B72" s="359" t="s">
        <v>573</v>
      </c>
      <c r="C72" s="353" t="s">
        <v>466</v>
      </c>
      <c r="D72" s="355">
        <f t="shared" si="10"/>
        <v>44</v>
      </c>
      <c r="E72" s="356">
        <f>8.8/0.2</f>
        <v>44</v>
      </c>
      <c r="F72" s="355">
        <f>PLANILHA!E246</f>
        <v>298.4</v>
      </c>
      <c r="G72" s="357">
        <f t="shared" si="7"/>
        <v>6.78181818181818</v>
      </c>
      <c r="H72" s="357">
        <f>IFERROR(G72/I72,G72/J72)</f>
        <v>6.78181818181818</v>
      </c>
      <c r="I72" s="357">
        <v>1</v>
      </c>
      <c r="J72" s="357">
        <v>0.5</v>
      </c>
    </row>
    <row r="73" ht="60" spans="1:10">
      <c r="A73" s="353" t="s">
        <v>574</v>
      </c>
      <c r="B73" s="354" t="s">
        <v>575</v>
      </c>
      <c r="C73" s="353" t="s">
        <v>112</v>
      </c>
      <c r="D73" s="355">
        <f t="shared" si="10"/>
        <v>12.0547945205479</v>
      </c>
      <c r="E73" s="356">
        <f>8.8/0.73</f>
        <v>12.0547945205479</v>
      </c>
      <c r="F73" s="355">
        <f>PLANILHA!E137</f>
        <v>51.05</v>
      </c>
      <c r="G73" s="357">
        <f t="shared" si="7"/>
        <v>4.23482954545454</v>
      </c>
      <c r="H73" s="357">
        <f>G73/I73</f>
        <v>4.23482954545454</v>
      </c>
      <c r="I73" s="357">
        <v>1</v>
      </c>
      <c r="J73" s="357">
        <v>1</v>
      </c>
    </row>
    <row r="74" ht="105" spans="1:10">
      <c r="A74" s="371">
        <v>8001008020020</v>
      </c>
      <c r="B74" s="359" t="s">
        <v>576</v>
      </c>
      <c r="C74" s="353" t="s">
        <v>494</v>
      </c>
      <c r="D74" s="355">
        <f t="shared" si="10"/>
        <v>7.39495798319328</v>
      </c>
      <c r="E74" s="356">
        <f>8.8/1.19</f>
        <v>7.39495798319328</v>
      </c>
      <c r="F74" s="355">
        <f>PLANILHA!E136</f>
        <v>18</v>
      </c>
      <c r="G74" s="370">
        <f t="shared" si="7"/>
        <v>2.43409090909091</v>
      </c>
      <c r="H74" s="370">
        <f>IFERROR(G74/I74,G74/J74)</f>
        <v>2.43409090909091</v>
      </c>
      <c r="I74" s="370">
        <v>1</v>
      </c>
      <c r="J74" s="370">
        <f>0.66/1.19</f>
        <v>0.554621848739496</v>
      </c>
    </row>
    <row r="75" ht="45" spans="1:10">
      <c r="A75" s="371" t="s">
        <v>577</v>
      </c>
      <c r="B75" s="359" t="s">
        <v>578</v>
      </c>
      <c r="C75" s="353" t="s">
        <v>466</v>
      </c>
      <c r="D75" s="355">
        <f t="shared" si="10"/>
        <v>146.666666666667</v>
      </c>
      <c r="E75" s="356">
        <f>8.8/0.06</f>
        <v>146.666666666667</v>
      </c>
      <c r="F75" s="355">
        <f>PLANILHA!E245</f>
        <v>298.4</v>
      </c>
      <c r="G75" s="357">
        <f t="shared" si="7"/>
        <v>2.03454545454545</v>
      </c>
      <c r="H75" s="357">
        <f>IFERROR(G75/I75,G75/J75)</f>
        <v>2.03454545454545</v>
      </c>
      <c r="I75" s="357">
        <v>1</v>
      </c>
      <c r="J75" s="357">
        <v>1</v>
      </c>
    </row>
    <row r="76" ht="135" spans="1:10">
      <c r="A76" s="372" t="s">
        <v>579</v>
      </c>
      <c r="B76" s="366" t="s">
        <v>580</v>
      </c>
      <c r="C76" s="367" t="s">
        <v>494</v>
      </c>
      <c r="D76" s="368">
        <f t="shared" si="10"/>
        <v>0.995475113122172</v>
      </c>
      <c r="E76" s="369">
        <f>8.8/8.84</f>
        <v>0.995475113122172</v>
      </c>
      <c r="F76" s="368">
        <f>PLANILHA!E257</f>
        <v>1</v>
      </c>
      <c r="G76" s="370">
        <f t="shared" ref="G76:G107" si="11">F76/D76</f>
        <v>1.00454545454545</v>
      </c>
      <c r="H76" s="370">
        <f>IFERROR(G76/I76,G76/J76)</f>
        <v>1.00454545454545</v>
      </c>
      <c r="I76" s="370">
        <v>1</v>
      </c>
      <c r="J76" s="370">
        <v>0.91</v>
      </c>
    </row>
    <row r="77" ht="60" spans="1:10">
      <c r="A77" s="371" t="s">
        <v>581</v>
      </c>
      <c r="B77" s="359" t="s">
        <v>582</v>
      </c>
      <c r="C77" s="353" t="s">
        <v>466</v>
      </c>
      <c r="D77" s="355">
        <f t="shared" si="10"/>
        <v>27.5</v>
      </c>
      <c r="E77" s="356">
        <f>8.8/0.32</f>
        <v>27.5</v>
      </c>
      <c r="F77" s="355">
        <f>PLANILHA!E236</f>
        <v>11.16</v>
      </c>
      <c r="G77" s="357">
        <f t="shared" si="11"/>
        <v>0.405818181818182</v>
      </c>
      <c r="H77" s="370">
        <f>IFERROR(G77/I77,G77/J77)</f>
        <v>0.405818181818182</v>
      </c>
      <c r="I77" s="370">
        <v>1</v>
      </c>
      <c r="J77" s="357">
        <f>0.74/0.32</f>
        <v>2.3125</v>
      </c>
    </row>
    <row r="78" ht="60" spans="1:10">
      <c r="A78" s="371" t="s">
        <v>583</v>
      </c>
      <c r="B78" s="354" t="s">
        <v>584</v>
      </c>
      <c r="C78" s="353" t="s">
        <v>494</v>
      </c>
      <c r="D78" s="355">
        <f t="shared" si="10"/>
        <v>12.5714285714286</v>
      </c>
      <c r="E78" s="356">
        <f>8.8/0.7</f>
        <v>12.5714285714286</v>
      </c>
      <c r="F78" s="355">
        <f>PLANILHA!E200</f>
        <v>2</v>
      </c>
      <c r="G78" s="357">
        <f t="shared" si="11"/>
        <v>0.159090909090909</v>
      </c>
      <c r="H78" s="370">
        <f>IFERROR(G78/I78,G78/J78)</f>
        <v>0.159090909090909</v>
      </c>
      <c r="I78" s="370">
        <v>1</v>
      </c>
      <c r="J78" s="357">
        <f>1.02/0.7</f>
        <v>1.45714285714286</v>
      </c>
    </row>
    <row r="79" ht="13.8" customHeight="1" spans="1:10">
      <c r="A79" s="371"/>
      <c r="B79" s="359"/>
      <c r="C79" s="353"/>
      <c r="D79" s="355"/>
      <c r="E79" s="356"/>
      <c r="F79" s="355"/>
      <c r="G79" s="357"/>
      <c r="H79" s="357"/>
      <c r="I79" s="357"/>
      <c r="J79" s="357"/>
    </row>
    <row r="80" spans="1:10">
      <c r="A80" s="371"/>
      <c r="B80" s="359"/>
      <c r="C80" s="353"/>
      <c r="D80" s="355"/>
      <c r="E80" s="356"/>
      <c r="F80" s="355"/>
      <c r="G80" s="357"/>
      <c r="H80" s="357"/>
      <c r="I80" s="357"/>
      <c r="J80" s="357"/>
    </row>
    <row r="81" spans="1:14">
      <c r="A81" s="371"/>
      <c r="B81" s="359"/>
      <c r="C81" s="353"/>
      <c r="D81" s="355"/>
      <c r="E81" s="356"/>
      <c r="F81" s="355"/>
      <c r="G81" s="357"/>
      <c r="H81" s="357"/>
      <c r="I81" s="357"/>
      <c r="J81" s="357"/>
    </row>
    <row r="83" ht="45" spans="1:14">
      <c r="K83" s="374" t="s">
        <v>585</v>
      </c>
      <c r="L83" s="375"/>
      <c r="M83" s="357" t="s">
        <v>323</v>
      </c>
      <c r="N83" s="376">
        <f>SUBTOTAL(9,G:G)</f>
        <v>123.766436363636</v>
      </c>
    </row>
    <row r="84" ht="45" spans="1:14">
      <c r="K84" s="377" t="s">
        <v>586</v>
      </c>
      <c r="L84" s="377" t="s">
        <v>587</v>
      </c>
      <c r="M84" s="357" t="s">
        <v>588</v>
      </c>
      <c r="N84" s="357">
        <f>N83/22</f>
        <v>5.62574710743802</v>
      </c>
    </row>
    <row r="85" spans="1:14">
      <c r="K85" s="378">
        <f>SUBTOTAL(9,I:I)</f>
        <v>74</v>
      </c>
      <c r="L85" s="378">
        <f>SUBTOTAL(9,J:J)</f>
        <v>95.9226869875457</v>
      </c>
      <c r="M85" s="357"/>
      <c r="N85" s="379"/>
    </row>
    <row r="86" spans="1:14">
      <c r="A86" s="380"/>
      <c r="B86" s="347"/>
      <c r="D86" s="347"/>
      <c r="F86" s="347"/>
      <c r="G86" s="347"/>
      <c r="H86" s="347"/>
      <c r="I86" s="347"/>
      <c r="J86" s="347"/>
      <c r="K86" s="381">
        <v>1</v>
      </c>
      <c r="L86" s="382">
        <f>K86*L87</f>
        <v>1.29625252685873</v>
      </c>
      <c r="M86" s="383" t="s">
        <v>589</v>
      </c>
      <c r="N86" s="383">
        <f>N84/K86</f>
        <v>5.62574710743802</v>
      </c>
    </row>
    <row r="87" spans="1:14">
      <c r="A87" s="380"/>
      <c r="B87" s="347"/>
      <c r="D87" s="347"/>
      <c r="F87" s="347"/>
      <c r="G87" s="347"/>
      <c r="H87" s="347"/>
      <c r="I87" s="347"/>
      <c r="J87" s="347"/>
      <c r="K87" s="384" t="s">
        <v>585</v>
      </c>
      <c r="L87" s="385">
        <f>L85/K85</f>
        <v>1.29625252685873</v>
      </c>
      <c r="M87" s="357"/>
      <c r="N87" s="386"/>
    </row>
    <row r="89" spans="1:14">
      <c r="M89" s="346"/>
      <c r="N89" s="346"/>
    </row>
    <row r="90" spans="1:14">
      <c r="M90" s="346"/>
      <c r="N90" s="346"/>
    </row>
    <row r="91" spans="1:14">
      <c r="M91" s="346"/>
      <c r="N91" s="346"/>
    </row>
    <row r="92" spans="1:14">
      <c r="M92" s="346"/>
      <c r="N92" s="346"/>
    </row>
    <row r="93" spans="1:14">
      <c r="M93" s="346"/>
      <c r="N93" s="346"/>
    </row>
  </sheetData>
  <autoFilter xmlns:etc="http://www.wps.cn/officeDocument/2017/etCustomData" ref="A1:J78" etc:filterBottomFollowUsedRange="0">
    <sortState ref="A1:J78">
      <sortCondition ref="G1:G78" descending="1"/>
    </sortState>
    <extLst/>
  </autoFilter>
  <mergeCells count="1">
    <mergeCell ref="K83:L83"/>
  </mergeCells>
  <conditionalFormatting sqref="A12">
    <cfRule type="duplicateValues" dxfId="0" priority="1"/>
    <cfRule type="duplicateValues" dxfId="0" priority="2"/>
    <cfRule type="duplicateValues" dxfId="0" priority="3"/>
  </conditionalFormatting>
  <conditionalFormatting sqref="A17:B17">
    <cfRule type="duplicateValues" dxfId="0" priority="190"/>
  </conditionalFormatting>
  <conditionalFormatting sqref="A18:B18">
    <cfRule type="duplicateValues" dxfId="0" priority="223"/>
  </conditionalFormatting>
  <conditionalFormatting sqref="A19:B19">
    <cfRule type="duplicateValues" dxfId="0" priority="142"/>
    <cfRule type="duplicateValues" dxfId="0" priority="141"/>
  </conditionalFormatting>
  <conditionalFormatting sqref="A20:B20">
    <cfRule type="duplicateValues" dxfId="0" priority="228"/>
  </conditionalFormatting>
  <conditionalFormatting sqref="A21:B21">
    <cfRule type="duplicateValues" dxfId="0" priority="146"/>
    <cfRule type="duplicateValues" dxfId="0" priority="145"/>
  </conditionalFormatting>
  <conditionalFormatting sqref="A24:B24">
    <cfRule type="duplicateValues" dxfId="0" priority="238"/>
  </conditionalFormatting>
  <conditionalFormatting sqref="A25:B25">
    <cfRule type="duplicateValues" dxfId="0" priority="233"/>
  </conditionalFormatting>
  <conditionalFormatting sqref="A26:B26">
    <cfRule type="duplicateValues" dxfId="0" priority="157"/>
  </conditionalFormatting>
  <conditionalFormatting sqref="A27:B27">
    <cfRule type="duplicateValues" dxfId="0" priority="159"/>
    <cfRule type="duplicateValues" dxfId="0" priority="158"/>
  </conditionalFormatting>
  <conditionalFormatting sqref="A30:B30">
    <cfRule type="duplicateValues" dxfId="0" priority="165"/>
    <cfRule type="duplicateValues" dxfId="0" priority="164"/>
  </conditionalFormatting>
  <conditionalFormatting sqref="A33:B33">
    <cfRule type="duplicateValues" dxfId="0" priority="106"/>
    <cfRule type="duplicateValues" dxfId="0" priority="105"/>
  </conditionalFormatting>
  <conditionalFormatting sqref="A34:B34">
    <cfRule type="duplicateValues" dxfId="0" priority="293"/>
  </conditionalFormatting>
  <conditionalFormatting sqref="A35:B35">
    <cfRule type="duplicateValues" dxfId="0" priority="110"/>
    <cfRule type="duplicateValues" dxfId="0" priority="109"/>
  </conditionalFormatting>
  <conditionalFormatting sqref="A40:B40">
    <cfRule type="duplicateValues" dxfId="0" priority="117"/>
  </conditionalFormatting>
  <conditionalFormatting sqref="A41:B41">
    <cfRule type="duplicateValues" dxfId="0" priority="270"/>
  </conditionalFormatting>
  <conditionalFormatting sqref="A42:B42">
    <cfRule type="duplicateValues" dxfId="0" priority="122"/>
    <cfRule type="duplicateValues" dxfId="0" priority="121"/>
  </conditionalFormatting>
  <conditionalFormatting sqref="A45:B45">
    <cfRule type="duplicateValues" dxfId="0" priority="126"/>
    <cfRule type="duplicateValues" dxfId="0" priority="125"/>
  </conditionalFormatting>
  <conditionalFormatting sqref="A48:B48">
    <cfRule type="duplicateValues" dxfId="0" priority="130"/>
    <cfRule type="duplicateValues" dxfId="0" priority="129"/>
  </conditionalFormatting>
  <conditionalFormatting sqref="A51:B51">
    <cfRule type="duplicateValues" dxfId="0" priority="133"/>
  </conditionalFormatting>
  <conditionalFormatting sqref="A52:B52">
    <cfRule type="duplicateValues" dxfId="0" priority="244"/>
  </conditionalFormatting>
  <conditionalFormatting sqref="A53:B53">
    <cfRule type="duplicateValues" dxfId="0" priority="169"/>
    <cfRule type="duplicateValues" dxfId="0" priority="168"/>
  </conditionalFormatting>
  <conditionalFormatting sqref="A60:B60">
    <cfRule type="duplicateValues" dxfId="0" priority="25"/>
  </conditionalFormatting>
  <conditionalFormatting sqref="A61:B61">
    <cfRule type="duplicateValues" dxfId="0" priority="23"/>
  </conditionalFormatting>
  <conditionalFormatting sqref="A61">
    <cfRule type="duplicateValues" dxfId="0" priority="24"/>
  </conditionalFormatting>
  <conditionalFormatting sqref="A62:B62">
    <cfRule type="duplicateValues" dxfId="0" priority="22"/>
  </conditionalFormatting>
  <conditionalFormatting sqref="A62">
    <cfRule type="duplicateValues" dxfId="0" priority="21"/>
  </conditionalFormatting>
  <conditionalFormatting sqref="A63:B63">
    <cfRule type="duplicateValues" dxfId="0" priority="20"/>
  </conditionalFormatting>
  <conditionalFormatting sqref="A63">
    <cfRule type="duplicateValues" dxfId="0" priority="19"/>
  </conditionalFormatting>
  <conditionalFormatting sqref="A64:B64">
    <cfRule type="duplicateValues" dxfId="0" priority="18"/>
  </conditionalFormatting>
  <conditionalFormatting sqref="A64">
    <cfRule type="duplicateValues" dxfId="0" priority="17"/>
  </conditionalFormatting>
  <conditionalFormatting sqref="A65:B65">
    <cfRule type="duplicateValues" dxfId="0" priority="15"/>
  </conditionalFormatting>
  <conditionalFormatting sqref="A65">
    <cfRule type="duplicateValues" dxfId="0" priority="16"/>
  </conditionalFormatting>
  <conditionalFormatting sqref="A66:B66">
    <cfRule type="duplicateValues" dxfId="0" priority="14"/>
  </conditionalFormatting>
  <conditionalFormatting sqref="A66">
    <cfRule type="duplicateValues" dxfId="0" priority="13"/>
  </conditionalFormatting>
  <conditionalFormatting sqref="A67:B67">
    <cfRule type="duplicateValues" dxfId="0" priority="12"/>
  </conditionalFormatting>
  <conditionalFormatting sqref="A67">
    <cfRule type="duplicateValues" dxfId="0" priority="11"/>
  </conditionalFormatting>
  <conditionalFormatting sqref="A68:B68">
    <cfRule type="duplicateValues" dxfId="0" priority="9"/>
  </conditionalFormatting>
  <conditionalFormatting sqref="A68">
    <cfRule type="duplicateValues" dxfId="0" priority="10"/>
  </conditionalFormatting>
  <conditionalFormatting sqref="A69:B69">
    <cfRule type="duplicateValues" dxfId="0" priority="6"/>
  </conditionalFormatting>
  <conditionalFormatting sqref="A69">
    <cfRule type="duplicateValues" dxfId="0" priority="5"/>
  </conditionalFormatting>
  <conditionalFormatting sqref="A70:B70">
    <cfRule type="duplicateValues" dxfId="0" priority="7"/>
  </conditionalFormatting>
  <conditionalFormatting sqref="A70">
    <cfRule type="duplicateValues" dxfId="0" priority="8"/>
  </conditionalFormatting>
  <conditionalFormatting sqref="A71:B71">
    <cfRule type="duplicateValues" dxfId="0" priority="50"/>
    <cfRule type="duplicateValues" dxfId="0" priority="49"/>
  </conditionalFormatting>
  <conditionalFormatting sqref="A72:B72">
    <cfRule type="duplicateValues" dxfId="0" priority="52"/>
    <cfRule type="duplicateValues" dxfId="0" priority="51"/>
  </conditionalFormatting>
  <conditionalFormatting sqref="A73:B73">
    <cfRule type="duplicateValues" dxfId="0" priority="257"/>
  </conditionalFormatting>
  <conditionalFormatting sqref="A74:B74">
    <cfRule type="duplicateValues" dxfId="0" priority="63"/>
    <cfRule type="duplicateValues" dxfId="0" priority="62"/>
  </conditionalFormatting>
  <conditionalFormatting sqref="A77:B77">
    <cfRule type="duplicateValues" dxfId="0" priority="67"/>
    <cfRule type="duplicateValues" dxfId="0" priority="66"/>
  </conditionalFormatting>
  <conditionalFormatting sqref="A78:B78">
    <cfRule type="duplicateValues" dxfId="0" priority="311"/>
  </conditionalFormatting>
  <conditionalFormatting sqref="A33:A41">
    <cfRule type="duplicateValues" dxfId="0" priority="298"/>
  </conditionalFormatting>
  <conditionalFormatting sqref="A42:A52">
    <cfRule type="duplicateValues" dxfId="0" priority="246"/>
  </conditionalFormatting>
  <conditionalFormatting sqref="A56:A60">
    <cfRule type="duplicateValues" dxfId="0" priority="26"/>
  </conditionalFormatting>
  <conditionalFormatting sqref="A71:A72">
    <cfRule type="duplicateValues" dxfId="0" priority="261"/>
  </conditionalFormatting>
  <conditionalFormatting sqref="A73:A78">
    <cfRule type="duplicateValues" dxfId="0" priority="313"/>
  </conditionalFormatting>
  <conditionalFormatting sqref="A80:B1048576;A4:B8;A1:B1">
    <cfRule type="duplicateValues" dxfId="0" priority="199"/>
  </conditionalFormatting>
  <conditionalFormatting sqref="A79:A1048576;A53:A55;A1:A11;A13:A32">
    <cfRule type="duplicateValues" dxfId="0" priority="319"/>
  </conditionalFormatting>
  <conditionalFormatting sqref="A79:A1048576;A1:A11;A13:A55">
    <cfRule type="duplicateValues" dxfId="0" priority="324"/>
  </conditionalFormatting>
  <conditionalFormatting sqref="A2:B3">
    <cfRule type="duplicateValues" dxfId="0" priority="218"/>
  </conditionalFormatting>
  <conditionalFormatting sqref="A80:B1048576;A4:B8">
    <cfRule type="duplicateValues" dxfId="0" priority="194"/>
  </conditionalFormatting>
  <conditionalFormatting sqref="A9:B10">
    <cfRule type="duplicateValues" dxfId="0" priority="183"/>
    <cfRule type="duplicateValues" dxfId="0" priority="182"/>
  </conditionalFormatting>
  <conditionalFormatting sqref="A11:B11;B12">
    <cfRule type="duplicateValues" dxfId="0" priority="185"/>
    <cfRule type="duplicateValues" dxfId="0" priority="184"/>
  </conditionalFormatting>
  <conditionalFormatting sqref="A13:B14">
    <cfRule type="duplicateValues" dxfId="0" priority="187"/>
    <cfRule type="duplicateValues" dxfId="0" priority="186"/>
  </conditionalFormatting>
  <conditionalFormatting sqref="A15:B16">
    <cfRule type="duplicateValues" dxfId="0" priority="189"/>
    <cfRule type="duplicateValues" dxfId="0" priority="188"/>
  </conditionalFormatting>
  <conditionalFormatting sqref="A79:B79;A17:B17">
    <cfRule type="duplicateValues" dxfId="0" priority="191"/>
  </conditionalFormatting>
  <conditionalFormatting sqref="A22:B23">
    <cfRule type="duplicateValues" dxfId="0" priority="148"/>
    <cfRule type="duplicateValues" dxfId="0" priority="147"/>
  </conditionalFormatting>
  <conditionalFormatting sqref="A28:B29">
    <cfRule type="duplicateValues" dxfId="0" priority="163"/>
    <cfRule type="duplicateValues" dxfId="0" priority="162"/>
  </conditionalFormatting>
  <conditionalFormatting sqref="A31:B32">
    <cfRule type="duplicateValues" dxfId="0" priority="167"/>
    <cfRule type="duplicateValues" dxfId="0" priority="166"/>
  </conditionalFormatting>
  <conditionalFormatting sqref="A36:B37">
    <cfRule type="duplicateValues" dxfId="0" priority="112"/>
    <cfRule type="duplicateValues" dxfId="0" priority="111"/>
  </conditionalFormatting>
  <conditionalFormatting sqref="A38:B39">
    <cfRule type="duplicateValues" dxfId="0" priority="116"/>
    <cfRule type="duplicateValues" dxfId="0" priority="115"/>
  </conditionalFormatting>
  <conditionalFormatting sqref="A43:B44">
    <cfRule type="duplicateValues" dxfId="0" priority="124"/>
    <cfRule type="duplicateValues" dxfId="0" priority="123"/>
  </conditionalFormatting>
  <conditionalFormatting sqref="A46:B47">
    <cfRule type="duplicateValues" dxfId="0" priority="128"/>
    <cfRule type="duplicateValues" dxfId="0" priority="127"/>
  </conditionalFormatting>
  <conditionalFormatting sqref="A49:B50">
    <cfRule type="duplicateValues" dxfId="0" priority="132"/>
    <cfRule type="duplicateValues" dxfId="0" priority="131"/>
  </conditionalFormatting>
  <conditionalFormatting sqref="A54:B55">
    <cfRule type="duplicateValues" dxfId="0" priority="170"/>
    <cfRule type="duplicateValues" dxfId="0" priority="318"/>
  </conditionalFormatting>
  <conditionalFormatting sqref="A56:B59">
    <cfRule type="duplicateValues" dxfId="0" priority="27"/>
  </conditionalFormatting>
  <conditionalFormatting sqref="A75:B76">
    <cfRule type="duplicateValues" dxfId="0" priority="65"/>
    <cfRule type="duplicateValues" dxfId="0" priority="64"/>
  </conditionalFormatting>
  <pageMargins left="0.511811024" right="0.511811024" top="0.787401575" bottom="0.787401575" header="0.31496062" footer="0.31496062"/>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AA299"/>
  <sheetViews>
    <sheetView view="pageBreakPreview" zoomScale="85" zoomScaleNormal="100" workbookViewId="0">
      <pane ySplit="1" topLeftCell="A2" activePane="bottomLeft" state="frozen"/>
      <selection/>
      <selection pane="bottomLeft" activeCell="C11" sqref="C11"/>
    </sheetView>
  </sheetViews>
  <sheetFormatPr defaultColWidth="9" defaultRowHeight="12.75"/>
  <cols>
    <col min="1" max="1" width="4.1047619047619" style="291" customWidth="1"/>
    <col min="2" max="2" width="21.4380952380952" style="292" customWidth="1"/>
    <col min="3" max="3" width="113.552380952381" style="283" customWidth="1"/>
    <col min="4" max="4" width="12.552380952381" style="293" customWidth="1"/>
    <col min="5" max="5" width="11.4380952380952" style="293" customWidth="1"/>
    <col min="6" max="6" width="17.8857142857143" style="293" customWidth="1"/>
    <col min="7" max="7" width="14.552380952381" style="293" customWidth="1"/>
    <col min="8" max="8" width="15.3333333333333" style="283" customWidth="1"/>
    <col min="9" max="9" width="13.2190476190476" style="283" customWidth="1"/>
    <col min="10" max="27" width="8.88571428571429" style="137"/>
    <col min="28" max="16384" width="8.88571428571429" style="283"/>
  </cols>
  <sheetData>
    <row r="1" s="283" customFormat="1" spans="1:9">
      <c r="A1" s="101"/>
      <c r="B1" s="102" t="s">
        <v>590</v>
      </c>
      <c r="C1" s="103" t="s">
        <v>27</v>
      </c>
      <c r="D1" s="294" t="s">
        <v>591</v>
      </c>
      <c r="E1" s="294" t="s">
        <v>592</v>
      </c>
      <c r="F1" s="294" t="s">
        <v>593</v>
      </c>
      <c r="G1" s="294" t="s">
        <v>594</v>
      </c>
      <c r="H1" s="295">
        <f>SUM(9,G:G)</f>
        <v>4438973.07</v>
      </c>
      <c r="I1" s="283" t="s">
        <v>595</v>
      </c>
    </row>
    <row r="2" s="283" customFormat="1" spans="1:9">
      <c r="A2" s="296">
        <v>1</v>
      </c>
      <c r="B2" s="297"/>
      <c r="C2" s="103" t="s">
        <v>282</v>
      </c>
      <c r="D2" s="294"/>
      <c r="E2" s="294"/>
      <c r="F2" s="294"/>
      <c r="G2" s="174"/>
      <c r="H2" s="298">
        <f>1822985.75+2615978.28</f>
        <v>4438964.03</v>
      </c>
      <c r="I2" s="299">
        <v>4374937.08</v>
      </c>
    </row>
    <row r="3" s="283" customFormat="1" spans="1:9">
      <c r="A3" s="296">
        <v>2</v>
      </c>
      <c r="B3" s="300"/>
      <c r="C3" s="103" t="s">
        <v>596</v>
      </c>
      <c r="D3" s="294"/>
      <c r="E3" s="294"/>
      <c r="F3" s="294"/>
      <c r="G3" s="174"/>
      <c r="H3" s="295">
        <f>H2-H1</f>
        <v>-9.04000000096858</v>
      </c>
      <c r="I3" s="295">
        <f>I2-H1</f>
        <v>-64035.9900000002</v>
      </c>
    </row>
    <row r="4" s="284" customFormat="1" ht="25.5" spans="1:9">
      <c r="A4" s="301">
        <v>3</v>
      </c>
      <c r="B4" s="302">
        <v>173003001001</v>
      </c>
      <c r="C4" s="303" t="s">
        <v>597</v>
      </c>
      <c r="D4" s="304" t="s">
        <v>598</v>
      </c>
      <c r="E4" s="305">
        <v>9</v>
      </c>
      <c r="F4" s="305">
        <v>1578.72</v>
      </c>
      <c r="G4" s="305">
        <f>ROUND(E4*F4,2)</f>
        <v>14208.48</v>
      </c>
    </row>
    <row r="5" s="283" customFormat="1" spans="1:9">
      <c r="A5" s="296">
        <v>4</v>
      </c>
      <c r="B5" s="300"/>
      <c r="C5" s="103" t="s">
        <v>599</v>
      </c>
      <c r="D5" s="294"/>
      <c r="E5" s="294"/>
      <c r="F5" s="294"/>
      <c r="G5" s="174"/>
    </row>
    <row r="6" s="284" customFormat="1" ht="25.5" spans="1:9">
      <c r="A6" s="301">
        <v>5</v>
      </c>
      <c r="B6" s="302">
        <v>174103006001</v>
      </c>
      <c r="C6" s="303" t="s">
        <v>600</v>
      </c>
      <c r="D6" s="304" t="s">
        <v>601</v>
      </c>
      <c r="E6" s="305">
        <v>23.25</v>
      </c>
      <c r="F6" s="305">
        <v>28.42</v>
      </c>
      <c r="G6" s="305">
        <f t="shared" ref="G6:G7" si="0">ROUND(E6*F6,2)</f>
        <v>660.77</v>
      </c>
    </row>
    <row r="7" s="284" customFormat="1" ht="25.5" spans="1:9">
      <c r="A7" s="301">
        <v>6</v>
      </c>
      <c r="B7" s="302">
        <v>174103006002</v>
      </c>
      <c r="C7" s="303" t="s">
        <v>602</v>
      </c>
      <c r="D7" s="304" t="s">
        <v>601</v>
      </c>
      <c r="E7" s="305">
        <v>5430.58</v>
      </c>
      <c r="F7" s="305">
        <v>17.13</v>
      </c>
      <c r="G7" s="305">
        <f t="shared" si="0"/>
        <v>93025.84</v>
      </c>
    </row>
    <row r="8" s="283" customFormat="1" spans="1:9">
      <c r="A8" s="296">
        <v>7</v>
      </c>
      <c r="B8" s="296"/>
      <c r="C8" s="103" t="s">
        <v>603</v>
      </c>
      <c r="D8" s="294"/>
      <c r="E8" s="294"/>
      <c r="F8" s="294"/>
      <c r="G8" s="174"/>
    </row>
    <row r="9" s="284" customFormat="1" spans="1:9">
      <c r="A9" s="301">
        <v>8</v>
      </c>
      <c r="B9" s="301">
        <v>1018003001001</v>
      </c>
      <c r="C9" s="303" t="s">
        <v>604</v>
      </c>
      <c r="D9" s="304" t="s">
        <v>494</v>
      </c>
      <c r="E9" s="305">
        <v>2</v>
      </c>
      <c r="F9" s="305">
        <v>2338.07</v>
      </c>
      <c r="G9" s="305">
        <f>ROUND(E9*F9,2)</f>
        <v>4676.14</v>
      </c>
    </row>
    <row r="10" s="283" customFormat="1" spans="1:9">
      <c r="A10" s="296">
        <v>9</v>
      </c>
      <c r="B10" s="296"/>
      <c r="C10" s="103" t="s">
        <v>605</v>
      </c>
      <c r="D10" s="294"/>
      <c r="E10" s="294"/>
      <c r="F10" s="294"/>
      <c r="G10" s="174"/>
    </row>
    <row r="11" s="284" customFormat="1" spans="1:9">
      <c r="A11" s="301">
        <v>10</v>
      </c>
      <c r="B11" s="301">
        <v>1042003003007</v>
      </c>
      <c r="C11" s="303" t="s">
        <v>606</v>
      </c>
      <c r="D11" s="304" t="s">
        <v>494</v>
      </c>
      <c r="E11" s="305">
        <v>5</v>
      </c>
      <c r="F11" s="305">
        <v>259.4</v>
      </c>
      <c r="G11" s="305">
        <f>ROUND(E11*F11,2)</f>
        <v>1297</v>
      </c>
    </row>
    <row r="12" s="283" customFormat="1" spans="1:9">
      <c r="A12" s="296">
        <v>11</v>
      </c>
      <c r="B12" s="296"/>
      <c r="C12" s="103" t="s">
        <v>607</v>
      </c>
      <c r="D12" s="294"/>
      <c r="E12" s="294"/>
      <c r="F12" s="294"/>
      <c r="G12" s="174"/>
    </row>
    <row r="13" s="284" customFormat="1" ht="51" spans="1:9">
      <c r="A13" s="301">
        <v>12</v>
      </c>
      <c r="B13" s="301">
        <v>1251003008004</v>
      </c>
      <c r="C13" s="303" t="s">
        <v>608</v>
      </c>
      <c r="D13" s="304" t="s">
        <v>598</v>
      </c>
      <c r="E13" s="305">
        <v>9</v>
      </c>
      <c r="F13" s="305">
        <v>484.03</v>
      </c>
      <c r="G13" s="305">
        <f>ROUND(E13*F13,2)</f>
        <v>4356.27</v>
      </c>
    </row>
    <row r="14" s="283" customFormat="1" spans="1:9">
      <c r="A14" s="296">
        <v>13</v>
      </c>
      <c r="B14" s="296"/>
      <c r="C14" s="103" t="s">
        <v>609</v>
      </c>
      <c r="D14" s="294"/>
      <c r="E14" s="294"/>
      <c r="F14" s="294"/>
      <c r="G14" s="174"/>
    </row>
    <row r="15" s="284" customFormat="1" ht="25.5" spans="1:9">
      <c r="A15" s="301">
        <v>14</v>
      </c>
      <c r="B15" s="301">
        <v>1505503002016</v>
      </c>
      <c r="C15" s="303" t="s">
        <v>610</v>
      </c>
      <c r="D15" s="304" t="s">
        <v>494</v>
      </c>
      <c r="E15" s="305">
        <v>6</v>
      </c>
      <c r="F15" s="305">
        <v>2658.58</v>
      </c>
      <c r="G15" s="305">
        <f>ROUND(E15*F15,2)</f>
        <v>15951.48</v>
      </c>
    </row>
    <row r="16" s="283" customFormat="1" spans="1:9">
      <c r="A16" s="296">
        <v>15</v>
      </c>
      <c r="B16" s="296"/>
      <c r="C16" s="103" t="s">
        <v>611</v>
      </c>
      <c r="D16" s="294"/>
      <c r="E16" s="294"/>
      <c r="F16" s="294"/>
      <c r="G16" s="174"/>
    </row>
    <row r="17" s="284" customFormat="1" ht="25.5" spans="1:7">
      <c r="A17" s="301">
        <v>16</v>
      </c>
      <c r="B17" s="301">
        <v>1511003147024</v>
      </c>
      <c r="C17" s="303" t="s">
        <v>612</v>
      </c>
      <c r="D17" s="304" t="s">
        <v>494</v>
      </c>
      <c r="E17" s="305">
        <v>1</v>
      </c>
      <c r="F17" s="305">
        <v>63890</v>
      </c>
      <c r="G17" s="305">
        <f t="shared" ref="G17:G28" si="1">ROUND(E17*F17,2)</f>
        <v>63890</v>
      </c>
    </row>
    <row r="18" s="284" customFormat="1" spans="1:7">
      <c r="A18" s="301">
        <v>17</v>
      </c>
      <c r="B18" s="301">
        <v>1511003106005</v>
      </c>
      <c r="C18" s="303" t="s">
        <v>613</v>
      </c>
      <c r="D18" s="304" t="s">
        <v>494</v>
      </c>
      <c r="E18" s="305">
        <v>5</v>
      </c>
      <c r="F18" s="305">
        <v>204.51</v>
      </c>
      <c r="G18" s="305">
        <f t="shared" si="1"/>
        <v>1022.55</v>
      </c>
    </row>
    <row r="19" s="284" customFormat="1" ht="25.5" spans="1:7">
      <c r="A19" s="301">
        <v>18</v>
      </c>
      <c r="B19" s="301">
        <v>1511003139041</v>
      </c>
      <c r="C19" s="303" t="s">
        <v>614</v>
      </c>
      <c r="D19" s="304" t="s">
        <v>494</v>
      </c>
      <c r="E19" s="305">
        <v>4</v>
      </c>
      <c r="F19" s="305">
        <v>18464.45</v>
      </c>
      <c r="G19" s="305">
        <f t="shared" si="1"/>
        <v>73857.8</v>
      </c>
    </row>
    <row r="20" s="284" customFormat="1" ht="25.5" spans="1:7">
      <c r="A20" s="301">
        <v>19</v>
      </c>
      <c r="B20" s="301">
        <v>1511003139045</v>
      </c>
      <c r="C20" s="303" t="s">
        <v>615</v>
      </c>
      <c r="D20" s="304" t="s">
        <v>494</v>
      </c>
      <c r="E20" s="305">
        <v>4</v>
      </c>
      <c r="F20" s="305">
        <v>26426.23</v>
      </c>
      <c r="G20" s="305">
        <f t="shared" si="1"/>
        <v>105704.92</v>
      </c>
    </row>
    <row r="21" s="284" customFormat="1" ht="25.5" spans="1:7">
      <c r="A21" s="301">
        <v>20</v>
      </c>
      <c r="B21" s="301">
        <v>1511003139022</v>
      </c>
      <c r="C21" s="303" t="s">
        <v>616</v>
      </c>
      <c r="D21" s="304" t="s">
        <v>494</v>
      </c>
      <c r="E21" s="305">
        <v>1</v>
      </c>
      <c r="F21" s="305">
        <v>21761.28</v>
      </c>
      <c r="G21" s="305">
        <f t="shared" si="1"/>
        <v>21761.28</v>
      </c>
    </row>
    <row r="22" s="284" customFormat="1" ht="204" spans="1:7">
      <c r="A22" s="301">
        <v>21</v>
      </c>
      <c r="B22" s="301">
        <v>1511003043048</v>
      </c>
      <c r="C22" s="303" t="s">
        <v>617</v>
      </c>
      <c r="D22" s="304" t="s">
        <v>494</v>
      </c>
      <c r="E22" s="305">
        <v>1</v>
      </c>
      <c r="F22" s="305">
        <v>66521</v>
      </c>
      <c r="G22" s="305">
        <f t="shared" si="1"/>
        <v>66521</v>
      </c>
    </row>
    <row r="23" s="284" customFormat="1" ht="25.5" spans="1:7">
      <c r="A23" s="301">
        <v>22</v>
      </c>
      <c r="B23" s="301">
        <v>1511003171005</v>
      </c>
      <c r="C23" s="303" t="s">
        <v>618</v>
      </c>
      <c r="D23" s="304" t="s">
        <v>494</v>
      </c>
      <c r="E23" s="305">
        <v>1</v>
      </c>
      <c r="F23" s="305">
        <v>97218</v>
      </c>
      <c r="G23" s="305">
        <f t="shared" si="1"/>
        <v>97218</v>
      </c>
    </row>
    <row r="24" s="284" customFormat="1" ht="25.5" spans="1:7">
      <c r="A24" s="301">
        <v>23</v>
      </c>
      <c r="B24" s="301">
        <v>1511003171006</v>
      </c>
      <c r="C24" s="303" t="s">
        <v>619</v>
      </c>
      <c r="D24" s="304" t="s">
        <v>494</v>
      </c>
      <c r="E24" s="305">
        <v>1</v>
      </c>
      <c r="F24" s="305">
        <v>97218</v>
      </c>
      <c r="G24" s="305">
        <f t="shared" si="1"/>
        <v>97218</v>
      </c>
    </row>
    <row r="25" s="284" customFormat="1" ht="25.5" spans="1:7">
      <c r="A25" s="301">
        <v>24</v>
      </c>
      <c r="B25" s="301">
        <v>1511003138017</v>
      </c>
      <c r="C25" s="303" t="s">
        <v>620</v>
      </c>
      <c r="D25" s="304" t="s">
        <v>494</v>
      </c>
      <c r="E25" s="305">
        <v>2</v>
      </c>
      <c r="F25" s="305">
        <v>2915.87</v>
      </c>
      <c r="G25" s="305">
        <f t="shared" si="1"/>
        <v>5831.74</v>
      </c>
    </row>
    <row r="26" s="284" customFormat="1" ht="25.5" spans="1:7">
      <c r="A26" s="301">
        <v>25</v>
      </c>
      <c r="B26" s="301">
        <v>1511003138031</v>
      </c>
      <c r="C26" s="303" t="s">
        <v>621</v>
      </c>
      <c r="D26" s="304" t="s">
        <v>494</v>
      </c>
      <c r="E26" s="305">
        <v>4</v>
      </c>
      <c r="F26" s="305">
        <v>831</v>
      </c>
      <c r="G26" s="305">
        <f t="shared" si="1"/>
        <v>3324</v>
      </c>
    </row>
    <row r="27" s="284" customFormat="1" ht="25.5" spans="1:7">
      <c r="A27" s="301">
        <v>26</v>
      </c>
      <c r="B27" s="301">
        <v>1511003047012</v>
      </c>
      <c r="C27" s="303" t="s">
        <v>622</v>
      </c>
      <c r="D27" s="304" t="s">
        <v>494</v>
      </c>
      <c r="E27" s="305">
        <v>2</v>
      </c>
      <c r="F27" s="305">
        <v>19700</v>
      </c>
      <c r="G27" s="305">
        <f t="shared" si="1"/>
        <v>39400</v>
      </c>
    </row>
    <row r="28" s="284" customFormat="1" ht="25.5" spans="1:7">
      <c r="A28" s="301">
        <v>27</v>
      </c>
      <c r="B28" s="301">
        <v>1511003130028</v>
      </c>
      <c r="C28" s="303" t="s">
        <v>623</v>
      </c>
      <c r="D28" s="304" t="s">
        <v>494</v>
      </c>
      <c r="E28" s="305">
        <v>4</v>
      </c>
      <c r="F28" s="305">
        <v>1379.03</v>
      </c>
      <c r="G28" s="305">
        <f t="shared" si="1"/>
        <v>5516.12</v>
      </c>
    </row>
    <row r="29" s="283" customFormat="1" spans="1:7">
      <c r="A29" s="296">
        <v>28</v>
      </c>
      <c r="B29" s="296"/>
      <c r="C29" s="103" t="s">
        <v>624</v>
      </c>
      <c r="D29" s="294"/>
      <c r="E29" s="294"/>
      <c r="F29" s="294"/>
      <c r="G29" s="174"/>
    </row>
    <row r="30" s="284" customFormat="1" spans="1:7">
      <c r="A30" s="301">
        <v>29</v>
      </c>
      <c r="B30" s="301">
        <v>1512003007001</v>
      </c>
      <c r="C30" s="303" t="s">
        <v>625</v>
      </c>
      <c r="D30" s="304" t="s">
        <v>494</v>
      </c>
      <c r="E30" s="305">
        <v>1</v>
      </c>
      <c r="F30" s="305">
        <v>129.9</v>
      </c>
      <c r="G30" s="305">
        <f t="shared" ref="G30:G31" si="2">ROUND(E30*F30,2)</f>
        <v>129.9</v>
      </c>
    </row>
    <row r="31" s="284" customFormat="1" ht="25.5" spans="1:7">
      <c r="A31" s="301">
        <v>30</v>
      </c>
      <c r="B31" s="301">
        <v>1512003001034</v>
      </c>
      <c r="C31" s="303" t="s">
        <v>626</v>
      </c>
      <c r="D31" s="304" t="s">
        <v>494</v>
      </c>
      <c r="E31" s="305">
        <v>1</v>
      </c>
      <c r="F31" s="305">
        <v>120.69</v>
      </c>
      <c r="G31" s="305">
        <f t="shared" si="2"/>
        <v>120.69</v>
      </c>
    </row>
    <row r="32" s="283" customFormat="1" spans="1:7">
      <c r="A32" s="296">
        <v>31</v>
      </c>
      <c r="B32" s="296"/>
      <c r="C32" s="103" t="s">
        <v>627</v>
      </c>
      <c r="D32" s="294"/>
      <c r="E32" s="294"/>
      <c r="F32" s="294"/>
      <c r="G32" s="174"/>
    </row>
    <row r="33" s="284" customFormat="1" ht="25.5" spans="1:7">
      <c r="A33" s="301">
        <v>32</v>
      </c>
      <c r="B33" s="301">
        <v>1513903021115</v>
      </c>
      <c r="C33" s="303" t="s">
        <v>628</v>
      </c>
      <c r="D33" s="304" t="s">
        <v>494</v>
      </c>
      <c r="E33" s="305">
        <v>1</v>
      </c>
      <c r="F33" s="305">
        <v>769.62</v>
      </c>
      <c r="G33" s="305">
        <f t="shared" ref="G33:G40" si="3">ROUND(E33*F33,2)</f>
        <v>769.62</v>
      </c>
    </row>
    <row r="34" s="284" customFormat="1" ht="25.5" spans="1:7">
      <c r="A34" s="301">
        <v>33</v>
      </c>
      <c r="B34" s="301">
        <v>1513903021123</v>
      </c>
      <c r="C34" s="303" t="s">
        <v>629</v>
      </c>
      <c r="D34" s="304" t="s">
        <v>494</v>
      </c>
      <c r="E34" s="305">
        <v>2</v>
      </c>
      <c r="F34" s="305">
        <v>1623.58</v>
      </c>
      <c r="G34" s="305">
        <f t="shared" si="3"/>
        <v>3247.16</v>
      </c>
    </row>
    <row r="35" s="284" customFormat="1" ht="25.5" spans="1:7">
      <c r="A35" s="301">
        <v>34</v>
      </c>
      <c r="B35" s="301">
        <v>1513903021124</v>
      </c>
      <c r="C35" s="303" t="s">
        <v>630</v>
      </c>
      <c r="D35" s="304" t="s">
        <v>494</v>
      </c>
      <c r="E35" s="305">
        <v>2</v>
      </c>
      <c r="F35" s="305">
        <v>3251</v>
      </c>
      <c r="G35" s="305">
        <f t="shared" si="3"/>
        <v>6502</v>
      </c>
    </row>
    <row r="36" s="284" customFormat="1" ht="38.25" spans="1:7">
      <c r="A36" s="301">
        <v>35</v>
      </c>
      <c r="B36" s="301">
        <v>1513903021079</v>
      </c>
      <c r="C36" s="303" t="s">
        <v>631</v>
      </c>
      <c r="D36" s="304" t="s">
        <v>494</v>
      </c>
      <c r="E36" s="305">
        <v>2</v>
      </c>
      <c r="F36" s="305">
        <v>96.2</v>
      </c>
      <c r="G36" s="305">
        <f t="shared" si="3"/>
        <v>192.4</v>
      </c>
    </row>
    <row r="37" s="284" customFormat="1" ht="25.5" spans="1:7">
      <c r="A37" s="301">
        <v>36</v>
      </c>
      <c r="B37" s="301">
        <v>1513903023011</v>
      </c>
      <c r="C37" s="303" t="s">
        <v>632</v>
      </c>
      <c r="D37" s="304" t="s">
        <v>494</v>
      </c>
      <c r="E37" s="305">
        <v>3</v>
      </c>
      <c r="F37" s="305">
        <v>2551.46</v>
      </c>
      <c r="G37" s="305">
        <f t="shared" si="3"/>
        <v>7654.38</v>
      </c>
    </row>
    <row r="38" s="284" customFormat="1" ht="25.5" spans="1:7">
      <c r="A38" s="301">
        <v>37</v>
      </c>
      <c r="B38" s="301">
        <v>1513903023038</v>
      </c>
      <c r="C38" s="303" t="s">
        <v>633</v>
      </c>
      <c r="D38" s="304" t="s">
        <v>494</v>
      </c>
      <c r="E38" s="305">
        <v>4</v>
      </c>
      <c r="F38" s="305">
        <v>6834.27</v>
      </c>
      <c r="G38" s="305">
        <f t="shared" si="3"/>
        <v>27337.08</v>
      </c>
    </row>
    <row r="39" s="284" customFormat="1" ht="25.5" spans="1:7">
      <c r="A39" s="301">
        <v>38</v>
      </c>
      <c r="B39" s="301">
        <v>1513903023027</v>
      </c>
      <c r="C39" s="303" t="s">
        <v>634</v>
      </c>
      <c r="D39" s="304" t="s">
        <v>494</v>
      </c>
      <c r="E39" s="305">
        <v>1</v>
      </c>
      <c r="F39" s="305">
        <v>2733.71</v>
      </c>
      <c r="G39" s="305">
        <f t="shared" si="3"/>
        <v>2733.71</v>
      </c>
    </row>
    <row r="40" s="284" customFormat="1" ht="25.5" spans="1:7">
      <c r="A40" s="301">
        <v>39</v>
      </c>
      <c r="B40" s="301">
        <v>1513903023019</v>
      </c>
      <c r="C40" s="303" t="s">
        <v>635</v>
      </c>
      <c r="D40" s="304" t="s">
        <v>494</v>
      </c>
      <c r="E40" s="305">
        <v>1</v>
      </c>
      <c r="F40" s="305">
        <v>16948.98</v>
      </c>
      <c r="G40" s="305">
        <f t="shared" si="3"/>
        <v>16948.98</v>
      </c>
    </row>
    <row r="41" s="283" customFormat="1" spans="1:7">
      <c r="A41" s="296">
        <v>40</v>
      </c>
      <c r="B41" s="296"/>
      <c r="C41" s="103" t="s">
        <v>636</v>
      </c>
      <c r="D41" s="294"/>
      <c r="E41" s="294"/>
      <c r="F41" s="294"/>
      <c r="G41" s="174"/>
    </row>
    <row r="42" s="284" customFormat="1" ht="25.5" spans="1:7">
      <c r="A42" s="301">
        <v>41</v>
      </c>
      <c r="B42" s="301">
        <v>1514303022006</v>
      </c>
      <c r="C42" s="303" t="s">
        <v>637</v>
      </c>
      <c r="D42" s="304" t="s">
        <v>494</v>
      </c>
      <c r="E42" s="305">
        <v>1</v>
      </c>
      <c r="F42" s="305">
        <v>39.56</v>
      </c>
      <c r="G42" s="305">
        <f>ROUND(E42*F42,2)</f>
        <v>39.56</v>
      </c>
    </row>
    <row r="43" s="283" customFormat="1" spans="1:7">
      <c r="A43" s="296">
        <v>42</v>
      </c>
      <c r="B43" s="296"/>
      <c r="C43" s="103" t="s">
        <v>638</v>
      </c>
      <c r="D43" s="294"/>
      <c r="E43" s="294"/>
      <c r="F43" s="294"/>
      <c r="G43" s="174"/>
    </row>
    <row r="44" s="284" customFormat="1" ht="25.5" spans="1:7">
      <c r="A44" s="301">
        <v>43</v>
      </c>
      <c r="B44" s="301">
        <v>1514603025033</v>
      </c>
      <c r="C44" s="303" t="s">
        <v>639</v>
      </c>
      <c r="D44" s="304" t="s">
        <v>494</v>
      </c>
      <c r="E44" s="305">
        <v>1</v>
      </c>
      <c r="F44" s="305">
        <v>2106.15</v>
      </c>
      <c r="G44" s="305">
        <f t="shared" ref="G44:G55" si="4">ROUND(E44*F44,2)</f>
        <v>2106.15</v>
      </c>
    </row>
    <row r="45" s="284" customFormat="1" ht="25.5" spans="1:7">
      <c r="A45" s="301">
        <v>44</v>
      </c>
      <c r="B45" s="301">
        <v>1514603025036</v>
      </c>
      <c r="C45" s="303" t="s">
        <v>640</v>
      </c>
      <c r="D45" s="304" t="s">
        <v>494</v>
      </c>
      <c r="E45" s="305">
        <v>2</v>
      </c>
      <c r="F45" s="305">
        <v>2963.84</v>
      </c>
      <c r="G45" s="305">
        <f t="shared" si="4"/>
        <v>5927.68</v>
      </c>
    </row>
    <row r="46" s="284" customFormat="1" ht="25.5" spans="1:7">
      <c r="A46" s="301">
        <v>45</v>
      </c>
      <c r="B46" s="301">
        <v>1514603025060</v>
      </c>
      <c r="C46" s="303" t="s">
        <v>641</v>
      </c>
      <c r="D46" s="304" t="s">
        <v>494</v>
      </c>
      <c r="E46" s="305">
        <v>2</v>
      </c>
      <c r="F46" s="305">
        <v>5083.3</v>
      </c>
      <c r="G46" s="305">
        <f t="shared" si="4"/>
        <v>10166.6</v>
      </c>
    </row>
    <row r="47" s="284" customFormat="1" ht="25.5" spans="1:7">
      <c r="A47" s="301">
        <v>46</v>
      </c>
      <c r="B47" s="301">
        <v>1514603025021</v>
      </c>
      <c r="C47" s="303" t="s">
        <v>642</v>
      </c>
      <c r="D47" s="304" t="s">
        <v>494</v>
      </c>
      <c r="E47" s="305">
        <v>2</v>
      </c>
      <c r="F47" s="305">
        <v>57.8</v>
      </c>
      <c r="G47" s="305">
        <f t="shared" si="4"/>
        <v>115.6</v>
      </c>
    </row>
    <row r="48" s="284" customFormat="1" ht="25.5" spans="1:7">
      <c r="A48" s="301">
        <v>47</v>
      </c>
      <c r="B48" s="301">
        <v>1514603085189</v>
      </c>
      <c r="C48" s="303" t="s">
        <v>643</v>
      </c>
      <c r="D48" s="304" t="s">
        <v>494</v>
      </c>
      <c r="E48" s="305">
        <v>1</v>
      </c>
      <c r="F48" s="305">
        <v>20262.94</v>
      </c>
      <c r="G48" s="305">
        <f t="shared" si="4"/>
        <v>20262.94</v>
      </c>
    </row>
    <row r="49" s="284" customFormat="1" ht="25.5" spans="1:7">
      <c r="A49" s="301">
        <v>48</v>
      </c>
      <c r="B49" s="301">
        <v>1514603060012</v>
      </c>
      <c r="C49" s="303" t="s">
        <v>644</v>
      </c>
      <c r="D49" s="304" t="s">
        <v>494</v>
      </c>
      <c r="E49" s="305">
        <v>26</v>
      </c>
      <c r="F49" s="305">
        <v>10683.14</v>
      </c>
      <c r="G49" s="305">
        <f t="shared" si="4"/>
        <v>277761.64</v>
      </c>
    </row>
    <row r="50" s="284" customFormat="1" ht="25.5" spans="1:7">
      <c r="A50" s="301">
        <v>49</v>
      </c>
      <c r="B50" s="301">
        <v>1514603076106</v>
      </c>
      <c r="C50" s="303" t="s">
        <v>645</v>
      </c>
      <c r="D50" s="304" t="s">
        <v>494</v>
      </c>
      <c r="E50" s="305">
        <v>2</v>
      </c>
      <c r="F50" s="305">
        <v>227.51</v>
      </c>
      <c r="G50" s="305">
        <f t="shared" si="4"/>
        <v>455.02</v>
      </c>
    </row>
    <row r="51" s="284" customFormat="1" ht="25.5" spans="1:7">
      <c r="A51" s="301">
        <v>50</v>
      </c>
      <c r="B51" s="301">
        <v>1514603076266</v>
      </c>
      <c r="C51" s="303" t="s">
        <v>646</v>
      </c>
      <c r="D51" s="304" t="s">
        <v>494</v>
      </c>
      <c r="E51" s="305">
        <v>1</v>
      </c>
      <c r="F51" s="305">
        <v>2456.18</v>
      </c>
      <c r="G51" s="305">
        <f t="shared" si="4"/>
        <v>2456.18</v>
      </c>
    </row>
    <row r="52" s="284" customFormat="1" ht="25.5" spans="1:7">
      <c r="A52" s="301">
        <v>51</v>
      </c>
      <c r="B52" s="301">
        <v>1514603076265</v>
      </c>
      <c r="C52" s="303" t="s">
        <v>647</v>
      </c>
      <c r="D52" s="304" t="s">
        <v>494</v>
      </c>
      <c r="E52" s="305">
        <v>1</v>
      </c>
      <c r="F52" s="305">
        <v>3726</v>
      </c>
      <c r="G52" s="305">
        <f t="shared" si="4"/>
        <v>3726</v>
      </c>
    </row>
    <row r="53" s="284" customFormat="1" ht="25.5" spans="1:7">
      <c r="A53" s="301">
        <v>52</v>
      </c>
      <c r="B53" s="301">
        <v>1514603061021</v>
      </c>
      <c r="C53" s="303" t="s">
        <v>648</v>
      </c>
      <c r="D53" s="304" t="s">
        <v>494</v>
      </c>
      <c r="E53" s="305">
        <v>1</v>
      </c>
      <c r="F53" s="305">
        <v>10737.3</v>
      </c>
      <c r="G53" s="305">
        <f t="shared" si="4"/>
        <v>10737.3</v>
      </c>
    </row>
    <row r="54" s="284" customFormat="1" ht="51" spans="1:7">
      <c r="A54" s="301">
        <v>53</v>
      </c>
      <c r="B54" s="301">
        <v>1514603046048</v>
      </c>
      <c r="C54" s="303" t="s">
        <v>649</v>
      </c>
      <c r="D54" s="304" t="s">
        <v>494</v>
      </c>
      <c r="E54" s="305">
        <v>2</v>
      </c>
      <c r="F54" s="305">
        <v>4262.89</v>
      </c>
      <c r="G54" s="305">
        <f t="shared" si="4"/>
        <v>8525.78</v>
      </c>
    </row>
    <row r="55" s="284" customFormat="1" ht="25.5" spans="1:7">
      <c r="A55" s="301">
        <v>54</v>
      </c>
      <c r="B55" s="301">
        <v>1514603006037</v>
      </c>
      <c r="C55" s="303" t="s">
        <v>650</v>
      </c>
      <c r="D55" s="304" t="s">
        <v>112</v>
      </c>
      <c r="E55" s="305">
        <v>15</v>
      </c>
      <c r="F55" s="305">
        <v>17.06</v>
      </c>
      <c r="G55" s="305">
        <f t="shared" si="4"/>
        <v>255.9</v>
      </c>
    </row>
    <row r="56" s="283" customFormat="1" spans="1:7">
      <c r="A56" s="296">
        <v>55</v>
      </c>
      <c r="B56" s="296"/>
      <c r="C56" s="103" t="s">
        <v>651</v>
      </c>
      <c r="D56" s="294"/>
      <c r="E56" s="294"/>
      <c r="F56" s="294"/>
      <c r="G56" s="174"/>
    </row>
    <row r="57" s="284" customFormat="1" ht="25.5" spans="1:7">
      <c r="A57" s="301">
        <v>56</v>
      </c>
      <c r="B57" s="301">
        <v>1515703005121</v>
      </c>
      <c r="C57" s="303" t="s">
        <v>652</v>
      </c>
      <c r="D57" s="304" t="s">
        <v>494</v>
      </c>
      <c r="E57" s="305">
        <v>1</v>
      </c>
      <c r="F57" s="305">
        <v>2564.41</v>
      </c>
      <c r="G57" s="305">
        <f t="shared" ref="G57:G59" si="5">ROUND(E57*F57,2)</f>
        <v>2564.41</v>
      </c>
    </row>
    <row r="58" s="284" customFormat="1" ht="25.5" spans="1:7">
      <c r="A58" s="301">
        <v>57</v>
      </c>
      <c r="B58" s="301">
        <v>1515703005122</v>
      </c>
      <c r="C58" s="303" t="s">
        <v>653</v>
      </c>
      <c r="D58" s="304" t="s">
        <v>494</v>
      </c>
      <c r="E58" s="305">
        <v>1</v>
      </c>
      <c r="F58" s="305">
        <v>4400.11</v>
      </c>
      <c r="G58" s="305">
        <f t="shared" si="5"/>
        <v>4400.11</v>
      </c>
    </row>
    <row r="59" s="284" customFormat="1" ht="25.5" spans="1:7">
      <c r="A59" s="301">
        <v>58</v>
      </c>
      <c r="B59" s="301">
        <v>1515703014023</v>
      </c>
      <c r="C59" s="303" t="s">
        <v>654</v>
      </c>
      <c r="D59" s="304" t="s">
        <v>112</v>
      </c>
      <c r="E59" s="305">
        <v>1</v>
      </c>
      <c r="F59" s="305">
        <v>2379.62</v>
      </c>
      <c r="G59" s="305">
        <f t="shared" si="5"/>
        <v>2379.62</v>
      </c>
    </row>
    <row r="60" s="283" customFormat="1" spans="1:7">
      <c r="A60" s="296">
        <v>59</v>
      </c>
      <c r="B60" s="296"/>
      <c r="C60" s="103" t="s">
        <v>655</v>
      </c>
      <c r="D60" s="294"/>
      <c r="E60" s="294"/>
      <c r="F60" s="294"/>
      <c r="G60" s="174"/>
    </row>
    <row r="61" s="284" customFormat="1" ht="25.5" spans="1:7">
      <c r="A61" s="301">
        <v>60</v>
      </c>
      <c r="B61" s="301">
        <v>1515903098048</v>
      </c>
      <c r="C61" s="303" t="s">
        <v>656</v>
      </c>
      <c r="D61" s="304" t="s">
        <v>494</v>
      </c>
      <c r="E61" s="305">
        <v>7</v>
      </c>
      <c r="F61" s="305">
        <v>838.36</v>
      </c>
      <c r="G61" s="305">
        <f t="shared" ref="G61:G106" si="6">ROUND(E61*F61,2)</f>
        <v>5868.52</v>
      </c>
    </row>
    <row r="62" s="284" customFormat="1" ht="25.5" spans="1:7">
      <c r="A62" s="301">
        <v>61</v>
      </c>
      <c r="B62" s="301">
        <v>1515903098049</v>
      </c>
      <c r="C62" s="303" t="s">
        <v>657</v>
      </c>
      <c r="D62" s="304" t="s">
        <v>494</v>
      </c>
      <c r="E62" s="305">
        <v>2</v>
      </c>
      <c r="F62" s="305">
        <v>83.24</v>
      </c>
      <c r="G62" s="305">
        <f t="shared" si="6"/>
        <v>166.48</v>
      </c>
    </row>
    <row r="63" s="284" customFormat="1" ht="25.5" spans="1:7">
      <c r="A63" s="301">
        <v>62</v>
      </c>
      <c r="B63" s="301">
        <v>1515903098020</v>
      </c>
      <c r="C63" s="303" t="s">
        <v>658</v>
      </c>
      <c r="D63" s="304" t="s">
        <v>494</v>
      </c>
      <c r="E63" s="305">
        <v>35</v>
      </c>
      <c r="F63" s="305">
        <v>112.58</v>
      </c>
      <c r="G63" s="305">
        <f t="shared" si="6"/>
        <v>3940.3</v>
      </c>
    </row>
    <row r="64" s="284" customFormat="1" ht="25.5" spans="1:7">
      <c r="A64" s="301">
        <v>63</v>
      </c>
      <c r="B64" s="301">
        <v>1515903098034</v>
      </c>
      <c r="C64" s="303" t="s">
        <v>659</v>
      </c>
      <c r="D64" s="304" t="s">
        <v>494</v>
      </c>
      <c r="E64" s="305">
        <v>26</v>
      </c>
      <c r="F64" s="305">
        <v>351.51</v>
      </c>
      <c r="G64" s="305">
        <f t="shared" si="6"/>
        <v>9139.26</v>
      </c>
    </row>
    <row r="65" s="284" customFormat="1" ht="25.5" spans="1:7">
      <c r="A65" s="301">
        <v>64</v>
      </c>
      <c r="B65" s="301">
        <v>1515903098050</v>
      </c>
      <c r="C65" s="303" t="s">
        <v>660</v>
      </c>
      <c r="D65" s="304" t="s">
        <v>494</v>
      </c>
      <c r="E65" s="305">
        <v>14</v>
      </c>
      <c r="F65" s="305">
        <v>75.45</v>
      </c>
      <c r="G65" s="305">
        <f t="shared" si="6"/>
        <v>1056.3</v>
      </c>
    </row>
    <row r="66" s="284" customFormat="1" ht="51" spans="1:7">
      <c r="A66" s="301">
        <v>65</v>
      </c>
      <c r="B66" s="301">
        <v>1515903014108</v>
      </c>
      <c r="C66" s="303" t="s">
        <v>661</v>
      </c>
      <c r="D66" s="304" t="s">
        <v>494</v>
      </c>
      <c r="E66" s="305">
        <v>80</v>
      </c>
      <c r="F66" s="305">
        <v>6.11</v>
      </c>
      <c r="G66" s="305">
        <f t="shared" si="6"/>
        <v>488.8</v>
      </c>
    </row>
    <row r="67" s="284" customFormat="1" ht="51" spans="1:7">
      <c r="A67" s="301">
        <v>66</v>
      </c>
      <c r="B67" s="301">
        <v>1515903014109</v>
      </c>
      <c r="C67" s="303" t="s">
        <v>662</v>
      </c>
      <c r="D67" s="304" t="s">
        <v>494</v>
      </c>
      <c r="E67" s="305">
        <v>216</v>
      </c>
      <c r="F67" s="305">
        <v>12.22</v>
      </c>
      <c r="G67" s="305">
        <f t="shared" si="6"/>
        <v>2639.52</v>
      </c>
    </row>
    <row r="68" s="284" customFormat="1" ht="51" spans="1:7">
      <c r="A68" s="301">
        <v>67</v>
      </c>
      <c r="B68" s="301">
        <v>1515903014138</v>
      </c>
      <c r="C68" s="303" t="s">
        <v>663</v>
      </c>
      <c r="D68" s="304" t="s">
        <v>494</v>
      </c>
      <c r="E68" s="305">
        <v>320</v>
      </c>
      <c r="F68" s="305">
        <v>22</v>
      </c>
      <c r="G68" s="305">
        <f t="shared" si="6"/>
        <v>7040</v>
      </c>
    </row>
    <row r="69" s="284" customFormat="1" ht="51" spans="1:7">
      <c r="A69" s="301">
        <v>68</v>
      </c>
      <c r="B69" s="301">
        <v>1515903014139</v>
      </c>
      <c r="C69" s="303" t="s">
        <v>664</v>
      </c>
      <c r="D69" s="304" t="s">
        <v>494</v>
      </c>
      <c r="E69" s="305">
        <v>100</v>
      </c>
      <c r="F69" s="305">
        <v>40.33</v>
      </c>
      <c r="G69" s="305">
        <f t="shared" si="6"/>
        <v>4033</v>
      </c>
    </row>
    <row r="70" s="284" customFormat="1" ht="25.5" spans="1:7">
      <c r="A70" s="301">
        <v>69</v>
      </c>
      <c r="B70" s="301">
        <v>1515903009025</v>
      </c>
      <c r="C70" s="303" t="s">
        <v>665</v>
      </c>
      <c r="D70" s="304" t="s">
        <v>494</v>
      </c>
      <c r="E70" s="305">
        <v>3</v>
      </c>
      <c r="F70" s="305">
        <v>521.93</v>
      </c>
      <c r="G70" s="305">
        <f t="shared" si="6"/>
        <v>1565.79</v>
      </c>
    </row>
    <row r="71" s="284" customFormat="1" ht="25.5" spans="1:7">
      <c r="A71" s="301">
        <v>70</v>
      </c>
      <c r="B71" s="301">
        <v>1515903062005</v>
      </c>
      <c r="C71" s="303" t="s">
        <v>666</v>
      </c>
      <c r="D71" s="304" t="s">
        <v>494</v>
      </c>
      <c r="E71" s="305">
        <v>1</v>
      </c>
      <c r="F71" s="305">
        <v>8232.82</v>
      </c>
      <c r="G71" s="305">
        <f t="shared" si="6"/>
        <v>8232.82</v>
      </c>
    </row>
    <row r="72" s="284" customFormat="1" ht="25.5" spans="1:7">
      <c r="A72" s="301">
        <v>71</v>
      </c>
      <c r="B72" s="301">
        <v>1515903022035</v>
      </c>
      <c r="C72" s="303" t="s">
        <v>667</v>
      </c>
      <c r="D72" s="304" t="s">
        <v>494</v>
      </c>
      <c r="E72" s="305">
        <v>1</v>
      </c>
      <c r="F72" s="305">
        <v>4226.79</v>
      </c>
      <c r="G72" s="305">
        <f t="shared" si="6"/>
        <v>4226.79</v>
      </c>
    </row>
    <row r="73" s="284" customFormat="1" ht="25.5" spans="1:7">
      <c r="A73" s="301">
        <v>72</v>
      </c>
      <c r="B73" s="301">
        <v>1515903023077</v>
      </c>
      <c r="C73" s="303" t="s">
        <v>668</v>
      </c>
      <c r="D73" s="304" t="s">
        <v>494</v>
      </c>
      <c r="E73" s="305">
        <v>2</v>
      </c>
      <c r="F73" s="305">
        <v>1014.15</v>
      </c>
      <c r="G73" s="305">
        <f t="shared" si="6"/>
        <v>2028.3</v>
      </c>
    </row>
    <row r="74" s="284" customFormat="1" ht="25.5" spans="1:7">
      <c r="A74" s="301">
        <v>73</v>
      </c>
      <c r="B74" s="301">
        <v>1515903023079</v>
      </c>
      <c r="C74" s="303" t="s">
        <v>669</v>
      </c>
      <c r="D74" s="304" t="s">
        <v>494</v>
      </c>
      <c r="E74" s="305">
        <v>3</v>
      </c>
      <c r="F74" s="305">
        <v>923.31</v>
      </c>
      <c r="G74" s="305">
        <f t="shared" si="6"/>
        <v>2769.93</v>
      </c>
    </row>
    <row r="75" s="284" customFormat="1" ht="25.5" spans="1:7">
      <c r="A75" s="301">
        <v>74</v>
      </c>
      <c r="B75" s="301">
        <v>1515903084008</v>
      </c>
      <c r="C75" s="303" t="s">
        <v>670</v>
      </c>
      <c r="D75" s="304" t="s">
        <v>494</v>
      </c>
      <c r="E75" s="305">
        <v>1</v>
      </c>
      <c r="F75" s="305">
        <v>7053.62</v>
      </c>
      <c r="G75" s="305">
        <f t="shared" si="6"/>
        <v>7053.62</v>
      </c>
    </row>
    <row r="76" s="284" customFormat="1" ht="25.5" spans="1:7">
      <c r="A76" s="301">
        <v>75</v>
      </c>
      <c r="B76" s="301">
        <v>1515903077038</v>
      </c>
      <c r="C76" s="303" t="s">
        <v>671</v>
      </c>
      <c r="D76" s="304" t="s">
        <v>494</v>
      </c>
      <c r="E76" s="305">
        <v>1</v>
      </c>
      <c r="F76" s="305">
        <v>4316.07</v>
      </c>
      <c r="G76" s="305">
        <f t="shared" si="6"/>
        <v>4316.07</v>
      </c>
    </row>
    <row r="77" s="284" customFormat="1" ht="25.5" spans="1:7">
      <c r="A77" s="301">
        <v>76</v>
      </c>
      <c r="B77" s="301">
        <v>1515903077040</v>
      </c>
      <c r="C77" s="303" t="s">
        <v>672</v>
      </c>
      <c r="D77" s="304" t="s">
        <v>494</v>
      </c>
      <c r="E77" s="305">
        <v>1</v>
      </c>
      <c r="F77" s="305">
        <v>1603.71</v>
      </c>
      <c r="G77" s="305">
        <f t="shared" si="6"/>
        <v>1603.71</v>
      </c>
    </row>
    <row r="78" s="284" customFormat="1" ht="25.5" spans="1:7">
      <c r="A78" s="301">
        <v>77</v>
      </c>
      <c r="B78" s="301">
        <v>1515903018003</v>
      </c>
      <c r="C78" s="303" t="s">
        <v>673</v>
      </c>
      <c r="D78" s="304" t="s">
        <v>494</v>
      </c>
      <c r="E78" s="305">
        <v>2</v>
      </c>
      <c r="F78" s="305">
        <v>1125.51</v>
      </c>
      <c r="G78" s="305">
        <f t="shared" si="6"/>
        <v>2251.02</v>
      </c>
    </row>
    <row r="79" s="284" customFormat="1" ht="25.5" spans="1:7">
      <c r="A79" s="301">
        <v>78</v>
      </c>
      <c r="B79" s="301">
        <v>1515903004021</v>
      </c>
      <c r="C79" s="303" t="s">
        <v>674</v>
      </c>
      <c r="D79" s="304" t="s">
        <v>494</v>
      </c>
      <c r="E79" s="305">
        <v>1</v>
      </c>
      <c r="F79" s="305">
        <v>4168.34</v>
      </c>
      <c r="G79" s="305">
        <f t="shared" si="6"/>
        <v>4168.34</v>
      </c>
    </row>
    <row r="80" s="284" customFormat="1" ht="25.5" spans="1:7">
      <c r="A80" s="301">
        <v>79</v>
      </c>
      <c r="B80" s="301">
        <v>1515903061016</v>
      </c>
      <c r="C80" s="303" t="s">
        <v>675</v>
      </c>
      <c r="D80" s="304" t="s">
        <v>494</v>
      </c>
      <c r="E80" s="305">
        <v>2</v>
      </c>
      <c r="F80" s="305">
        <v>3325.54</v>
      </c>
      <c r="G80" s="305">
        <f t="shared" si="6"/>
        <v>6651.08</v>
      </c>
    </row>
    <row r="81" s="284" customFormat="1" ht="25.5" spans="1:7">
      <c r="A81" s="301">
        <v>80</v>
      </c>
      <c r="B81" s="301">
        <v>1515903061009</v>
      </c>
      <c r="C81" s="303" t="s">
        <v>676</v>
      </c>
      <c r="D81" s="304" t="s">
        <v>494</v>
      </c>
      <c r="E81" s="305">
        <v>2</v>
      </c>
      <c r="F81" s="305">
        <v>1084.91</v>
      </c>
      <c r="G81" s="305">
        <f t="shared" si="6"/>
        <v>2169.82</v>
      </c>
    </row>
    <row r="82" s="284" customFormat="1" ht="25.5" spans="1:7">
      <c r="A82" s="301">
        <v>81</v>
      </c>
      <c r="B82" s="301">
        <v>1515903061102</v>
      </c>
      <c r="C82" s="303" t="s">
        <v>677</v>
      </c>
      <c r="D82" s="304" t="s">
        <v>494</v>
      </c>
      <c r="E82" s="305">
        <v>2</v>
      </c>
      <c r="F82" s="305">
        <v>326.45</v>
      </c>
      <c r="G82" s="305">
        <f t="shared" si="6"/>
        <v>652.9</v>
      </c>
    </row>
    <row r="83" s="284" customFormat="1" ht="25.5" spans="1:7">
      <c r="A83" s="301">
        <v>82</v>
      </c>
      <c r="B83" s="301">
        <v>1515903074016</v>
      </c>
      <c r="C83" s="303" t="s">
        <v>678</v>
      </c>
      <c r="D83" s="304" t="s">
        <v>494</v>
      </c>
      <c r="E83" s="305">
        <v>1</v>
      </c>
      <c r="F83" s="305">
        <v>6750.22</v>
      </c>
      <c r="G83" s="305">
        <f t="shared" si="6"/>
        <v>6750.22</v>
      </c>
    </row>
    <row r="84" s="284" customFormat="1" ht="25.5" spans="1:7">
      <c r="A84" s="301">
        <v>83</v>
      </c>
      <c r="B84" s="301">
        <v>1515903114003</v>
      </c>
      <c r="C84" s="303" t="s">
        <v>679</v>
      </c>
      <c r="D84" s="304" t="s">
        <v>494</v>
      </c>
      <c r="E84" s="305">
        <v>1</v>
      </c>
      <c r="F84" s="305">
        <v>13736.82</v>
      </c>
      <c r="G84" s="305">
        <f t="shared" si="6"/>
        <v>13736.82</v>
      </c>
    </row>
    <row r="85" s="284" customFormat="1" spans="1:7">
      <c r="A85" s="301">
        <v>84</v>
      </c>
      <c r="B85" s="301">
        <v>1515903083007</v>
      </c>
      <c r="C85" s="303" t="s">
        <v>680</v>
      </c>
      <c r="D85" s="304" t="s">
        <v>494</v>
      </c>
      <c r="E85" s="305">
        <v>1</v>
      </c>
      <c r="F85" s="305">
        <v>3952.98</v>
      </c>
      <c r="G85" s="305">
        <f t="shared" si="6"/>
        <v>3952.98</v>
      </c>
    </row>
    <row r="86" s="284" customFormat="1" ht="25.5" spans="1:7">
      <c r="A86" s="301">
        <v>85</v>
      </c>
      <c r="B86" s="301">
        <v>1515903059022</v>
      </c>
      <c r="C86" s="303" t="s">
        <v>681</v>
      </c>
      <c r="D86" s="304" t="s">
        <v>494</v>
      </c>
      <c r="E86" s="305">
        <v>3</v>
      </c>
      <c r="F86" s="305">
        <v>4647.23</v>
      </c>
      <c r="G86" s="305">
        <f t="shared" si="6"/>
        <v>13941.69</v>
      </c>
    </row>
    <row r="87" s="284" customFormat="1" ht="25.5" spans="1:7">
      <c r="A87" s="301">
        <v>86</v>
      </c>
      <c r="B87" s="301">
        <v>1515903059023</v>
      </c>
      <c r="C87" s="303" t="s">
        <v>682</v>
      </c>
      <c r="D87" s="304" t="s">
        <v>494</v>
      </c>
      <c r="E87" s="305">
        <v>2</v>
      </c>
      <c r="F87" s="305">
        <v>11363.84</v>
      </c>
      <c r="G87" s="305">
        <f t="shared" si="6"/>
        <v>22727.68</v>
      </c>
    </row>
    <row r="88" s="284" customFormat="1" ht="25.5" spans="1:7">
      <c r="A88" s="301">
        <v>87</v>
      </c>
      <c r="B88" s="301">
        <v>1515903059066</v>
      </c>
      <c r="C88" s="303" t="s">
        <v>683</v>
      </c>
      <c r="D88" s="304" t="s">
        <v>494</v>
      </c>
      <c r="E88" s="305">
        <v>1</v>
      </c>
      <c r="F88" s="305">
        <v>27426.53</v>
      </c>
      <c r="G88" s="305">
        <f t="shared" si="6"/>
        <v>27426.53</v>
      </c>
    </row>
    <row r="89" s="284" customFormat="1" ht="25.5" spans="1:7">
      <c r="A89" s="301">
        <v>88</v>
      </c>
      <c r="B89" s="301">
        <v>1515903091004</v>
      </c>
      <c r="C89" s="303" t="s">
        <v>684</v>
      </c>
      <c r="D89" s="304" t="s">
        <v>494</v>
      </c>
      <c r="E89" s="305">
        <v>1</v>
      </c>
      <c r="F89" s="305">
        <v>25361.65</v>
      </c>
      <c r="G89" s="305">
        <f t="shared" si="6"/>
        <v>25361.65</v>
      </c>
    </row>
    <row r="90" s="284" customFormat="1" ht="25.5" spans="1:7">
      <c r="A90" s="301">
        <v>89</v>
      </c>
      <c r="B90" s="301">
        <v>1515903060058</v>
      </c>
      <c r="C90" s="303" t="s">
        <v>685</v>
      </c>
      <c r="D90" s="304" t="s">
        <v>494</v>
      </c>
      <c r="E90" s="305">
        <v>1</v>
      </c>
      <c r="F90" s="305">
        <v>17923.43</v>
      </c>
      <c r="G90" s="305">
        <f t="shared" si="6"/>
        <v>17923.43</v>
      </c>
    </row>
    <row r="91" s="284" customFormat="1" ht="25.5" spans="1:7">
      <c r="A91" s="301">
        <v>90</v>
      </c>
      <c r="B91" s="301">
        <v>1515903060024</v>
      </c>
      <c r="C91" s="303" t="s">
        <v>686</v>
      </c>
      <c r="D91" s="304" t="s">
        <v>494</v>
      </c>
      <c r="E91" s="305">
        <v>7</v>
      </c>
      <c r="F91" s="305">
        <v>5079.28</v>
      </c>
      <c r="G91" s="305">
        <f t="shared" si="6"/>
        <v>35554.96</v>
      </c>
    </row>
    <row r="92" s="284" customFormat="1" ht="25.5" spans="1:7">
      <c r="A92" s="301">
        <v>91</v>
      </c>
      <c r="B92" s="301">
        <v>1515903060021</v>
      </c>
      <c r="C92" s="303" t="s">
        <v>687</v>
      </c>
      <c r="D92" s="304" t="s">
        <v>494</v>
      </c>
      <c r="E92" s="305">
        <v>7</v>
      </c>
      <c r="F92" s="305">
        <v>1356.4</v>
      </c>
      <c r="G92" s="305">
        <f t="shared" si="6"/>
        <v>9494.8</v>
      </c>
    </row>
    <row r="93" s="284" customFormat="1" ht="25.5" spans="1:7">
      <c r="A93" s="301">
        <v>92</v>
      </c>
      <c r="B93" s="301">
        <v>1515903070007</v>
      </c>
      <c r="C93" s="303" t="s">
        <v>688</v>
      </c>
      <c r="D93" s="304" t="s">
        <v>494</v>
      </c>
      <c r="E93" s="305">
        <v>1</v>
      </c>
      <c r="F93" s="305">
        <v>3889.97</v>
      </c>
      <c r="G93" s="305">
        <f t="shared" si="6"/>
        <v>3889.97</v>
      </c>
    </row>
    <row r="94" s="284" customFormat="1" ht="25.5" spans="1:7">
      <c r="A94" s="301">
        <v>93</v>
      </c>
      <c r="B94" s="301">
        <v>1515903060129</v>
      </c>
      <c r="C94" s="303" t="s">
        <v>689</v>
      </c>
      <c r="D94" s="304" t="s">
        <v>494</v>
      </c>
      <c r="E94" s="305">
        <v>1</v>
      </c>
      <c r="F94" s="305">
        <v>892</v>
      </c>
      <c r="G94" s="305">
        <f t="shared" si="6"/>
        <v>892</v>
      </c>
    </row>
    <row r="95" s="284" customFormat="1" ht="25.5" spans="1:7">
      <c r="A95" s="301">
        <v>94</v>
      </c>
      <c r="B95" s="301">
        <v>1515903040004</v>
      </c>
      <c r="C95" s="303" t="s">
        <v>690</v>
      </c>
      <c r="D95" s="304" t="s">
        <v>112</v>
      </c>
      <c r="E95" s="305">
        <v>4</v>
      </c>
      <c r="F95" s="305">
        <v>806.26</v>
      </c>
      <c r="G95" s="305">
        <f t="shared" si="6"/>
        <v>3225.04</v>
      </c>
    </row>
    <row r="96" s="284" customFormat="1" ht="25.5" spans="1:7">
      <c r="A96" s="301">
        <v>95</v>
      </c>
      <c r="B96" s="301">
        <v>1515903040008</v>
      </c>
      <c r="C96" s="303" t="s">
        <v>691</v>
      </c>
      <c r="D96" s="304" t="s">
        <v>112</v>
      </c>
      <c r="E96" s="305">
        <v>2</v>
      </c>
      <c r="F96" s="305">
        <v>1430.51</v>
      </c>
      <c r="G96" s="305">
        <f t="shared" si="6"/>
        <v>2861.02</v>
      </c>
    </row>
    <row r="97" s="284" customFormat="1" ht="25.5" spans="1:7">
      <c r="A97" s="301">
        <v>96</v>
      </c>
      <c r="B97" s="301">
        <v>1515903040011</v>
      </c>
      <c r="C97" s="303" t="s">
        <v>692</v>
      </c>
      <c r="D97" s="304" t="s">
        <v>112</v>
      </c>
      <c r="E97" s="305">
        <v>3</v>
      </c>
      <c r="F97" s="305">
        <v>2367.44</v>
      </c>
      <c r="G97" s="305">
        <f t="shared" si="6"/>
        <v>7102.32</v>
      </c>
    </row>
    <row r="98" s="284" customFormat="1" ht="25.5" spans="1:7">
      <c r="A98" s="301">
        <v>97</v>
      </c>
      <c r="B98" s="301">
        <v>1515903043079</v>
      </c>
      <c r="C98" s="303" t="s">
        <v>693</v>
      </c>
      <c r="D98" s="304" t="s">
        <v>494</v>
      </c>
      <c r="E98" s="305">
        <v>1</v>
      </c>
      <c r="F98" s="305">
        <v>1688.25</v>
      </c>
      <c r="G98" s="305">
        <f t="shared" si="6"/>
        <v>1688.25</v>
      </c>
    </row>
    <row r="99" s="284" customFormat="1" ht="25.5" spans="1:7">
      <c r="A99" s="301">
        <v>98</v>
      </c>
      <c r="B99" s="301">
        <v>1515903043178</v>
      </c>
      <c r="C99" s="303" t="s">
        <v>694</v>
      </c>
      <c r="D99" s="304" t="s">
        <v>494</v>
      </c>
      <c r="E99" s="305">
        <v>1</v>
      </c>
      <c r="F99" s="305">
        <v>4326.9</v>
      </c>
      <c r="G99" s="305">
        <f t="shared" si="6"/>
        <v>4326.9</v>
      </c>
    </row>
    <row r="100" s="284" customFormat="1" ht="25.5" spans="1:7">
      <c r="A100" s="301">
        <v>99</v>
      </c>
      <c r="B100" s="301">
        <v>1515903042104</v>
      </c>
      <c r="C100" s="303" t="s">
        <v>695</v>
      </c>
      <c r="D100" s="304" t="s">
        <v>494</v>
      </c>
      <c r="E100" s="305">
        <v>2</v>
      </c>
      <c r="F100" s="305">
        <v>2136.06</v>
      </c>
      <c r="G100" s="305">
        <f t="shared" si="6"/>
        <v>4272.12</v>
      </c>
    </row>
    <row r="101" s="284" customFormat="1" ht="25.5" spans="1:7">
      <c r="A101" s="301">
        <v>100</v>
      </c>
      <c r="B101" s="301">
        <v>1515903042108</v>
      </c>
      <c r="C101" s="303" t="s">
        <v>696</v>
      </c>
      <c r="D101" s="304" t="s">
        <v>494</v>
      </c>
      <c r="E101" s="305">
        <v>1</v>
      </c>
      <c r="F101" s="305">
        <v>4000.18</v>
      </c>
      <c r="G101" s="305">
        <f t="shared" si="6"/>
        <v>4000.18</v>
      </c>
    </row>
    <row r="102" s="284" customFormat="1" ht="25.5" spans="1:7">
      <c r="A102" s="301">
        <v>101</v>
      </c>
      <c r="B102" s="301">
        <v>1515903042116</v>
      </c>
      <c r="C102" s="303" t="s">
        <v>697</v>
      </c>
      <c r="D102" s="304" t="s">
        <v>494</v>
      </c>
      <c r="E102" s="305">
        <v>1</v>
      </c>
      <c r="F102" s="305">
        <v>4627.37</v>
      </c>
      <c r="G102" s="305">
        <f t="shared" si="6"/>
        <v>4627.37</v>
      </c>
    </row>
    <row r="103" s="284" customFormat="1" ht="25.5" spans="1:7">
      <c r="A103" s="301">
        <v>102</v>
      </c>
      <c r="B103" s="301">
        <v>1515903042120</v>
      </c>
      <c r="C103" s="303" t="s">
        <v>698</v>
      </c>
      <c r="D103" s="304" t="s">
        <v>494</v>
      </c>
      <c r="E103" s="305">
        <v>3</v>
      </c>
      <c r="F103" s="305">
        <v>2719.37</v>
      </c>
      <c r="G103" s="305">
        <f t="shared" si="6"/>
        <v>8158.11</v>
      </c>
    </row>
    <row r="104" s="284" customFormat="1" ht="25.5" spans="1:7">
      <c r="A104" s="301">
        <v>103</v>
      </c>
      <c r="B104" s="301">
        <v>1515903042148</v>
      </c>
      <c r="C104" s="303" t="s">
        <v>699</v>
      </c>
      <c r="D104" s="304" t="s">
        <v>494</v>
      </c>
      <c r="E104" s="305">
        <v>1</v>
      </c>
      <c r="F104" s="305">
        <v>6678.99</v>
      </c>
      <c r="G104" s="305">
        <f t="shared" si="6"/>
        <v>6678.99</v>
      </c>
    </row>
    <row r="105" s="284" customFormat="1" ht="25.5" spans="1:7">
      <c r="A105" s="301">
        <v>104</v>
      </c>
      <c r="B105" s="301">
        <v>1515903046003</v>
      </c>
      <c r="C105" s="303" t="s">
        <v>700</v>
      </c>
      <c r="D105" s="304" t="s">
        <v>494</v>
      </c>
      <c r="E105" s="305">
        <v>1</v>
      </c>
      <c r="F105" s="305">
        <v>11575.18</v>
      </c>
      <c r="G105" s="305">
        <f t="shared" si="6"/>
        <v>11575.18</v>
      </c>
    </row>
    <row r="106" s="284" customFormat="1" ht="25.5" spans="1:7">
      <c r="A106" s="301">
        <v>105</v>
      </c>
      <c r="B106" s="301">
        <v>1515903101020</v>
      </c>
      <c r="C106" s="303" t="s">
        <v>701</v>
      </c>
      <c r="D106" s="304" t="s">
        <v>494</v>
      </c>
      <c r="E106" s="305">
        <v>1</v>
      </c>
      <c r="F106" s="305">
        <v>9888</v>
      </c>
      <c r="G106" s="305">
        <f t="shared" si="6"/>
        <v>9888</v>
      </c>
    </row>
    <row r="107" s="283" customFormat="1" spans="1:7">
      <c r="A107" s="296">
        <v>106</v>
      </c>
      <c r="B107" s="296"/>
      <c r="C107" s="103" t="s">
        <v>702</v>
      </c>
      <c r="D107" s="294"/>
      <c r="E107" s="294"/>
      <c r="F107" s="294"/>
      <c r="G107" s="174"/>
    </row>
    <row r="108" s="284" customFormat="1" ht="25.5" spans="1:7">
      <c r="A108" s="306">
        <v>107</v>
      </c>
      <c r="B108" s="307" t="s">
        <v>703</v>
      </c>
      <c r="C108" s="303" t="s">
        <v>704</v>
      </c>
      <c r="D108" s="304" t="s">
        <v>112</v>
      </c>
      <c r="E108" s="305">
        <v>14.55</v>
      </c>
      <c r="F108" s="305">
        <v>989.1</v>
      </c>
      <c r="G108" s="305">
        <f>ROUND(E108*F108,2)</f>
        <v>14391.41</v>
      </c>
    </row>
    <row r="109" s="283" customFormat="1" spans="1:7">
      <c r="A109" s="296">
        <v>108</v>
      </c>
      <c r="B109" s="296"/>
      <c r="C109" s="103" t="s">
        <v>705</v>
      </c>
      <c r="D109" s="294"/>
      <c r="E109" s="294"/>
      <c r="F109" s="294"/>
      <c r="G109" s="174"/>
    </row>
    <row r="110" s="284" customFormat="1" ht="25.5" spans="1:7">
      <c r="A110" s="306">
        <v>109</v>
      </c>
      <c r="B110" s="307" t="s">
        <v>706</v>
      </c>
      <c r="C110" s="303" t="s">
        <v>707</v>
      </c>
      <c r="D110" s="304" t="s">
        <v>476</v>
      </c>
      <c r="E110" s="305">
        <v>7.9</v>
      </c>
      <c r="F110" s="305">
        <v>540.12</v>
      </c>
      <c r="G110" s="305">
        <f t="shared" ref="G110:G115" si="7">ROUND(E110*F110,2)</f>
        <v>4266.95</v>
      </c>
    </row>
    <row r="111" s="284" customFormat="1" ht="38.25" spans="1:7">
      <c r="A111" s="306">
        <v>110</v>
      </c>
      <c r="B111" s="307" t="s">
        <v>708</v>
      </c>
      <c r="C111" s="303" t="s">
        <v>709</v>
      </c>
      <c r="D111" s="304" t="s">
        <v>476</v>
      </c>
      <c r="E111" s="305">
        <v>49.7</v>
      </c>
      <c r="F111" s="305">
        <v>526.43</v>
      </c>
      <c r="G111" s="305">
        <f t="shared" si="7"/>
        <v>26163.57</v>
      </c>
    </row>
    <row r="112" s="284" customFormat="1" ht="25.5" spans="1:7">
      <c r="A112" s="306">
        <v>111</v>
      </c>
      <c r="B112" s="307" t="s">
        <v>710</v>
      </c>
      <c r="C112" s="303" t="s">
        <v>711</v>
      </c>
      <c r="D112" s="304" t="s">
        <v>494</v>
      </c>
      <c r="E112" s="305">
        <v>1</v>
      </c>
      <c r="F112" s="305">
        <v>6449.46</v>
      </c>
      <c r="G112" s="305">
        <f t="shared" si="7"/>
        <v>6449.46</v>
      </c>
    </row>
    <row r="113" s="284" customFormat="1" ht="25.5" spans="1:7">
      <c r="A113" s="306">
        <v>112</v>
      </c>
      <c r="B113" s="307" t="s">
        <v>712</v>
      </c>
      <c r="C113" s="303" t="s">
        <v>713</v>
      </c>
      <c r="D113" s="304" t="s">
        <v>112</v>
      </c>
      <c r="E113" s="305">
        <v>36</v>
      </c>
      <c r="F113" s="305">
        <v>186.1</v>
      </c>
      <c r="G113" s="305">
        <f t="shared" si="7"/>
        <v>6699.6</v>
      </c>
    </row>
    <row r="114" s="284" customFormat="1" ht="25.5" spans="1:7">
      <c r="A114" s="306">
        <v>113</v>
      </c>
      <c r="B114" s="307" t="s">
        <v>714</v>
      </c>
      <c r="C114" s="303" t="s">
        <v>715</v>
      </c>
      <c r="D114" s="304" t="s">
        <v>466</v>
      </c>
      <c r="E114" s="305">
        <v>51</v>
      </c>
      <c r="F114" s="305">
        <v>400</v>
      </c>
      <c r="G114" s="305">
        <f t="shared" si="7"/>
        <v>20400</v>
      </c>
    </row>
    <row r="115" s="284" customFormat="1" ht="25.5" spans="1:7">
      <c r="A115" s="306">
        <v>114</v>
      </c>
      <c r="B115" s="307" t="s">
        <v>716</v>
      </c>
      <c r="C115" s="303" t="s">
        <v>717</v>
      </c>
      <c r="D115" s="304" t="s">
        <v>466</v>
      </c>
      <c r="E115" s="305">
        <v>2.25</v>
      </c>
      <c r="F115" s="305">
        <v>552.93</v>
      </c>
      <c r="G115" s="305">
        <f t="shared" si="7"/>
        <v>1244.09</v>
      </c>
    </row>
    <row r="116" s="283" customFormat="1" spans="1:7">
      <c r="A116" s="296">
        <v>115</v>
      </c>
      <c r="B116" s="297"/>
      <c r="C116" s="103" t="s">
        <v>718</v>
      </c>
      <c r="D116" s="294"/>
      <c r="E116" s="294"/>
      <c r="F116" s="294"/>
      <c r="G116" s="174"/>
    </row>
    <row r="117" s="283" customFormat="1" spans="1:7">
      <c r="A117" s="296">
        <v>116</v>
      </c>
      <c r="B117" s="296"/>
      <c r="C117" s="103" t="s">
        <v>719</v>
      </c>
      <c r="D117" s="294"/>
      <c r="E117" s="294"/>
      <c r="F117" s="294"/>
      <c r="G117" s="174"/>
    </row>
    <row r="118" s="284" customFormat="1" ht="38.25" spans="1:7">
      <c r="A118" s="301">
        <v>117</v>
      </c>
      <c r="B118" s="301">
        <v>8001004003003</v>
      </c>
      <c r="C118" s="303" t="s">
        <v>720</v>
      </c>
      <c r="D118" s="304" t="s">
        <v>494</v>
      </c>
      <c r="E118" s="305">
        <v>12</v>
      </c>
      <c r="F118" s="305">
        <v>328.53</v>
      </c>
      <c r="G118" s="305">
        <f t="shared" ref="G118:G121" si="8">ROUND(E118*F118,2)</f>
        <v>3942.36</v>
      </c>
    </row>
    <row r="119" s="284" customFormat="1" ht="25.5" spans="1:7">
      <c r="A119" s="301">
        <v>118</v>
      </c>
      <c r="B119" s="301">
        <v>8001004003010</v>
      </c>
      <c r="C119" s="303" t="s">
        <v>721</v>
      </c>
      <c r="D119" s="304" t="s">
        <v>494</v>
      </c>
      <c r="E119" s="305">
        <v>12</v>
      </c>
      <c r="F119" s="305">
        <v>211.2</v>
      </c>
      <c r="G119" s="305">
        <f t="shared" si="8"/>
        <v>2534.4</v>
      </c>
    </row>
    <row r="120" s="284" customFormat="1" spans="1:7">
      <c r="A120" s="301">
        <v>119</v>
      </c>
      <c r="B120" s="301">
        <v>8001004003012</v>
      </c>
      <c r="C120" s="303" t="s">
        <v>722</v>
      </c>
      <c r="D120" s="304" t="s">
        <v>494</v>
      </c>
      <c r="E120" s="305">
        <v>12</v>
      </c>
      <c r="F120" s="305">
        <v>222.93</v>
      </c>
      <c r="G120" s="305">
        <f t="shared" si="8"/>
        <v>2675.16</v>
      </c>
    </row>
    <row r="121" s="284" customFormat="1" ht="25.5" spans="1:7">
      <c r="A121" s="306">
        <v>120</v>
      </c>
      <c r="B121" s="307" t="s">
        <v>723</v>
      </c>
      <c r="C121" s="303" t="s">
        <v>724</v>
      </c>
      <c r="D121" s="304" t="s">
        <v>476</v>
      </c>
      <c r="E121" s="305">
        <v>58</v>
      </c>
      <c r="F121" s="305">
        <v>49.35</v>
      </c>
      <c r="G121" s="305">
        <f t="shared" si="8"/>
        <v>2862.3</v>
      </c>
    </row>
    <row r="122" s="283" customFormat="1" spans="1:7">
      <c r="A122" s="296">
        <v>121</v>
      </c>
      <c r="B122" s="297"/>
      <c r="C122" s="103" t="s">
        <v>725</v>
      </c>
      <c r="D122" s="294"/>
      <c r="E122" s="294"/>
      <c r="F122" s="294"/>
      <c r="G122" s="174"/>
    </row>
    <row r="123" s="283" customFormat="1" spans="1:7">
      <c r="A123" s="296">
        <v>122</v>
      </c>
      <c r="B123" s="296"/>
      <c r="C123" s="103" t="s">
        <v>726</v>
      </c>
      <c r="D123" s="294"/>
      <c r="E123" s="294"/>
      <c r="F123" s="294"/>
      <c r="G123" s="174"/>
    </row>
    <row r="124" s="284" customFormat="1" ht="25.5" spans="1:7">
      <c r="A124" s="301">
        <v>123</v>
      </c>
      <c r="B124" s="301">
        <v>2290005007047</v>
      </c>
      <c r="C124" s="303" t="s">
        <v>727</v>
      </c>
      <c r="D124" s="304" t="s">
        <v>494</v>
      </c>
      <c r="E124" s="305">
        <v>1</v>
      </c>
      <c r="F124" s="305">
        <v>12658</v>
      </c>
      <c r="G124" s="305">
        <f>ROUND(E124*F124,2)</f>
        <v>12658</v>
      </c>
    </row>
    <row r="125" s="283" customFormat="1" spans="1:7">
      <c r="A125" s="296">
        <v>124</v>
      </c>
      <c r="B125" s="297"/>
      <c r="C125" s="103" t="s">
        <v>596</v>
      </c>
      <c r="D125" s="294"/>
      <c r="E125" s="294"/>
      <c r="F125" s="294"/>
      <c r="G125" s="174"/>
    </row>
    <row r="126" s="283" customFormat="1" spans="1:7">
      <c r="A126" s="296">
        <v>125</v>
      </c>
      <c r="B126" s="300"/>
      <c r="C126" s="103" t="s">
        <v>596</v>
      </c>
      <c r="D126" s="294"/>
      <c r="E126" s="294"/>
      <c r="F126" s="294"/>
      <c r="G126" s="174"/>
    </row>
    <row r="127" s="285" customFormat="1" ht="25.5" spans="1:7">
      <c r="A127" s="308">
        <v>126</v>
      </c>
      <c r="B127" s="309">
        <v>173006009021</v>
      </c>
      <c r="C127" s="310" t="s">
        <v>728</v>
      </c>
      <c r="D127" s="311" t="s">
        <v>494</v>
      </c>
      <c r="E127" s="312">
        <v>1</v>
      </c>
      <c r="F127" s="312">
        <v>567852.66</v>
      </c>
      <c r="G127" s="312">
        <f>ROUND(E127*F127,2)</f>
        <v>567852.66</v>
      </c>
    </row>
    <row r="128" s="283" customFormat="1" spans="1:7">
      <c r="A128" s="296">
        <v>127</v>
      </c>
      <c r="B128" s="296"/>
      <c r="C128" s="103" t="s">
        <v>729</v>
      </c>
      <c r="D128" s="294"/>
      <c r="E128" s="294"/>
      <c r="F128" s="294"/>
      <c r="G128" s="174"/>
    </row>
    <row r="129" s="286" customFormat="1" ht="25.5" spans="1:7">
      <c r="A129" s="133">
        <v>128</v>
      </c>
      <c r="B129" s="134" t="s">
        <v>730</v>
      </c>
      <c r="C129" s="313" t="s">
        <v>731</v>
      </c>
      <c r="D129" s="314" t="s">
        <v>466</v>
      </c>
      <c r="E129" s="315">
        <v>18.31</v>
      </c>
      <c r="F129" s="315">
        <v>8.11</v>
      </c>
      <c r="G129" s="315">
        <f>ROUND(E129*F129,2)</f>
        <v>148.49</v>
      </c>
    </row>
    <row r="130" s="283" customFormat="1" spans="1:7">
      <c r="A130" s="296">
        <v>129</v>
      </c>
      <c r="B130" s="297"/>
      <c r="C130" s="103" t="s">
        <v>732</v>
      </c>
      <c r="D130" s="294"/>
      <c r="E130" s="294"/>
      <c r="F130" s="294"/>
      <c r="G130" s="174"/>
    </row>
    <row r="131" s="283" customFormat="1" spans="1:7">
      <c r="A131" s="296">
        <v>130</v>
      </c>
      <c r="B131" s="296"/>
      <c r="C131" s="103" t="s">
        <v>733</v>
      </c>
      <c r="D131" s="294"/>
      <c r="E131" s="294"/>
      <c r="F131" s="294"/>
      <c r="G131" s="174"/>
    </row>
    <row r="132" s="287" customFormat="1" ht="25.5" spans="1:7">
      <c r="A132" s="316">
        <v>131</v>
      </c>
      <c r="B132" s="317" t="s">
        <v>734</v>
      </c>
      <c r="C132" s="318" t="s">
        <v>735</v>
      </c>
      <c r="D132" s="314" t="s">
        <v>494</v>
      </c>
      <c r="E132" s="315">
        <v>18</v>
      </c>
      <c r="F132" s="315">
        <v>134.66</v>
      </c>
      <c r="G132" s="315">
        <f t="shared" ref="G132:G133" si="9">ROUND(E132*F132,2)</f>
        <v>2423.88</v>
      </c>
    </row>
    <row r="133" s="288" customFormat="1" spans="1:7">
      <c r="A133" s="319">
        <v>132</v>
      </c>
      <c r="B133" s="320" t="s">
        <v>479</v>
      </c>
      <c r="C133" s="321" t="s">
        <v>480</v>
      </c>
      <c r="D133" s="322" t="s">
        <v>466</v>
      </c>
      <c r="E133" s="323">
        <v>715.74</v>
      </c>
      <c r="F133" s="323">
        <v>92.86</v>
      </c>
      <c r="G133" s="323">
        <f t="shared" si="9"/>
        <v>66463.62</v>
      </c>
    </row>
    <row r="134" s="283" customFormat="1" spans="1:7">
      <c r="A134" s="296">
        <v>133</v>
      </c>
      <c r="B134" s="296"/>
      <c r="C134" s="103" t="s">
        <v>719</v>
      </c>
      <c r="D134" s="294"/>
      <c r="E134" s="294"/>
      <c r="F134" s="294"/>
      <c r="G134" s="174"/>
    </row>
    <row r="135" s="289" customFormat="1" spans="1:7">
      <c r="A135" s="324">
        <v>134</v>
      </c>
      <c r="B135" s="324">
        <v>8001008020005</v>
      </c>
      <c r="C135" s="325" t="s">
        <v>736</v>
      </c>
      <c r="D135" s="326" t="s">
        <v>112</v>
      </c>
      <c r="E135" s="327">
        <v>2555.69</v>
      </c>
      <c r="F135" s="327">
        <v>2.71</v>
      </c>
      <c r="G135" s="327">
        <f t="shared" ref="G135:G138" si="10">ROUND(E135*F135,2)</f>
        <v>6925.92</v>
      </c>
    </row>
    <row r="136" s="288" customFormat="1" ht="38.25" spans="1:7">
      <c r="A136" s="328">
        <v>135</v>
      </c>
      <c r="B136" s="328">
        <v>8001008020020</v>
      </c>
      <c r="C136" s="321" t="s">
        <v>576</v>
      </c>
      <c r="D136" s="322" t="s">
        <v>494</v>
      </c>
      <c r="E136" s="323">
        <v>18</v>
      </c>
      <c r="F136" s="323">
        <v>218.85</v>
      </c>
      <c r="G136" s="323">
        <f t="shared" si="10"/>
        <v>3939.3</v>
      </c>
    </row>
    <row r="137" s="288" customFormat="1" ht="25.5" spans="1:7">
      <c r="A137" s="319">
        <v>136</v>
      </c>
      <c r="B137" s="320" t="s">
        <v>574</v>
      </c>
      <c r="C137" s="321" t="s">
        <v>737</v>
      </c>
      <c r="D137" s="322" t="s">
        <v>112</v>
      </c>
      <c r="E137" s="323">
        <v>51.05</v>
      </c>
      <c r="F137" s="323">
        <v>69.08</v>
      </c>
      <c r="G137" s="323">
        <f t="shared" si="10"/>
        <v>3526.53</v>
      </c>
    </row>
    <row r="138" s="289" customFormat="1" ht="25.5" spans="1:7">
      <c r="A138" s="324">
        <v>137</v>
      </c>
      <c r="B138" s="324">
        <v>8001008010002</v>
      </c>
      <c r="C138" s="325" t="s">
        <v>738</v>
      </c>
      <c r="D138" s="326" t="s">
        <v>112</v>
      </c>
      <c r="E138" s="327">
        <v>2555.69</v>
      </c>
      <c r="F138" s="327">
        <v>1.59</v>
      </c>
      <c r="G138" s="327">
        <f t="shared" si="10"/>
        <v>4063.55</v>
      </c>
    </row>
    <row r="139" s="283" customFormat="1" spans="1:7">
      <c r="A139" s="296">
        <v>138</v>
      </c>
      <c r="B139" s="296"/>
      <c r="C139" s="103" t="s">
        <v>739</v>
      </c>
      <c r="D139" s="294"/>
      <c r="E139" s="294"/>
      <c r="F139" s="294"/>
      <c r="G139" s="174"/>
    </row>
    <row r="140" s="286" customFormat="1" spans="1:7">
      <c r="A140" s="133">
        <v>139</v>
      </c>
      <c r="B140" s="134" t="s">
        <v>740</v>
      </c>
      <c r="C140" s="313" t="s">
        <v>741</v>
      </c>
      <c r="D140" s="314" t="s">
        <v>476</v>
      </c>
      <c r="E140" s="315">
        <v>1.46</v>
      </c>
      <c r="F140" s="315">
        <v>839.54</v>
      </c>
      <c r="G140" s="315">
        <f t="shared" ref="G140:G144" si="11">ROUND(E140*F140,2)</f>
        <v>1225.73</v>
      </c>
    </row>
    <row r="141" s="286" customFormat="1" ht="25.5" spans="1:7">
      <c r="A141" s="133">
        <v>140</v>
      </c>
      <c r="B141" s="134" t="s">
        <v>742</v>
      </c>
      <c r="C141" s="313" t="s">
        <v>743</v>
      </c>
      <c r="D141" s="314" t="s">
        <v>476</v>
      </c>
      <c r="E141" s="315">
        <v>2.36</v>
      </c>
      <c r="F141" s="315">
        <v>233.42</v>
      </c>
      <c r="G141" s="315">
        <f t="shared" si="11"/>
        <v>550.87</v>
      </c>
    </row>
    <row r="142" s="286" customFormat="1" ht="25.5" spans="1:7">
      <c r="A142" s="133">
        <v>141</v>
      </c>
      <c r="B142" s="134" t="s">
        <v>744</v>
      </c>
      <c r="C142" s="313" t="s">
        <v>745</v>
      </c>
      <c r="D142" s="314" t="s">
        <v>466</v>
      </c>
      <c r="E142" s="315">
        <v>809.57</v>
      </c>
      <c r="F142" s="315">
        <v>31.93</v>
      </c>
      <c r="G142" s="315">
        <f t="shared" si="11"/>
        <v>25849.57</v>
      </c>
    </row>
    <row r="143" s="286" customFormat="1" spans="1:7">
      <c r="A143" s="125">
        <v>142</v>
      </c>
      <c r="B143" s="125">
        <v>8001508020021</v>
      </c>
      <c r="C143" s="313" t="s">
        <v>746</v>
      </c>
      <c r="D143" s="314" t="s">
        <v>466</v>
      </c>
      <c r="E143" s="315">
        <v>30</v>
      </c>
      <c r="F143" s="315">
        <v>88.43</v>
      </c>
      <c r="G143" s="315">
        <f t="shared" si="11"/>
        <v>2652.9</v>
      </c>
    </row>
    <row r="144" s="286" customFormat="1" spans="1:7">
      <c r="A144" s="125">
        <v>143</v>
      </c>
      <c r="B144" s="125">
        <v>8001508040044</v>
      </c>
      <c r="C144" s="313" t="s">
        <v>747</v>
      </c>
      <c r="D144" s="314" t="s">
        <v>112</v>
      </c>
      <c r="E144" s="315">
        <v>2</v>
      </c>
      <c r="F144" s="315">
        <v>12.47</v>
      </c>
      <c r="G144" s="315">
        <f t="shared" si="11"/>
        <v>24.94</v>
      </c>
    </row>
    <row r="145" spans="1:27">
      <c r="A145" s="296">
        <v>144</v>
      </c>
      <c r="B145" s="296"/>
      <c r="C145" s="103" t="s">
        <v>748</v>
      </c>
      <c r="D145" s="294"/>
      <c r="E145" s="294"/>
      <c r="F145" s="294"/>
      <c r="G145" s="174"/>
      <c r="J145" s="283"/>
      <c r="K145" s="283"/>
      <c r="L145" s="283"/>
      <c r="M145" s="283"/>
      <c r="N145" s="283"/>
      <c r="O145" s="283"/>
      <c r="P145" s="283"/>
      <c r="Q145" s="283"/>
      <c r="R145" s="283"/>
      <c r="S145" s="283"/>
      <c r="T145" s="283"/>
      <c r="U145" s="283"/>
      <c r="V145" s="283"/>
      <c r="W145" s="283"/>
      <c r="X145" s="283"/>
      <c r="Y145" s="283"/>
      <c r="Z145" s="283"/>
      <c r="AA145" s="283"/>
    </row>
    <row r="146" s="286" customFormat="1" ht="25.5" spans="1:27">
      <c r="A146" s="133">
        <v>145</v>
      </c>
      <c r="B146" s="134" t="s">
        <v>749</v>
      </c>
      <c r="C146" s="313" t="s">
        <v>750</v>
      </c>
      <c r="D146" s="314" t="s">
        <v>476</v>
      </c>
      <c r="E146" s="315">
        <v>1730.97</v>
      </c>
      <c r="F146" s="315">
        <v>162.96</v>
      </c>
      <c r="G146" s="315">
        <f t="shared" ref="G146:G180" si="12">ROUND(E146*F146,2)</f>
        <v>282078.87</v>
      </c>
    </row>
    <row r="147" s="286" customFormat="1" ht="25.5" spans="1:27">
      <c r="A147" s="133">
        <v>146</v>
      </c>
      <c r="B147" s="134" t="s">
        <v>751</v>
      </c>
      <c r="C147" s="313" t="s">
        <v>752</v>
      </c>
      <c r="D147" s="314" t="s">
        <v>476</v>
      </c>
      <c r="E147" s="315">
        <v>101.22</v>
      </c>
      <c r="F147" s="315">
        <v>159.92</v>
      </c>
      <c r="G147" s="315">
        <f t="shared" si="12"/>
        <v>16187.1</v>
      </c>
    </row>
    <row r="148" s="286" customFormat="1" ht="25.5" spans="1:27">
      <c r="A148" s="133">
        <v>147</v>
      </c>
      <c r="B148" s="134" t="s">
        <v>753</v>
      </c>
      <c r="C148" s="313" t="s">
        <v>754</v>
      </c>
      <c r="D148" s="314" t="s">
        <v>476</v>
      </c>
      <c r="E148" s="315">
        <v>17.2</v>
      </c>
      <c r="F148" s="315">
        <v>67.77</v>
      </c>
      <c r="G148" s="315">
        <f t="shared" si="12"/>
        <v>1165.64</v>
      </c>
    </row>
    <row r="149" s="286" customFormat="1" spans="1:27">
      <c r="A149" s="133">
        <v>148</v>
      </c>
      <c r="B149" s="134" t="s">
        <v>755</v>
      </c>
      <c r="C149" s="313" t="s">
        <v>756</v>
      </c>
      <c r="D149" s="314" t="s">
        <v>601</v>
      </c>
      <c r="E149" s="315">
        <v>12.75</v>
      </c>
      <c r="F149" s="315">
        <v>7.52</v>
      </c>
      <c r="G149" s="315">
        <f t="shared" si="12"/>
        <v>95.88</v>
      </c>
    </row>
    <row r="150" s="286" customFormat="1" ht="38.25" spans="1:27">
      <c r="A150" s="133">
        <v>149</v>
      </c>
      <c r="B150" s="134" t="s">
        <v>757</v>
      </c>
      <c r="C150" s="313" t="s">
        <v>758</v>
      </c>
      <c r="D150" s="314" t="s">
        <v>476</v>
      </c>
      <c r="E150" s="315">
        <v>627.22</v>
      </c>
      <c r="F150" s="315">
        <v>9.26</v>
      </c>
      <c r="G150" s="315">
        <f t="shared" si="12"/>
        <v>5808.06</v>
      </c>
    </row>
    <row r="151" s="286" customFormat="1" ht="38.25" spans="1:27">
      <c r="A151" s="133">
        <v>150</v>
      </c>
      <c r="B151" s="134" t="s">
        <v>759</v>
      </c>
      <c r="C151" s="313" t="s">
        <v>760</v>
      </c>
      <c r="D151" s="314" t="s">
        <v>476</v>
      </c>
      <c r="E151" s="315">
        <v>12.23</v>
      </c>
      <c r="F151" s="315">
        <v>9.67</v>
      </c>
      <c r="G151" s="315">
        <f t="shared" si="12"/>
        <v>118.26</v>
      </c>
    </row>
    <row r="152" s="286" customFormat="1" ht="38.25" spans="1:27">
      <c r="A152" s="133">
        <v>151</v>
      </c>
      <c r="B152" s="134" t="s">
        <v>761</v>
      </c>
      <c r="C152" s="313" t="s">
        <v>762</v>
      </c>
      <c r="D152" s="314" t="s">
        <v>601</v>
      </c>
      <c r="E152" s="315">
        <v>3136.09</v>
      </c>
      <c r="F152" s="315">
        <v>6.46</v>
      </c>
      <c r="G152" s="315">
        <f t="shared" si="12"/>
        <v>20259.14</v>
      </c>
    </row>
    <row r="153" s="286" customFormat="1" ht="25.5" spans="1:27">
      <c r="A153" s="133">
        <v>152</v>
      </c>
      <c r="B153" s="134" t="s">
        <v>763</v>
      </c>
      <c r="C153" s="313" t="s">
        <v>764</v>
      </c>
      <c r="D153" s="314" t="s">
        <v>476</v>
      </c>
      <c r="E153" s="315">
        <v>5869.74</v>
      </c>
      <c r="F153" s="315">
        <v>6.86</v>
      </c>
      <c r="G153" s="315">
        <f t="shared" si="12"/>
        <v>40266.42</v>
      </c>
    </row>
    <row r="154" s="286" customFormat="1" ht="25.5" spans="1:27">
      <c r="A154" s="133">
        <v>153</v>
      </c>
      <c r="B154" s="134" t="s">
        <v>765</v>
      </c>
      <c r="C154" s="313" t="s">
        <v>766</v>
      </c>
      <c r="D154" s="314" t="s">
        <v>601</v>
      </c>
      <c r="E154" s="315">
        <v>71.07</v>
      </c>
      <c r="F154" s="315">
        <v>20.52</v>
      </c>
      <c r="G154" s="315">
        <f t="shared" si="12"/>
        <v>1458.36</v>
      </c>
    </row>
    <row r="155" spans="1:27">
      <c r="A155" s="131">
        <v>154</v>
      </c>
      <c r="B155" s="132" t="s">
        <v>767</v>
      </c>
      <c r="C155" s="172" t="s">
        <v>768</v>
      </c>
      <c r="D155" s="173" t="s">
        <v>466</v>
      </c>
      <c r="E155" s="174">
        <v>2862.37</v>
      </c>
      <c r="F155" s="174">
        <v>8.46</v>
      </c>
      <c r="G155" s="174">
        <f t="shared" si="12"/>
        <v>24215.65</v>
      </c>
      <c r="J155" s="283"/>
      <c r="K155" s="283"/>
      <c r="L155" s="283"/>
      <c r="M155" s="283"/>
      <c r="N155" s="283"/>
      <c r="O155" s="283"/>
      <c r="P155" s="283"/>
      <c r="Q155" s="283"/>
      <c r="R155" s="283"/>
      <c r="S155" s="283"/>
      <c r="T155" s="283"/>
      <c r="U155" s="283"/>
      <c r="V155" s="283"/>
      <c r="W155" s="283"/>
      <c r="X155" s="283"/>
      <c r="Y155" s="283"/>
      <c r="Z155" s="283"/>
      <c r="AA155" s="283"/>
    </row>
    <row r="156" ht="25.5" spans="1:27">
      <c r="A156" s="131">
        <v>155</v>
      </c>
      <c r="B156" s="132" t="s">
        <v>769</v>
      </c>
      <c r="C156" s="172" t="s">
        <v>770</v>
      </c>
      <c r="D156" s="173" t="s">
        <v>476</v>
      </c>
      <c r="E156" s="174">
        <v>64.9</v>
      </c>
      <c r="F156" s="174">
        <v>164.8</v>
      </c>
      <c r="G156" s="174">
        <f t="shared" si="12"/>
        <v>10695.52</v>
      </c>
      <c r="J156" s="283"/>
      <c r="K156" s="283"/>
      <c r="L156" s="283"/>
      <c r="M156" s="283"/>
      <c r="N156" s="283"/>
      <c r="O156" s="283"/>
      <c r="P156" s="283"/>
      <c r="Q156" s="283"/>
      <c r="R156" s="283"/>
      <c r="S156" s="283"/>
      <c r="T156" s="283"/>
      <c r="U156" s="283"/>
      <c r="V156" s="283"/>
      <c r="W156" s="283"/>
      <c r="X156" s="283"/>
      <c r="Y156" s="283"/>
      <c r="Z156" s="283"/>
      <c r="AA156" s="283"/>
    </row>
    <row r="157" s="286" customFormat="1" ht="25.5" spans="1:27">
      <c r="A157" s="125">
        <v>156</v>
      </c>
      <c r="B157" s="125">
        <v>8002008020011</v>
      </c>
      <c r="C157" s="313" t="s">
        <v>771</v>
      </c>
      <c r="D157" s="314" t="s">
        <v>476</v>
      </c>
      <c r="E157" s="315">
        <v>10.12</v>
      </c>
      <c r="F157" s="315">
        <v>155.88</v>
      </c>
      <c r="G157" s="315">
        <f t="shared" si="12"/>
        <v>1577.51</v>
      </c>
    </row>
    <row r="158" s="286" customFormat="1" spans="1:27">
      <c r="A158" s="125">
        <v>157</v>
      </c>
      <c r="B158" s="125">
        <v>8002008020009</v>
      </c>
      <c r="C158" s="313" t="s">
        <v>772</v>
      </c>
      <c r="D158" s="314" t="s">
        <v>476</v>
      </c>
      <c r="E158" s="315">
        <v>0.77</v>
      </c>
      <c r="F158" s="315">
        <v>93.53</v>
      </c>
      <c r="G158" s="315">
        <f t="shared" si="12"/>
        <v>72.02</v>
      </c>
    </row>
    <row r="159" s="286" customFormat="1" ht="25.5" spans="1:27">
      <c r="A159" s="125">
        <v>158</v>
      </c>
      <c r="B159" s="125">
        <v>8002008020010</v>
      </c>
      <c r="C159" s="313" t="s">
        <v>773</v>
      </c>
      <c r="D159" s="314" t="s">
        <v>476</v>
      </c>
      <c r="E159" s="315">
        <v>39.48</v>
      </c>
      <c r="F159" s="315">
        <v>124.7</v>
      </c>
      <c r="G159" s="315">
        <f t="shared" si="12"/>
        <v>4923.16</v>
      </c>
    </row>
    <row r="160" s="286" customFormat="1" ht="38.25" spans="1:27">
      <c r="A160" s="133">
        <v>159</v>
      </c>
      <c r="B160" s="134" t="s">
        <v>774</v>
      </c>
      <c r="C160" s="313" t="s">
        <v>775</v>
      </c>
      <c r="D160" s="314" t="s">
        <v>476</v>
      </c>
      <c r="E160" s="315">
        <v>4.3</v>
      </c>
      <c r="F160" s="315">
        <v>6.22</v>
      </c>
      <c r="G160" s="315">
        <f t="shared" si="12"/>
        <v>26.75</v>
      </c>
    </row>
    <row r="161" s="286" customFormat="1" ht="38.25" spans="1:9">
      <c r="A161" s="133">
        <v>160</v>
      </c>
      <c r="B161" s="134" t="s">
        <v>776</v>
      </c>
      <c r="C161" s="313" t="s">
        <v>777</v>
      </c>
      <c r="D161" s="314" t="s">
        <v>476</v>
      </c>
      <c r="E161" s="315">
        <v>3.38</v>
      </c>
      <c r="F161" s="315">
        <v>7.77</v>
      </c>
      <c r="G161" s="315">
        <f t="shared" si="12"/>
        <v>26.26</v>
      </c>
    </row>
    <row r="162" s="286" customFormat="1" ht="38.25" spans="1:9">
      <c r="A162" s="133">
        <v>161</v>
      </c>
      <c r="B162" s="134" t="s">
        <v>778</v>
      </c>
      <c r="C162" s="313" t="s">
        <v>779</v>
      </c>
      <c r="D162" s="314" t="s">
        <v>476</v>
      </c>
      <c r="E162" s="315">
        <v>7.69</v>
      </c>
      <c r="F162" s="315">
        <v>8.14</v>
      </c>
      <c r="G162" s="315">
        <f t="shared" si="12"/>
        <v>62.6</v>
      </c>
    </row>
    <row r="163" s="286" customFormat="1" ht="51" spans="1:9">
      <c r="A163" s="133">
        <v>162</v>
      </c>
      <c r="B163" s="134" t="s">
        <v>780</v>
      </c>
      <c r="C163" s="313" t="s">
        <v>781</v>
      </c>
      <c r="D163" s="314" t="s">
        <v>476</v>
      </c>
      <c r="E163" s="315">
        <v>394.74</v>
      </c>
      <c r="F163" s="315">
        <v>7.62</v>
      </c>
      <c r="G163" s="315">
        <f t="shared" si="12"/>
        <v>3007.92</v>
      </c>
    </row>
    <row r="164" s="286" customFormat="1" ht="51" spans="1:9">
      <c r="A164" s="133">
        <v>163</v>
      </c>
      <c r="B164" s="134" t="s">
        <v>782</v>
      </c>
      <c r="C164" s="313" t="s">
        <v>783</v>
      </c>
      <c r="D164" s="314" t="s">
        <v>476</v>
      </c>
      <c r="E164" s="315">
        <v>4139.35</v>
      </c>
      <c r="F164" s="315">
        <v>5.82</v>
      </c>
      <c r="G164" s="315">
        <f t="shared" si="12"/>
        <v>24091.02</v>
      </c>
    </row>
    <row r="165" s="286" customFormat="1" ht="51" spans="1:9">
      <c r="A165" s="133">
        <v>164</v>
      </c>
      <c r="B165" s="134" t="s">
        <v>784</v>
      </c>
      <c r="C165" s="313" t="s">
        <v>785</v>
      </c>
      <c r="D165" s="314" t="s">
        <v>476</v>
      </c>
      <c r="E165" s="315">
        <v>822.53</v>
      </c>
      <c r="F165" s="315">
        <v>7.28</v>
      </c>
      <c r="G165" s="315">
        <f t="shared" si="12"/>
        <v>5988.02</v>
      </c>
    </row>
    <row r="166" s="286" customFormat="1" ht="51" spans="1:9">
      <c r="A166" s="133">
        <v>165</v>
      </c>
      <c r="B166" s="134" t="s">
        <v>786</v>
      </c>
      <c r="C166" s="313" t="s">
        <v>787</v>
      </c>
      <c r="D166" s="314" t="s">
        <v>476</v>
      </c>
      <c r="E166" s="315">
        <v>285.82</v>
      </c>
      <c r="F166" s="315">
        <v>5.6</v>
      </c>
      <c r="G166" s="315">
        <f t="shared" si="12"/>
        <v>1600.59</v>
      </c>
    </row>
    <row r="167" s="286" customFormat="1" ht="38.25" spans="1:9">
      <c r="A167" s="133">
        <v>166</v>
      </c>
      <c r="B167" s="134" t="s">
        <v>788</v>
      </c>
      <c r="C167" s="313" t="s">
        <v>789</v>
      </c>
      <c r="D167" s="314" t="s">
        <v>476</v>
      </c>
      <c r="E167" s="315">
        <v>82.48</v>
      </c>
      <c r="F167" s="315">
        <v>7</v>
      </c>
      <c r="G167" s="315">
        <f t="shared" si="12"/>
        <v>577.36</v>
      </c>
    </row>
    <row r="168" s="286" customFormat="1" ht="51" spans="1:9">
      <c r="A168" s="133">
        <v>167</v>
      </c>
      <c r="B168" s="134" t="s">
        <v>790</v>
      </c>
      <c r="C168" s="313" t="s">
        <v>791</v>
      </c>
      <c r="D168" s="314" t="s">
        <v>476</v>
      </c>
      <c r="E168" s="315">
        <v>101.22</v>
      </c>
      <c r="F168" s="315">
        <v>7.33</v>
      </c>
      <c r="G168" s="315">
        <f t="shared" si="12"/>
        <v>741.94</v>
      </c>
    </row>
    <row r="169" s="286" customFormat="1" ht="25.5" spans="1:9">
      <c r="A169" s="133">
        <v>168</v>
      </c>
      <c r="B169" s="134" t="s">
        <v>792</v>
      </c>
      <c r="C169" s="313" t="s">
        <v>793</v>
      </c>
      <c r="D169" s="314" t="s">
        <v>476</v>
      </c>
      <c r="E169" s="315">
        <v>6.45</v>
      </c>
      <c r="F169" s="315">
        <v>28.45</v>
      </c>
      <c r="G169" s="315">
        <f t="shared" si="12"/>
        <v>183.5</v>
      </c>
    </row>
    <row r="170" s="286" customFormat="1" ht="51" spans="1:9">
      <c r="A170" s="133">
        <v>169</v>
      </c>
      <c r="B170" s="134" t="s">
        <v>794</v>
      </c>
      <c r="C170" s="313" t="s">
        <v>795</v>
      </c>
      <c r="D170" s="314" t="s">
        <v>476</v>
      </c>
      <c r="E170" s="315">
        <v>177.96</v>
      </c>
      <c r="F170" s="315">
        <v>13.94</v>
      </c>
      <c r="G170" s="315">
        <f t="shared" si="12"/>
        <v>2480.76</v>
      </c>
    </row>
    <row r="171" s="286" customFormat="1" ht="51" spans="1:9">
      <c r="A171" s="133">
        <v>170</v>
      </c>
      <c r="B171" s="134" t="s">
        <v>796</v>
      </c>
      <c r="C171" s="313" t="s">
        <v>797</v>
      </c>
      <c r="D171" s="314" t="s">
        <v>476</v>
      </c>
      <c r="E171" s="315">
        <v>152.38</v>
      </c>
      <c r="F171" s="315">
        <v>20.69</v>
      </c>
      <c r="G171" s="315">
        <f t="shared" si="12"/>
        <v>3152.74</v>
      </c>
    </row>
    <row r="172" s="286" customFormat="1" ht="51" spans="1:9">
      <c r="A172" s="133">
        <v>171</v>
      </c>
      <c r="B172" s="134" t="s">
        <v>798</v>
      </c>
      <c r="C172" s="313" t="s">
        <v>799</v>
      </c>
      <c r="D172" s="314" t="s">
        <v>476</v>
      </c>
      <c r="E172" s="315">
        <v>158.19</v>
      </c>
      <c r="F172" s="315">
        <v>16.31</v>
      </c>
      <c r="G172" s="315">
        <f t="shared" si="12"/>
        <v>2580.08</v>
      </c>
    </row>
    <row r="173" s="286" customFormat="1" ht="51" spans="1:9">
      <c r="A173" s="133">
        <v>172</v>
      </c>
      <c r="B173" s="134" t="s">
        <v>800</v>
      </c>
      <c r="C173" s="313" t="s">
        <v>801</v>
      </c>
      <c r="D173" s="314" t="s">
        <v>476</v>
      </c>
      <c r="E173" s="315">
        <v>14.68</v>
      </c>
      <c r="F173" s="315">
        <v>23.66</v>
      </c>
      <c r="G173" s="315">
        <f t="shared" si="12"/>
        <v>347.33</v>
      </c>
    </row>
    <row r="174" s="286" customFormat="1" ht="51" spans="1:9">
      <c r="A174" s="133">
        <v>173</v>
      </c>
      <c r="B174" s="134" t="s">
        <v>802</v>
      </c>
      <c r="C174" s="313" t="s">
        <v>803</v>
      </c>
      <c r="D174" s="314" t="s">
        <v>476</v>
      </c>
      <c r="E174" s="315">
        <v>3043.27</v>
      </c>
      <c r="F174" s="315">
        <v>12.51</v>
      </c>
      <c r="G174" s="315">
        <f t="shared" si="12"/>
        <v>38071.31</v>
      </c>
    </row>
    <row r="175" s="283" customFormat="1" ht="38.25" spans="1:9">
      <c r="A175" s="131">
        <v>174</v>
      </c>
      <c r="B175" s="132" t="s">
        <v>804</v>
      </c>
      <c r="C175" s="172" t="s">
        <v>805</v>
      </c>
      <c r="D175" s="173" t="s">
        <v>412</v>
      </c>
      <c r="E175" s="174">
        <v>23273.88</v>
      </c>
      <c r="F175" s="174">
        <v>0.89</v>
      </c>
      <c r="G175" s="174">
        <f t="shared" si="12"/>
        <v>20713.75</v>
      </c>
    </row>
    <row r="176" s="283" customFormat="1" ht="25.5" spans="1:9">
      <c r="A176" s="131">
        <v>175</v>
      </c>
      <c r="B176" s="132" t="s">
        <v>806</v>
      </c>
      <c r="C176" s="172" t="s">
        <v>807</v>
      </c>
      <c r="D176" s="173" t="s">
        <v>412</v>
      </c>
      <c r="E176" s="174">
        <v>148832.34</v>
      </c>
      <c r="F176" s="174">
        <v>2.2</v>
      </c>
      <c r="G176" s="174">
        <f t="shared" si="12"/>
        <v>327431.15</v>
      </c>
      <c r="H176" s="295">
        <f>E176/30</f>
        <v>4961.078</v>
      </c>
      <c r="I176" s="295">
        <f>H176/12</f>
        <v>413.423166666667</v>
      </c>
    </row>
    <row r="177" s="283" customFormat="1" ht="38.25" spans="1:9">
      <c r="A177" s="131">
        <v>176</v>
      </c>
      <c r="B177" s="132" t="s">
        <v>808</v>
      </c>
      <c r="C177" s="172" t="s">
        <v>809</v>
      </c>
      <c r="D177" s="173" t="s">
        <v>412</v>
      </c>
      <c r="E177" s="174">
        <v>73.41</v>
      </c>
      <c r="F177" s="174">
        <v>1.23</v>
      </c>
      <c r="G177" s="174">
        <f t="shared" si="12"/>
        <v>90.29</v>
      </c>
    </row>
    <row r="178" s="283" customFormat="1" ht="25.5" spans="1:9">
      <c r="A178" s="131">
        <v>177</v>
      </c>
      <c r="B178" s="132" t="s">
        <v>810</v>
      </c>
      <c r="C178" s="172" t="s">
        <v>811</v>
      </c>
      <c r="D178" s="173" t="s">
        <v>412</v>
      </c>
      <c r="E178" s="174">
        <v>3503.15</v>
      </c>
      <c r="F178" s="174">
        <v>3.06</v>
      </c>
      <c r="G178" s="174">
        <f t="shared" si="12"/>
        <v>10719.64</v>
      </c>
      <c r="H178" s="295">
        <f>E178/30</f>
        <v>116.771666666667</v>
      </c>
      <c r="I178" s="295">
        <f>H178/12</f>
        <v>9.73097222222222</v>
      </c>
    </row>
    <row r="179" s="286" customFormat="1" ht="25.5" spans="1:9">
      <c r="A179" s="133">
        <v>178</v>
      </c>
      <c r="B179" s="134" t="s">
        <v>812</v>
      </c>
      <c r="C179" s="313" t="s">
        <v>813</v>
      </c>
      <c r="D179" s="314" t="s">
        <v>814</v>
      </c>
      <c r="E179" s="315">
        <v>179.73</v>
      </c>
      <c r="F179" s="315">
        <v>2.9</v>
      </c>
      <c r="G179" s="315">
        <f t="shared" si="12"/>
        <v>521.22</v>
      </c>
    </row>
    <row r="180" s="286" customFormat="1" ht="25.5" spans="1:9">
      <c r="A180" s="133">
        <v>179</v>
      </c>
      <c r="B180" s="134" t="s">
        <v>815</v>
      </c>
      <c r="C180" s="313" t="s">
        <v>816</v>
      </c>
      <c r="D180" s="314" t="s">
        <v>814</v>
      </c>
      <c r="E180" s="315">
        <v>241.04</v>
      </c>
      <c r="F180" s="315">
        <v>1.44</v>
      </c>
      <c r="G180" s="315">
        <f t="shared" si="12"/>
        <v>347.1</v>
      </c>
    </row>
    <row r="181" s="283" customFormat="1" spans="1:9">
      <c r="A181" s="296">
        <v>180</v>
      </c>
      <c r="B181" s="296"/>
      <c r="C181" s="103" t="s">
        <v>817</v>
      </c>
      <c r="D181" s="294"/>
      <c r="E181" s="294"/>
      <c r="F181" s="294"/>
      <c r="G181" s="174"/>
    </row>
    <row r="182" s="286" customFormat="1" spans="1:9">
      <c r="A182" s="133">
        <v>181</v>
      </c>
      <c r="B182" s="134" t="s">
        <v>818</v>
      </c>
      <c r="C182" s="313" t="s">
        <v>819</v>
      </c>
      <c r="D182" s="314" t="s">
        <v>476</v>
      </c>
      <c r="E182" s="315">
        <v>70.02</v>
      </c>
      <c r="F182" s="315">
        <v>266.67</v>
      </c>
      <c r="G182" s="315">
        <f t="shared" ref="G182:G190" si="13">ROUND(E182*F182,2)</f>
        <v>18672.23</v>
      </c>
    </row>
    <row r="183" s="286" customFormat="1" ht="25.5" spans="1:9">
      <c r="A183" s="133">
        <v>182</v>
      </c>
      <c r="B183" s="134" t="s">
        <v>820</v>
      </c>
      <c r="C183" s="313" t="s">
        <v>821</v>
      </c>
      <c r="D183" s="314" t="s">
        <v>466</v>
      </c>
      <c r="E183" s="315">
        <v>51.5</v>
      </c>
      <c r="F183" s="315">
        <v>70.64</v>
      </c>
      <c r="G183" s="315">
        <f t="shared" si="13"/>
        <v>3637.96</v>
      </c>
    </row>
    <row r="184" s="286" customFormat="1" ht="25.5" spans="1:9">
      <c r="A184" s="133">
        <v>183</v>
      </c>
      <c r="B184" s="134" t="s">
        <v>822</v>
      </c>
      <c r="C184" s="313" t="s">
        <v>823</v>
      </c>
      <c r="D184" s="314" t="s">
        <v>466</v>
      </c>
      <c r="E184" s="315">
        <v>150.62</v>
      </c>
      <c r="F184" s="315">
        <v>30.53</v>
      </c>
      <c r="G184" s="315">
        <f t="shared" si="13"/>
        <v>4598.43</v>
      </c>
    </row>
    <row r="185" s="286" customFormat="1" ht="25.5" spans="1:9">
      <c r="A185" s="133">
        <v>184</v>
      </c>
      <c r="B185" s="134" t="s">
        <v>824</v>
      </c>
      <c r="C185" s="313" t="s">
        <v>825</v>
      </c>
      <c r="D185" s="314" t="s">
        <v>466</v>
      </c>
      <c r="E185" s="315">
        <v>10311.7</v>
      </c>
      <c r="F185" s="315">
        <v>20.53</v>
      </c>
      <c r="G185" s="315">
        <f t="shared" si="13"/>
        <v>211699.2</v>
      </c>
    </row>
    <row r="186" s="286" customFormat="1" ht="25.5" spans="1:9">
      <c r="A186" s="133">
        <v>185</v>
      </c>
      <c r="B186" s="134" t="s">
        <v>826</v>
      </c>
      <c r="C186" s="313" t="s">
        <v>827</v>
      </c>
      <c r="D186" s="314" t="s">
        <v>466</v>
      </c>
      <c r="E186" s="315">
        <v>104.86</v>
      </c>
      <c r="F186" s="315">
        <v>25.63</v>
      </c>
      <c r="G186" s="315">
        <f t="shared" si="13"/>
        <v>2687.56</v>
      </c>
    </row>
    <row r="187" s="286" customFormat="1" ht="25.5" spans="1:9">
      <c r="A187" s="133">
        <v>186</v>
      </c>
      <c r="B187" s="134" t="s">
        <v>828</v>
      </c>
      <c r="C187" s="313" t="s">
        <v>829</v>
      </c>
      <c r="D187" s="314" t="s">
        <v>466</v>
      </c>
      <c r="E187" s="315">
        <v>603</v>
      </c>
      <c r="F187" s="315">
        <v>15.46</v>
      </c>
      <c r="G187" s="315">
        <f t="shared" si="13"/>
        <v>9322.38</v>
      </c>
    </row>
    <row r="188" s="286" customFormat="1" ht="25.5" spans="1:9">
      <c r="A188" s="133">
        <v>187</v>
      </c>
      <c r="B188" s="134" t="s">
        <v>830</v>
      </c>
      <c r="C188" s="313" t="s">
        <v>831</v>
      </c>
      <c r="D188" s="314" t="s">
        <v>476</v>
      </c>
      <c r="E188" s="315">
        <v>429.36</v>
      </c>
      <c r="F188" s="315">
        <v>293.38</v>
      </c>
      <c r="G188" s="315">
        <f t="shared" si="13"/>
        <v>125965.64</v>
      </c>
    </row>
    <row r="189" s="286" customFormat="1" ht="25.5" spans="1:9">
      <c r="A189" s="133">
        <v>188</v>
      </c>
      <c r="B189" s="134" t="s">
        <v>832</v>
      </c>
      <c r="C189" s="313" t="s">
        <v>833</v>
      </c>
      <c r="D189" s="314" t="s">
        <v>466</v>
      </c>
      <c r="E189" s="315">
        <v>51.05</v>
      </c>
      <c r="F189" s="315">
        <v>7.36</v>
      </c>
      <c r="G189" s="315">
        <f t="shared" si="13"/>
        <v>375.73</v>
      </c>
    </row>
    <row r="190" s="286" customFormat="1" ht="25.5" spans="1:9">
      <c r="A190" s="133">
        <v>189</v>
      </c>
      <c r="B190" s="134" t="s">
        <v>834</v>
      </c>
      <c r="C190" s="313" t="s">
        <v>835</v>
      </c>
      <c r="D190" s="314" t="s">
        <v>112</v>
      </c>
      <c r="E190" s="315">
        <v>128.78</v>
      </c>
      <c r="F190" s="315">
        <v>58.77</v>
      </c>
      <c r="G190" s="315">
        <f t="shared" si="13"/>
        <v>7568.4</v>
      </c>
    </row>
    <row r="191" s="283" customFormat="1" spans="1:9">
      <c r="A191" s="296">
        <v>190</v>
      </c>
      <c r="B191" s="296"/>
      <c r="C191" s="103" t="s">
        <v>836</v>
      </c>
      <c r="D191" s="294"/>
      <c r="E191" s="294"/>
      <c r="F191" s="294"/>
      <c r="G191" s="174"/>
    </row>
    <row r="192" s="286" customFormat="1" spans="1:9">
      <c r="A192" s="133">
        <v>191</v>
      </c>
      <c r="B192" s="134" t="s">
        <v>837</v>
      </c>
      <c r="C192" s="313" t="s">
        <v>838</v>
      </c>
      <c r="D192" s="314" t="s">
        <v>839</v>
      </c>
      <c r="E192" s="315">
        <v>131.48</v>
      </c>
      <c r="F192" s="315">
        <v>34.02</v>
      </c>
      <c r="G192" s="315">
        <f>ROUND(E192*F192,2)</f>
        <v>4472.95</v>
      </c>
    </row>
    <row r="193" s="283" customFormat="1" spans="1:7">
      <c r="A193" s="296">
        <v>192</v>
      </c>
      <c r="B193" s="296"/>
      <c r="C193" s="103" t="s">
        <v>729</v>
      </c>
      <c r="D193" s="294"/>
      <c r="E193" s="294"/>
      <c r="F193" s="294"/>
      <c r="G193" s="174"/>
    </row>
    <row r="194" s="288" customFormat="1" ht="25.5" spans="1:7">
      <c r="A194" s="319">
        <v>193</v>
      </c>
      <c r="B194" s="320" t="s">
        <v>562</v>
      </c>
      <c r="C194" s="321" t="s">
        <v>563</v>
      </c>
      <c r="D194" s="322" t="s">
        <v>466</v>
      </c>
      <c r="E194" s="323">
        <v>79.42</v>
      </c>
      <c r="F194" s="323">
        <v>95.5</v>
      </c>
      <c r="G194" s="323">
        <f t="shared" ref="G194:G207" si="14">ROUND(E194*F194,2)</f>
        <v>7584.61</v>
      </c>
    </row>
    <row r="195" s="289" customFormat="1" ht="25.5" spans="1:7">
      <c r="A195" s="329">
        <v>194</v>
      </c>
      <c r="B195" s="330" t="s">
        <v>840</v>
      </c>
      <c r="C195" s="325" t="s">
        <v>841</v>
      </c>
      <c r="D195" s="326" t="s">
        <v>463</v>
      </c>
      <c r="E195" s="327">
        <v>122.82</v>
      </c>
      <c r="F195" s="327">
        <v>11.35</v>
      </c>
      <c r="G195" s="327">
        <f t="shared" si="14"/>
        <v>1394.01</v>
      </c>
    </row>
    <row r="196" s="289" customFormat="1" ht="25.5" spans="1:7">
      <c r="A196" s="329">
        <v>195</v>
      </c>
      <c r="B196" s="330" t="s">
        <v>842</v>
      </c>
      <c r="C196" s="325" t="s">
        <v>843</v>
      </c>
      <c r="D196" s="326" t="s">
        <v>463</v>
      </c>
      <c r="E196" s="327">
        <v>174.5</v>
      </c>
      <c r="F196" s="327">
        <v>9.24</v>
      </c>
      <c r="G196" s="327">
        <f t="shared" si="14"/>
        <v>1612.38</v>
      </c>
    </row>
    <row r="197" s="289" customFormat="1" ht="25.5" spans="1:7">
      <c r="A197" s="329">
        <v>196</v>
      </c>
      <c r="B197" s="330" t="s">
        <v>844</v>
      </c>
      <c r="C197" s="325" t="s">
        <v>845</v>
      </c>
      <c r="D197" s="326" t="s">
        <v>463</v>
      </c>
      <c r="E197" s="327">
        <v>107.78</v>
      </c>
      <c r="F197" s="327">
        <v>15.05</v>
      </c>
      <c r="G197" s="327">
        <f t="shared" si="14"/>
        <v>1622.09</v>
      </c>
    </row>
    <row r="198" s="289" customFormat="1" ht="25.5" spans="1:7">
      <c r="A198" s="329">
        <v>197</v>
      </c>
      <c r="B198" s="330" t="s">
        <v>846</v>
      </c>
      <c r="C198" s="325" t="s">
        <v>847</v>
      </c>
      <c r="D198" s="326" t="s">
        <v>463</v>
      </c>
      <c r="E198" s="327">
        <v>3417.77</v>
      </c>
      <c r="F198" s="327">
        <v>13.28</v>
      </c>
      <c r="G198" s="327">
        <f t="shared" si="14"/>
        <v>45387.99</v>
      </c>
    </row>
    <row r="199" s="286" customFormat="1" ht="25.5" spans="1:7">
      <c r="A199" s="125">
        <v>198</v>
      </c>
      <c r="B199" s="125">
        <v>8004008065024</v>
      </c>
      <c r="C199" s="313" t="s">
        <v>848</v>
      </c>
      <c r="D199" s="314" t="s">
        <v>494</v>
      </c>
      <c r="E199" s="315">
        <v>6</v>
      </c>
      <c r="F199" s="315">
        <v>121.02</v>
      </c>
      <c r="G199" s="315">
        <f t="shared" si="14"/>
        <v>726.12</v>
      </c>
    </row>
    <row r="200" s="288" customFormat="1" ht="25.5" spans="1:7">
      <c r="A200" s="319">
        <v>199</v>
      </c>
      <c r="B200" s="320" t="s">
        <v>583</v>
      </c>
      <c r="C200" s="321" t="s">
        <v>849</v>
      </c>
      <c r="D200" s="322" t="s">
        <v>494</v>
      </c>
      <c r="E200" s="323">
        <v>2</v>
      </c>
      <c r="F200" s="323">
        <v>81.77</v>
      </c>
      <c r="G200" s="323">
        <f t="shared" si="14"/>
        <v>163.54</v>
      </c>
    </row>
    <row r="201" s="288" customFormat="1" ht="25.5" spans="1:7">
      <c r="A201" s="319">
        <v>200</v>
      </c>
      <c r="B201" s="320" t="s">
        <v>495</v>
      </c>
      <c r="C201" s="321" t="s">
        <v>496</v>
      </c>
      <c r="D201" s="322" t="s">
        <v>466</v>
      </c>
      <c r="E201" s="323">
        <v>413.6</v>
      </c>
      <c r="F201" s="323">
        <v>227.86</v>
      </c>
      <c r="G201" s="323">
        <f t="shared" si="14"/>
        <v>94242.9</v>
      </c>
    </row>
    <row r="202" s="289" customFormat="1" ht="25.5" spans="1:7">
      <c r="A202" s="324">
        <v>201</v>
      </c>
      <c r="B202" s="324">
        <v>8004008025010</v>
      </c>
      <c r="C202" s="325" t="s">
        <v>850</v>
      </c>
      <c r="D202" s="326" t="s">
        <v>466</v>
      </c>
      <c r="E202" s="327">
        <v>330</v>
      </c>
      <c r="F202" s="327">
        <v>152.95</v>
      </c>
      <c r="G202" s="327">
        <f t="shared" si="14"/>
        <v>50473.5</v>
      </c>
    </row>
    <row r="203" s="286" customFormat="1" ht="25.5" spans="1:7">
      <c r="A203" s="133">
        <v>202</v>
      </c>
      <c r="B203" s="134" t="s">
        <v>851</v>
      </c>
      <c r="C203" s="313" t="s">
        <v>852</v>
      </c>
      <c r="D203" s="314" t="s">
        <v>476</v>
      </c>
      <c r="E203" s="315">
        <v>58</v>
      </c>
      <c r="F203" s="315">
        <v>48.26</v>
      </c>
      <c r="G203" s="315">
        <f t="shared" si="14"/>
        <v>2799.08</v>
      </c>
    </row>
    <row r="204" s="286" customFormat="1" ht="25.5" spans="1:7">
      <c r="A204" s="133">
        <v>203</v>
      </c>
      <c r="B204" s="134" t="s">
        <v>853</v>
      </c>
      <c r="C204" s="313" t="s">
        <v>854</v>
      </c>
      <c r="D204" s="314" t="s">
        <v>476</v>
      </c>
      <c r="E204" s="315">
        <v>1.2</v>
      </c>
      <c r="F204" s="315">
        <v>312.47</v>
      </c>
      <c r="G204" s="315">
        <f t="shared" si="14"/>
        <v>374.96</v>
      </c>
    </row>
    <row r="205" s="286" customFormat="1" ht="25.5" spans="1:7">
      <c r="A205" s="133">
        <v>204</v>
      </c>
      <c r="B205" s="134" t="s">
        <v>546</v>
      </c>
      <c r="C205" s="313" t="s">
        <v>855</v>
      </c>
      <c r="D205" s="314" t="s">
        <v>476</v>
      </c>
      <c r="E205" s="315">
        <v>126.6</v>
      </c>
      <c r="F205" s="315">
        <v>313.12</v>
      </c>
      <c r="G205" s="315">
        <f t="shared" si="14"/>
        <v>39640.99</v>
      </c>
    </row>
    <row r="206" s="286" customFormat="1" ht="25.5" spans="1:7">
      <c r="A206" s="125">
        <v>205</v>
      </c>
      <c r="B206" s="125">
        <v>8004008020001</v>
      </c>
      <c r="C206" s="313" t="s">
        <v>856</v>
      </c>
      <c r="D206" s="314" t="s">
        <v>476</v>
      </c>
      <c r="E206" s="315">
        <v>1.8</v>
      </c>
      <c r="F206" s="315">
        <v>225.71</v>
      </c>
      <c r="G206" s="315">
        <f t="shared" si="14"/>
        <v>406.28</v>
      </c>
    </row>
    <row r="207" s="288" customFormat="1" ht="25.5" spans="1:7">
      <c r="A207" s="319">
        <v>206</v>
      </c>
      <c r="B207" s="320" t="s">
        <v>483</v>
      </c>
      <c r="C207" s="321" t="s">
        <v>484</v>
      </c>
      <c r="D207" s="322" t="s">
        <v>476</v>
      </c>
      <c r="E207" s="323">
        <v>7.12</v>
      </c>
      <c r="F207" s="323">
        <v>3327.48</v>
      </c>
      <c r="G207" s="323">
        <f t="shared" si="14"/>
        <v>23691.66</v>
      </c>
    </row>
    <row r="208" s="283" customFormat="1" spans="1:7">
      <c r="A208" s="296">
        <v>207</v>
      </c>
      <c r="B208" s="296"/>
      <c r="C208" s="103" t="s">
        <v>857</v>
      </c>
      <c r="D208" s="294"/>
      <c r="E208" s="294"/>
      <c r="F208" s="294"/>
      <c r="G208" s="174"/>
    </row>
    <row r="209" s="289" customFormat="1" ht="25.5" spans="1:7">
      <c r="A209" s="329">
        <v>208</v>
      </c>
      <c r="B209" s="330" t="s">
        <v>858</v>
      </c>
      <c r="C209" s="325" t="s">
        <v>859</v>
      </c>
      <c r="D209" s="326" t="s">
        <v>494</v>
      </c>
      <c r="E209" s="327">
        <v>2</v>
      </c>
      <c r="F209" s="327">
        <v>35.28</v>
      </c>
      <c r="G209" s="327">
        <f t="shared" ref="G209:G232" si="15">ROUND(E209*F209,2)</f>
        <v>70.56</v>
      </c>
    </row>
    <row r="210" s="289" customFormat="1" ht="25.5" spans="1:7">
      <c r="A210" s="329">
        <v>209</v>
      </c>
      <c r="B210" s="330" t="s">
        <v>860</v>
      </c>
      <c r="C210" s="325" t="s">
        <v>861</v>
      </c>
      <c r="D210" s="326" t="s">
        <v>494</v>
      </c>
      <c r="E210" s="327">
        <v>2</v>
      </c>
      <c r="F210" s="327">
        <v>88.22</v>
      </c>
      <c r="G210" s="327">
        <f t="shared" si="15"/>
        <v>176.44</v>
      </c>
    </row>
    <row r="211" s="289" customFormat="1" ht="38.25" spans="1:7">
      <c r="A211" s="329">
        <v>210</v>
      </c>
      <c r="B211" s="330" t="s">
        <v>862</v>
      </c>
      <c r="C211" s="325" t="s">
        <v>863</v>
      </c>
      <c r="D211" s="326" t="s">
        <v>494</v>
      </c>
      <c r="E211" s="327">
        <v>2</v>
      </c>
      <c r="F211" s="327">
        <v>19.84</v>
      </c>
      <c r="G211" s="327">
        <f t="shared" si="15"/>
        <v>39.68</v>
      </c>
    </row>
    <row r="212" s="286" customFormat="1" ht="25.5" spans="1:7">
      <c r="A212" s="133">
        <v>211</v>
      </c>
      <c r="B212" s="134" t="s">
        <v>864</v>
      </c>
      <c r="C212" s="313" t="s">
        <v>865</v>
      </c>
      <c r="D212" s="314" t="s">
        <v>494</v>
      </c>
      <c r="E212" s="315">
        <v>3</v>
      </c>
      <c r="F212" s="315">
        <v>61.52</v>
      </c>
      <c r="G212" s="315">
        <f t="shared" si="15"/>
        <v>184.56</v>
      </c>
    </row>
    <row r="213" s="286" customFormat="1" ht="25.5" spans="1:7">
      <c r="A213" s="133">
        <v>212</v>
      </c>
      <c r="B213" s="134" t="s">
        <v>866</v>
      </c>
      <c r="C213" s="313" t="s">
        <v>867</v>
      </c>
      <c r="D213" s="314" t="s">
        <v>494</v>
      </c>
      <c r="E213" s="315">
        <v>18</v>
      </c>
      <c r="F213" s="315">
        <v>112.23</v>
      </c>
      <c r="G213" s="315">
        <f t="shared" si="15"/>
        <v>2020.14</v>
      </c>
    </row>
    <row r="214" s="286" customFormat="1" ht="25.5" spans="1:7">
      <c r="A214" s="133">
        <v>213</v>
      </c>
      <c r="B214" s="134" t="s">
        <v>868</v>
      </c>
      <c r="C214" s="313" t="s">
        <v>869</v>
      </c>
      <c r="D214" s="314" t="s">
        <v>494</v>
      </c>
      <c r="E214" s="315">
        <v>2</v>
      </c>
      <c r="F214" s="315">
        <v>185.21</v>
      </c>
      <c r="G214" s="315">
        <f t="shared" si="15"/>
        <v>370.42</v>
      </c>
    </row>
    <row r="215" s="286" customFormat="1" ht="25.5" spans="1:7">
      <c r="A215" s="133">
        <v>214</v>
      </c>
      <c r="B215" s="134" t="s">
        <v>870</v>
      </c>
      <c r="C215" s="313" t="s">
        <v>871</v>
      </c>
      <c r="D215" s="314" t="s">
        <v>494</v>
      </c>
      <c r="E215" s="315">
        <v>21</v>
      </c>
      <c r="F215" s="315">
        <v>308.89</v>
      </c>
      <c r="G215" s="315">
        <f t="shared" si="15"/>
        <v>6486.69</v>
      </c>
    </row>
    <row r="216" s="286" customFormat="1" ht="25.5" spans="1:7">
      <c r="A216" s="133">
        <v>215</v>
      </c>
      <c r="B216" s="134" t="s">
        <v>872</v>
      </c>
      <c r="C216" s="313" t="s">
        <v>873</v>
      </c>
      <c r="D216" s="314" t="s">
        <v>494</v>
      </c>
      <c r="E216" s="315">
        <v>6</v>
      </c>
      <c r="F216" s="315">
        <v>457.93</v>
      </c>
      <c r="G216" s="315">
        <f t="shared" si="15"/>
        <v>2747.58</v>
      </c>
    </row>
    <row r="217" s="286" customFormat="1" ht="25.5" spans="1:7">
      <c r="A217" s="133">
        <v>216</v>
      </c>
      <c r="B217" s="134" t="s">
        <v>874</v>
      </c>
      <c r="C217" s="313" t="s">
        <v>875</v>
      </c>
      <c r="D217" s="314" t="s">
        <v>494</v>
      </c>
      <c r="E217" s="315">
        <v>8</v>
      </c>
      <c r="F217" s="315">
        <v>51.37</v>
      </c>
      <c r="G217" s="315">
        <f t="shared" si="15"/>
        <v>410.96</v>
      </c>
    </row>
    <row r="218" s="286" customFormat="1" ht="25.5" spans="1:7">
      <c r="A218" s="133">
        <v>217</v>
      </c>
      <c r="B218" s="134" t="s">
        <v>876</v>
      </c>
      <c r="C218" s="313" t="s">
        <v>877</v>
      </c>
      <c r="D218" s="314" t="s">
        <v>494</v>
      </c>
      <c r="E218" s="315">
        <v>6</v>
      </c>
      <c r="F218" s="315">
        <v>454.06</v>
      </c>
      <c r="G218" s="315">
        <f t="shared" si="15"/>
        <v>2724.36</v>
      </c>
    </row>
    <row r="219" s="286" customFormat="1" ht="25.5" spans="1:7">
      <c r="A219" s="133">
        <v>218</v>
      </c>
      <c r="B219" s="134" t="s">
        <v>878</v>
      </c>
      <c r="C219" s="313" t="s">
        <v>879</v>
      </c>
      <c r="D219" s="314" t="s">
        <v>494</v>
      </c>
      <c r="E219" s="315">
        <v>1</v>
      </c>
      <c r="F219" s="315">
        <v>677.62</v>
      </c>
      <c r="G219" s="315">
        <f t="shared" si="15"/>
        <v>677.62</v>
      </c>
    </row>
    <row r="220" s="290" customFormat="1" ht="38.25" spans="1:7">
      <c r="A220" s="331">
        <v>219</v>
      </c>
      <c r="B220" s="332" t="s">
        <v>880</v>
      </c>
      <c r="C220" s="333" t="s">
        <v>315</v>
      </c>
      <c r="D220" s="334" t="s">
        <v>112</v>
      </c>
      <c r="E220" s="335">
        <v>8</v>
      </c>
      <c r="F220" s="335">
        <v>6.26</v>
      </c>
      <c r="G220" s="335">
        <f t="shared" si="15"/>
        <v>50.08</v>
      </c>
    </row>
    <row r="221" s="290" customFormat="1" ht="38.25" spans="1:7">
      <c r="A221" s="331">
        <v>220</v>
      </c>
      <c r="B221" s="332" t="s">
        <v>881</v>
      </c>
      <c r="C221" s="333" t="s">
        <v>316</v>
      </c>
      <c r="D221" s="334" t="s">
        <v>112</v>
      </c>
      <c r="E221" s="335">
        <v>4</v>
      </c>
      <c r="F221" s="335">
        <v>7.95</v>
      </c>
      <c r="G221" s="335">
        <f t="shared" si="15"/>
        <v>31.8</v>
      </c>
    </row>
    <row r="222" s="290" customFormat="1" ht="25.5" spans="1:7">
      <c r="A222" s="331">
        <v>221</v>
      </c>
      <c r="B222" s="332" t="s">
        <v>882</v>
      </c>
      <c r="C222" s="333" t="s">
        <v>317</v>
      </c>
      <c r="D222" s="334" t="s">
        <v>112</v>
      </c>
      <c r="E222" s="335">
        <v>13.25</v>
      </c>
      <c r="F222" s="335">
        <v>27.04</v>
      </c>
      <c r="G222" s="335">
        <f t="shared" si="15"/>
        <v>358.28</v>
      </c>
    </row>
    <row r="223" s="290" customFormat="1" ht="25.5" spans="1:7">
      <c r="A223" s="331">
        <v>222</v>
      </c>
      <c r="B223" s="332" t="s">
        <v>883</v>
      </c>
      <c r="C223" s="333" t="s">
        <v>318</v>
      </c>
      <c r="D223" s="334" t="s">
        <v>112</v>
      </c>
      <c r="E223" s="335">
        <v>14.2</v>
      </c>
      <c r="F223" s="335">
        <v>67.88</v>
      </c>
      <c r="G223" s="335">
        <f t="shared" si="15"/>
        <v>963.9</v>
      </c>
    </row>
    <row r="224" s="290" customFormat="1" ht="38.25" spans="1:7">
      <c r="A224" s="331">
        <v>223</v>
      </c>
      <c r="B224" s="332" t="s">
        <v>884</v>
      </c>
      <c r="C224" s="333" t="s">
        <v>319</v>
      </c>
      <c r="D224" s="334" t="s">
        <v>112</v>
      </c>
      <c r="E224" s="335">
        <v>2</v>
      </c>
      <c r="F224" s="335">
        <v>24.31</v>
      </c>
      <c r="G224" s="335">
        <f t="shared" si="15"/>
        <v>48.62</v>
      </c>
    </row>
    <row r="225" s="290" customFormat="1" ht="25.5" spans="1:9">
      <c r="A225" s="331">
        <v>224</v>
      </c>
      <c r="B225" s="332" t="s">
        <v>885</v>
      </c>
      <c r="C225" s="333" t="s">
        <v>320</v>
      </c>
      <c r="D225" s="334" t="s">
        <v>112</v>
      </c>
      <c r="E225" s="335">
        <v>43.5</v>
      </c>
      <c r="F225" s="335">
        <v>100.45</v>
      </c>
      <c r="G225" s="335">
        <f t="shared" si="15"/>
        <v>4369.58</v>
      </c>
    </row>
    <row r="226" s="290" customFormat="1" ht="25.5" spans="1:9">
      <c r="A226" s="336">
        <v>225</v>
      </c>
      <c r="B226" s="336">
        <v>8004508283066</v>
      </c>
      <c r="C226" s="333" t="s">
        <v>321</v>
      </c>
      <c r="D226" s="334" t="s">
        <v>112</v>
      </c>
      <c r="E226" s="335">
        <v>2529</v>
      </c>
      <c r="F226" s="335">
        <v>23.16</v>
      </c>
      <c r="G226" s="335">
        <f t="shared" si="15"/>
        <v>58571.64</v>
      </c>
      <c r="H226" s="337">
        <f>E226/12</f>
        <v>210.75</v>
      </c>
      <c r="I226" s="337">
        <f>540*H226</f>
        <v>113805</v>
      </c>
    </row>
    <row r="227" s="290" customFormat="1" ht="25.5" spans="1:9">
      <c r="A227" s="336">
        <v>226</v>
      </c>
      <c r="B227" s="336">
        <v>8004508283005</v>
      </c>
      <c r="C227" s="333" t="s">
        <v>322</v>
      </c>
      <c r="D227" s="334" t="s">
        <v>112</v>
      </c>
      <c r="E227" s="335">
        <v>15</v>
      </c>
      <c r="F227" s="335">
        <v>0.81</v>
      </c>
      <c r="G227" s="335">
        <f t="shared" si="15"/>
        <v>12.15</v>
      </c>
    </row>
    <row r="228" s="289" customFormat="1" ht="25.5" spans="1:9">
      <c r="A228" s="324">
        <v>227</v>
      </c>
      <c r="B228" s="324">
        <v>8004508130031</v>
      </c>
      <c r="C228" s="325" t="s">
        <v>886</v>
      </c>
      <c r="D228" s="326" t="s">
        <v>494</v>
      </c>
      <c r="E228" s="327">
        <v>52</v>
      </c>
      <c r="F228" s="327">
        <v>168.11</v>
      </c>
      <c r="G228" s="327">
        <f t="shared" si="15"/>
        <v>8741.72</v>
      </c>
      <c r="H228" s="338">
        <f>H226-E228</f>
        <v>158.75</v>
      </c>
      <c r="I228" s="339">
        <f>H228*F228</f>
        <v>26687.4625</v>
      </c>
    </row>
    <row r="229" s="289" customFormat="1" ht="25.5" spans="1:9">
      <c r="A229" s="324">
        <v>228</v>
      </c>
      <c r="B229" s="324">
        <v>8004508130018</v>
      </c>
      <c r="C229" s="325" t="s">
        <v>887</v>
      </c>
      <c r="D229" s="326" t="s">
        <v>494</v>
      </c>
      <c r="E229" s="327">
        <v>4</v>
      </c>
      <c r="F229" s="327">
        <v>14.88</v>
      </c>
      <c r="G229" s="327">
        <f t="shared" si="15"/>
        <v>59.52</v>
      </c>
      <c r="H229" s="338">
        <f>H226-'ABC INSUMO'!E3</f>
        <v>184.75</v>
      </c>
      <c r="I229" s="339">
        <f>H229*'ABC INSUMO'!F3</f>
        <v>1492881.6125</v>
      </c>
    </row>
    <row r="230" s="289" customFormat="1" ht="38.25" spans="1:9">
      <c r="A230" s="324">
        <v>229</v>
      </c>
      <c r="B230" s="324">
        <v>8004508135033</v>
      </c>
      <c r="C230" s="325" t="s">
        <v>888</v>
      </c>
      <c r="D230" s="326" t="s">
        <v>494</v>
      </c>
      <c r="E230" s="327">
        <v>4</v>
      </c>
      <c r="F230" s="327">
        <v>82.55</v>
      </c>
      <c r="G230" s="327">
        <f t="shared" si="15"/>
        <v>330.2</v>
      </c>
    </row>
    <row r="231" s="289" customFormat="1" ht="38.25" spans="1:9">
      <c r="A231" s="324">
        <v>230</v>
      </c>
      <c r="B231" s="324">
        <v>8004508135038</v>
      </c>
      <c r="C231" s="325" t="s">
        <v>889</v>
      </c>
      <c r="D231" s="326" t="s">
        <v>494</v>
      </c>
      <c r="E231" s="327">
        <v>4</v>
      </c>
      <c r="F231" s="327">
        <v>601.94</v>
      </c>
      <c r="G231" s="327">
        <f t="shared" si="15"/>
        <v>2407.76</v>
      </c>
    </row>
    <row r="232" s="286" customFormat="1" ht="25.5" spans="1:9">
      <c r="A232" s="133">
        <v>231</v>
      </c>
      <c r="B232" s="134" t="s">
        <v>890</v>
      </c>
      <c r="C232" s="313" t="s">
        <v>891</v>
      </c>
      <c r="D232" s="314" t="s">
        <v>112</v>
      </c>
      <c r="E232" s="315">
        <v>7.2</v>
      </c>
      <c r="F232" s="315">
        <v>199.43</v>
      </c>
      <c r="G232" s="315">
        <f t="shared" si="15"/>
        <v>1435.9</v>
      </c>
    </row>
    <row r="233" s="283" customFormat="1" spans="1:9">
      <c r="A233" s="296">
        <v>232</v>
      </c>
      <c r="B233" s="296"/>
      <c r="C233" s="103" t="s">
        <v>892</v>
      </c>
      <c r="D233" s="294"/>
      <c r="E233" s="294"/>
      <c r="F233" s="294"/>
      <c r="G233" s="174"/>
    </row>
    <row r="234" s="286" customFormat="1" spans="1:9">
      <c r="A234" s="133">
        <v>233</v>
      </c>
      <c r="B234" s="134" t="s">
        <v>893</v>
      </c>
      <c r="C234" s="313" t="s">
        <v>894</v>
      </c>
      <c r="D234" s="314" t="s">
        <v>476</v>
      </c>
      <c r="E234" s="315">
        <v>627.22</v>
      </c>
      <c r="F234" s="315">
        <v>1.41</v>
      </c>
      <c r="G234" s="315">
        <f t="shared" ref="G234:G239" si="16">ROUND(E234*F234,2)</f>
        <v>884.38</v>
      </c>
    </row>
    <row r="235" s="286" customFormat="1" spans="1:9">
      <c r="A235" s="125">
        <v>234</v>
      </c>
      <c r="B235" s="125">
        <v>8005008010081</v>
      </c>
      <c r="C235" s="313" t="s">
        <v>895</v>
      </c>
      <c r="D235" s="314" t="s">
        <v>466</v>
      </c>
      <c r="E235" s="315">
        <v>223.74</v>
      </c>
      <c r="F235" s="315">
        <v>9.58</v>
      </c>
      <c r="G235" s="315">
        <f t="shared" si="16"/>
        <v>2143.43</v>
      </c>
    </row>
    <row r="236" s="288" customFormat="1" ht="25.5" spans="1:9">
      <c r="A236" s="319">
        <v>235</v>
      </c>
      <c r="B236" s="320" t="s">
        <v>581</v>
      </c>
      <c r="C236" s="321" t="s">
        <v>582</v>
      </c>
      <c r="D236" s="322" t="s">
        <v>466</v>
      </c>
      <c r="E236" s="323">
        <v>11.16</v>
      </c>
      <c r="F236" s="323">
        <v>104.11</v>
      </c>
      <c r="G236" s="323">
        <f t="shared" si="16"/>
        <v>1161.87</v>
      </c>
    </row>
    <row r="237" s="286" customFormat="1" spans="1:9">
      <c r="A237" s="125">
        <v>236</v>
      </c>
      <c r="B237" s="125">
        <v>8005008010085</v>
      </c>
      <c r="C237" s="313" t="s">
        <v>896</v>
      </c>
      <c r="D237" s="314" t="s">
        <v>466</v>
      </c>
      <c r="E237" s="315">
        <v>223.74</v>
      </c>
      <c r="F237" s="315">
        <v>2.96</v>
      </c>
      <c r="G237" s="315">
        <f t="shared" si="16"/>
        <v>662.27</v>
      </c>
    </row>
    <row r="238" s="286" customFormat="1" ht="25.5" spans="1:9">
      <c r="A238" s="133">
        <v>237</v>
      </c>
      <c r="B238" s="134" t="s">
        <v>897</v>
      </c>
      <c r="C238" s="313" t="s">
        <v>326</v>
      </c>
      <c r="D238" s="314" t="s">
        <v>476</v>
      </c>
      <c r="E238" s="315">
        <v>6.71</v>
      </c>
      <c r="F238" s="315">
        <v>2136.73</v>
      </c>
      <c r="G238" s="315">
        <f t="shared" si="16"/>
        <v>14337.46</v>
      </c>
    </row>
    <row r="239" s="286" customFormat="1" spans="1:9">
      <c r="A239" s="133">
        <v>238</v>
      </c>
      <c r="B239" s="134" t="s">
        <v>898</v>
      </c>
      <c r="C239" s="313" t="s">
        <v>899</v>
      </c>
      <c r="D239" s="314" t="s">
        <v>466</v>
      </c>
      <c r="E239" s="315">
        <v>3136.09</v>
      </c>
      <c r="F239" s="315">
        <v>0.58</v>
      </c>
      <c r="G239" s="315">
        <f t="shared" si="16"/>
        <v>1818.93</v>
      </c>
    </row>
    <row r="240" s="283" customFormat="1" spans="1:9">
      <c r="A240" s="296">
        <v>239</v>
      </c>
      <c r="B240" s="296"/>
      <c r="C240" s="103" t="s">
        <v>900</v>
      </c>
      <c r="D240" s="294"/>
      <c r="E240" s="294"/>
      <c r="F240" s="294"/>
      <c r="G240" s="174"/>
    </row>
    <row r="241" s="286" customFormat="1" spans="1:7">
      <c r="A241" s="125">
        <v>240</v>
      </c>
      <c r="B241" s="125">
        <v>8005508100001</v>
      </c>
      <c r="C241" s="313" t="s">
        <v>901</v>
      </c>
      <c r="D241" s="314" t="s">
        <v>494</v>
      </c>
      <c r="E241" s="315">
        <v>1</v>
      </c>
      <c r="F241" s="315">
        <v>24.88</v>
      </c>
      <c r="G241" s="315">
        <f t="shared" ref="G241:G243" si="17">ROUND(E241*F241,2)</f>
        <v>24.88</v>
      </c>
    </row>
    <row r="242" s="286" customFormat="1" ht="25.5" spans="1:7">
      <c r="A242" s="133">
        <v>241</v>
      </c>
      <c r="B242" s="134" t="s">
        <v>902</v>
      </c>
      <c r="C242" s="313" t="s">
        <v>903</v>
      </c>
      <c r="D242" s="314" t="s">
        <v>494</v>
      </c>
      <c r="E242" s="315">
        <v>1</v>
      </c>
      <c r="F242" s="315">
        <v>137.56</v>
      </c>
      <c r="G242" s="315">
        <f t="shared" si="17"/>
        <v>137.56</v>
      </c>
    </row>
    <row r="243" s="286" customFormat="1" ht="25.5" spans="1:7">
      <c r="A243" s="133">
        <v>242</v>
      </c>
      <c r="B243" s="134" t="s">
        <v>904</v>
      </c>
      <c r="C243" s="313" t="s">
        <v>905</v>
      </c>
      <c r="D243" s="314" t="s">
        <v>494</v>
      </c>
      <c r="E243" s="315">
        <v>1</v>
      </c>
      <c r="F243" s="315">
        <v>183.53</v>
      </c>
      <c r="G243" s="315">
        <f t="shared" si="17"/>
        <v>183.53</v>
      </c>
    </row>
    <row r="244" s="283" customFormat="1" spans="1:7">
      <c r="A244" s="296">
        <v>243</v>
      </c>
      <c r="B244" s="296"/>
      <c r="C244" s="103" t="s">
        <v>906</v>
      </c>
      <c r="D244" s="294"/>
      <c r="E244" s="294"/>
      <c r="F244" s="294"/>
      <c r="G244" s="174"/>
    </row>
    <row r="245" s="288" customFormat="1" ht="25.5" spans="1:7">
      <c r="A245" s="319">
        <v>244</v>
      </c>
      <c r="B245" s="320" t="s">
        <v>577</v>
      </c>
      <c r="C245" s="321" t="s">
        <v>578</v>
      </c>
      <c r="D245" s="322" t="s">
        <v>466</v>
      </c>
      <c r="E245" s="323">
        <v>298.4</v>
      </c>
      <c r="F245" s="323">
        <v>210.56</v>
      </c>
      <c r="G245" s="323">
        <f t="shared" ref="G245:G246" si="18">ROUND(E245*F245,2)</f>
        <v>62831.1</v>
      </c>
    </row>
    <row r="246" s="288" customFormat="1" ht="25.5" spans="1:7">
      <c r="A246" s="319">
        <v>245</v>
      </c>
      <c r="B246" s="320" t="s">
        <v>572</v>
      </c>
      <c r="C246" s="321" t="s">
        <v>573</v>
      </c>
      <c r="D246" s="322" t="s">
        <v>466</v>
      </c>
      <c r="E246" s="323">
        <v>298.4</v>
      </c>
      <c r="F246" s="323">
        <v>47.72</v>
      </c>
      <c r="G246" s="323">
        <f t="shared" si="18"/>
        <v>14239.65</v>
      </c>
    </row>
    <row r="247" s="283" customFormat="1" spans="1:7">
      <c r="A247" s="296">
        <v>246</v>
      </c>
      <c r="B247" s="296"/>
      <c r="C247" s="103" t="s">
        <v>907</v>
      </c>
      <c r="D247" s="294"/>
      <c r="E247" s="294"/>
      <c r="F247" s="294"/>
      <c r="G247" s="174"/>
    </row>
    <row r="248" s="288" customFormat="1" ht="25.5" spans="1:7">
      <c r="A248" s="319">
        <v>247</v>
      </c>
      <c r="B248" s="320" t="s">
        <v>908</v>
      </c>
      <c r="C248" s="321" t="s">
        <v>909</v>
      </c>
      <c r="D248" s="322" t="s">
        <v>466</v>
      </c>
      <c r="E248" s="323">
        <v>158.84</v>
      </c>
      <c r="F248" s="323">
        <v>39.9</v>
      </c>
      <c r="G248" s="323">
        <f t="shared" ref="G248:G249" si="19">ROUND(E248*F248,2)</f>
        <v>6337.72</v>
      </c>
    </row>
    <row r="249" s="286" customFormat="1" spans="1:7">
      <c r="A249" s="133">
        <v>248</v>
      </c>
      <c r="B249" s="134" t="s">
        <v>910</v>
      </c>
      <c r="C249" s="313" t="s">
        <v>911</v>
      </c>
      <c r="D249" s="314" t="s">
        <v>466</v>
      </c>
      <c r="E249" s="315">
        <v>187</v>
      </c>
      <c r="F249" s="315">
        <v>43.11</v>
      </c>
      <c r="G249" s="315">
        <f t="shared" si="19"/>
        <v>8061.57</v>
      </c>
    </row>
    <row r="250" s="283" customFormat="1" spans="1:7">
      <c r="A250" s="296">
        <v>249</v>
      </c>
      <c r="B250" s="296"/>
      <c r="C250" s="103" t="s">
        <v>912</v>
      </c>
      <c r="D250" s="294"/>
      <c r="E250" s="294"/>
      <c r="F250" s="294"/>
      <c r="G250" s="174"/>
    </row>
    <row r="251" s="286" customFormat="1" ht="25.5" spans="1:7">
      <c r="A251" s="133">
        <v>250</v>
      </c>
      <c r="B251" s="134" t="s">
        <v>913</v>
      </c>
      <c r="C251" s="313" t="s">
        <v>914</v>
      </c>
      <c r="D251" s="314" t="s">
        <v>494</v>
      </c>
      <c r="E251" s="315">
        <v>1</v>
      </c>
      <c r="F251" s="315">
        <v>4182.04</v>
      </c>
      <c r="G251" s="315">
        <f t="shared" ref="G251:G253" si="20">ROUND(E251*F251,2)</f>
        <v>4182.04</v>
      </c>
    </row>
    <row r="252" s="286" customFormat="1" ht="25.5" spans="1:7">
      <c r="A252" s="133">
        <v>251</v>
      </c>
      <c r="B252" s="134" t="s">
        <v>560</v>
      </c>
      <c r="C252" s="313" t="s">
        <v>915</v>
      </c>
      <c r="D252" s="314" t="s">
        <v>494</v>
      </c>
      <c r="E252" s="315">
        <v>1</v>
      </c>
      <c r="F252" s="315">
        <v>7767.71</v>
      </c>
      <c r="G252" s="315">
        <f t="shared" si="20"/>
        <v>7767.71</v>
      </c>
    </row>
    <row r="253" s="286" customFormat="1" ht="25.5" spans="1:7">
      <c r="A253" s="133">
        <v>252</v>
      </c>
      <c r="B253" s="134" t="s">
        <v>916</v>
      </c>
      <c r="C253" s="313" t="s">
        <v>917</v>
      </c>
      <c r="D253" s="314" t="s">
        <v>112</v>
      </c>
      <c r="E253" s="315">
        <v>5</v>
      </c>
      <c r="F253" s="315">
        <v>32.85</v>
      </c>
      <c r="G253" s="315">
        <f t="shared" si="20"/>
        <v>164.25</v>
      </c>
    </row>
    <row r="254" s="283" customFormat="1" spans="1:7">
      <c r="A254" s="296">
        <v>253</v>
      </c>
      <c r="B254" s="296"/>
      <c r="C254" s="103" t="s">
        <v>918</v>
      </c>
      <c r="D254" s="294"/>
      <c r="E254" s="294"/>
      <c r="F254" s="294"/>
      <c r="G254" s="174"/>
    </row>
    <row r="255" s="286" customFormat="1" spans="1:7">
      <c r="A255" s="133">
        <v>254</v>
      </c>
      <c r="B255" s="134" t="s">
        <v>919</v>
      </c>
      <c r="C255" s="313" t="s">
        <v>920</v>
      </c>
      <c r="D255" s="314" t="s">
        <v>466</v>
      </c>
      <c r="E255" s="315">
        <v>2672.53</v>
      </c>
      <c r="F255" s="315">
        <v>5.85</v>
      </c>
      <c r="G255" s="315">
        <f t="shared" ref="G255:G263" si="21">ROUND(E255*F255,2)</f>
        <v>15634.3</v>
      </c>
    </row>
    <row r="256" s="286" customFormat="1" spans="1:7">
      <c r="A256" s="133">
        <v>255</v>
      </c>
      <c r="B256" s="134" t="s">
        <v>921</v>
      </c>
      <c r="C256" s="313" t="s">
        <v>922</v>
      </c>
      <c r="D256" s="314" t="s">
        <v>476</v>
      </c>
      <c r="E256" s="315">
        <v>174.71</v>
      </c>
      <c r="F256" s="315">
        <v>2.57</v>
      </c>
      <c r="G256" s="315">
        <f t="shared" si="21"/>
        <v>449</v>
      </c>
    </row>
    <row r="257" s="288" customFormat="1" ht="51" spans="1:7">
      <c r="A257" s="319">
        <v>256</v>
      </c>
      <c r="B257" s="320" t="s">
        <v>579</v>
      </c>
      <c r="C257" s="321" t="s">
        <v>580</v>
      </c>
      <c r="D257" s="322" t="s">
        <v>494</v>
      </c>
      <c r="E257" s="323">
        <v>1</v>
      </c>
      <c r="F257" s="323">
        <v>836.37</v>
      </c>
      <c r="G257" s="323">
        <f t="shared" si="21"/>
        <v>836.37</v>
      </c>
    </row>
    <row r="258" s="286" customFormat="1" ht="25.5" spans="1:7">
      <c r="A258" s="125">
        <v>257</v>
      </c>
      <c r="B258" s="125">
        <v>8008008010033</v>
      </c>
      <c r="C258" s="313" t="s">
        <v>559</v>
      </c>
      <c r="D258" s="314" t="s">
        <v>466</v>
      </c>
      <c r="E258" s="315">
        <v>10</v>
      </c>
      <c r="F258" s="315">
        <v>771.27</v>
      </c>
      <c r="G258" s="315">
        <f t="shared" si="21"/>
        <v>7712.7</v>
      </c>
    </row>
    <row r="259" s="286" customFormat="1" ht="25.5" spans="1:7">
      <c r="A259" s="133">
        <v>258</v>
      </c>
      <c r="B259" s="134" t="s">
        <v>923</v>
      </c>
      <c r="C259" s="313" t="s">
        <v>924</v>
      </c>
      <c r="D259" s="314" t="s">
        <v>466</v>
      </c>
      <c r="E259" s="315">
        <v>25</v>
      </c>
      <c r="F259" s="315">
        <v>465.22</v>
      </c>
      <c r="G259" s="315">
        <f t="shared" si="21"/>
        <v>11630.5</v>
      </c>
    </row>
    <row r="260" s="286" customFormat="1" spans="1:7">
      <c r="A260" s="133">
        <v>259</v>
      </c>
      <c r="B260" s="134" t="s">
        <v>925</v>
      </c>
      <c r="C260" s="313" t="s">
        <v>926</v>
      </c>
      <c r="D260" s="314" t="s">
        <v>466</v>
      </c>
      <c r="E260" s="315">
        <v>51.05</v>
      </c>
      <c r="F260" s="315">
        <v>5.31</v>
      </c>
      <c r="G260" s="315">
        <f t="shared" si="21"/>
        <v>271.08</v>
      </c>
    </row>
    <row r="261" s="286" customFormat="1" ht="25.5" spans="1:7">
      <c r="A261" s="133">
        <v>260</v>
      </c>
      <c r="B261" s="134" t="s">
        <v>927</v>
      </c>
      <c r="C261" s="313" t="s">
        <v>928</v>
      </c>
      <c r="D261" s="314" t="s">
        <v>466</v>
      </c>
      <c r="E261" s="315">
        <v>7908.47</v>
      </c>
      <c r="F261" s="315">
        <v>0.67</v>
      </c>
      <c r="G261" s="315">
        <f t="shared" si="21"/>
        <v>5298.67</v>
      </c>
    </row>
    <row r="262" s="286" customFormat="1" ht="25.5" spans="1:7">
      <c r="A262" s="133">
        <v>261</v>
      </c>
      <c r="B262" s="134" t="s">
        <v>929</v>
      </c>
      <c r="C262" s="313" t="s">
        <v>930</v>
      </c>
      <c r="D262" s="314" t="s">
        <v>466</v>
      </c>
      <c r="E262" s="315">
        <v>6.4</v>
      </c>
      <c r="F262" s="315">
        <v>660.56</v>
      </c>
      <c r="G262" s="315">
        <f t="shared" si="21"/>
        <v>4227.58</v>
      </c>
    </row>
    <row r="263" s="288" customFormat="1" spans="1:7">
      <c r="A263" s="319">
        <v>262</v>
      </c>
      <c r="B263" s="320" t="s">
        <v>931</v>
      </c>
      <c r="C263" s="321" t="s">
        <v>541</v>
      </c>
      <c r="D263" s="322" t="s">
        <v>466</v>
      </c>
      <c r="E263" s="323">
        <v>2672.53</v>
      </c>
      <c r="F263" s="323">
        <v>15.68</v>
      </c>
      <c r="G263" s="323">
        <f t="shared" si="21"/>
        <v>41905.27</v>
      </c>
    </row>
    <row r="264" s="283" customFormat="1" spans="1:7">
      <c r="A264" s="296">
        <v>263</v>
      </c>
      <c r="B264" s="296"/>
      <c r="C264" s="103" t="s">
        <v>932</v>
      </c>
      <c r="D264" s="294"/>
      <c r="E264" s="294"/>
      <c r="F264" s="294"/>
      <c r="G264" s="174"/>
    </row>
    <row r="265" s="286" customFormat="1" ht="25.5" spans="1:7">
      <c r="A265" s="133">
        <v>264</v>
      </c>
      <c r="B265" s="134" t="s">
        <v>933</v>
      </c>
      <c r="C265" s="313" t="s">
        <v>934</v>
      </c>
      <c r="D265" s="314" t="s">
        <v>494</v>
      </c>
      <c r="E265" s="315">
        <v>1</v>
      </c>
      <c r="F265" s="315">
        <v>6126.75</v>
      </c>
      <c r="G265" s="315">
        <f t="shared" ref="G265:G269" si="22">ROUND(E265*F265,2)</f>
        <v>6126.75</v>
      </c>
    </row>
    <row r="266" s="285" customFormat="1" ht="25.5" spans="1:7">
      <c r="A266" s="340">
        <v>265</v>
      </c>
      <c r="B266" s="341" t="s">
        <v>935</v>
      </c>
      <c r="C266" s="310" t="s">
        <v>375</v>
      </c>
      <c r="D266" s="311" t="s">
        <v>494</v>
      </c>
      <c r="E266" s="312">
        <v>1</v>
      </c>
      <c r="F266" s="312">
        <v>6653.68</v>
      </c>
      <c r="G266" s="312">
        <f t="shared" si="22"/>
        <v>6653.68</v>
      </c>
    </row>
    <row r="267" s="286" customFormat="1" ht="25.5" spans="1:7">
      <c r="A267" s="133">
        <v>266</v>
      </c>
      <c r="B267" s="134" t="s">
        <v>936</v>
      </c>
      <c r="C267" s="313" t="s">
        <v>937</v>
      </c>
      <c r="D267" s="314" t="s">
        <v>494</v>
      </c>
      <c r="E267" s="315">
        <v>2</v>
      </c>
      <c r="F267" s="315">
        <v>180.67</v>
      </c>
      <c r="G267" s="315">
        <f t="shared" si="22"/>
        <v>361.34</v>
      </c>
    </row>
    <row r="268" s="286" customFormat="1" ht="25.5" spans="1:7">
      <c r="A268" s="133">
        <v>267</v>
      </c>
      <c r="B268" s="134" t="s">
        <v>938</v>
      </c>
      <c r="C268" s="313" t="s">
        <v>939</v>
      </c>
      <c r="D268" s="314" t="s">
        <v>494</v>
      </c>
      <c r="E268" s="315">
        <v>1</v>
      </c>
      <c r="F268" s="315">
        <v>307.84</v>
      </c>
      <c r="G268" s="315">
        <f t="shared" si="22"/>
        <v>307.84</v>
      </c>
    </row>
    <row r="269" s="286" customFormat="1" ht="25.5" spans="1:7">
      <c r="A269" s="133">
        <v>268</v>
      </c>
      <c r="B269" s="134" t="s">
        <v>940</v>
      </c>
      <c r="C269" s="313" t="s">
        <v>941</v>
      </c>
      <c r="D269" s="314" t="s">
        <v>112</v>
      </c>
      <c r="E269" s="315">
        <v>12.5</v>
      </c>
      <c r="F269" s="315">
        <v>72.86</v>
      </c>
      <c r="G269" s="315">
        <f t="shared" si="22"/>
        <v>910.75</v>
      </c>
    </row>
    <row r="270" s="283" customFormat="1" spans="1:7">
      <c r="A270" s="296">
        <v>269</v>
      </c>
      <c r="B270" s="296"/>
      <c r="C270" s="103" t="s">
        <v>942</v>
      </c>
      <c r="D270" s="294"/>
      <c r="E270" s="294"/>
      <c r="F270" s="294"/>
      <c r="G270" s="174"/>
    </row>
    <row r="271" s="286" customFormat="1" spans="1:7">
      <c r="A271" s="133">
        <v>270</v>
      </c>
      <c r="B271" s="134" t="s">
        <v>943</v>
      </c>
      <c r="C271" s="313" t="s">
        <v>944</v>
      </c>
      <c r="D271" s="314" t="s">
        <v>112</v>
      </c>
      <c r="E271" s="315">
        <v>2</v>
      </c>
      <c r="F271" s="315">
        <v>16.5</v>
      </c>
      <c r="G271" s="315">
        <f>ROUND(E271*F271,2)</f>
        <v>33</v>
      </c>
    </row>
    <row r="272" s="283" customFormat="1" spans="1:7">
      <c r="A272" s="296">
        <v>271</v>
      </c>
      <c r="B272" s="296"/>
      <c r="C272" s="103" t="s">
        <v>945</v>
      </c>
      <c r="D272" s="294"/>
      <c r="E272" s="294"/>
      <c r="F272" s="294"/>
      <c r="G272" s="174"/>
    </row>
    <row r="273" s="286" customFormat="1" spans="1:8">
      <c r="A273" s="133">
        <v>272</v>
      </c>
      <c r="B273" s="134" t="s">
        <v>946</v>
      </c>
      <c r="C273" s="313" t="s">
        <v>947</v>
      </c>
      <c r="D273" s="314" t="s">
        <v>476</v>
      </c>
      <c r="E273" s="315">
        <v>125.54</v>
      </c>
      <c r="F273" s="315">
        <v>62.35</v>
      </c>
      <c r="G273" s="315">
        <f t="shared" ref="G273:G279" si="23">ROUND(E273*F273,2)</f>
        <v>7827.42</v>
      </c>
    </row>
    <row r="274" s="286" customFormat="1" spans="1:8">
      <c r="A274" s="133">
        <v>273</v>
      </c>
      <c r="B274" s="134" t="s">
        <v>948</v>
      </c>
      <c r="C274" s="313" t="s">
        <v>949</v>
      </c>
      <c r="D274" s="314" t="s">
        <v>476</v>
      </c>
      <c r="E274" s="315">
        <v>288.83</v>
      </c>
      <c r="F274" s="315">
        <v>74.82</v>
      </c>
      <c r="G274" s="315">
        <f t="shared" si="23"/>
        <v>21610.26</v>
      </c>
    </row>
    <row r="275" s="286" customFormat="1" spans="1:8">
      <c r="A275" s="133">
        <v>274</v>
      </c>
      <c r="B275" s="134" t="s">
        <v>950</v>
      </c>
      <c r="C275" s="313" t="s">
        <v>951</v>
      </c>
      <c r="D275" s="314" t="s">
        <v>476</v>
      </c>
      <c r="E275" s="315">
        <v>28.58</v>
      </c>
      <c r="F275" s="315">
        <v>87.29</v>
      </c>
      <c r="G275" s="315">
        <f t="shared" si="23"/>
        <v>2494.75</v>
      </c>
    </row>
    <row r="276" s="286" customFormat="1" spans="1:8">
      <c r="A276" s="133">
        <v>275</v>
      </c>
      <c r="B276" s="134" t="s">
        <v>952</v>
      </c>
      <c r="C276" s="313" t="s">
        <v>953</v>
      </c>
      <c r="D276" s="314" t="s">
        <v>476</v>
      </c>
      <c r="E276" s="315">
        <v>9.58</v>
      </c>
      <c r="F276" s="315">
        <v>49.88</v>
      </c>
      <c r="G276" s="315">
        <f t="shared" si="23"/>
        <v>477.85</v>
      </c>
    </row>
    <row r="277" s="286" customFormat="1" spans="1:8">
      <c r="A277" s="133">
        <v>276</v>
      </c>
      <c r="B277" s="134" t="s">
        <v>954</v>
      </c>
      <c r="C277" s="313" t="s">
        <v>955</v>
      </c>
      <c r="D277" s="314" t="s">
        <v>476</v>
      </c>
      <c r="E277" s="315">
        <v>24.4</v>
      </c>
      <c r="F277" s="315">
        <v>87.29</v>
      </c>
      <c r="G277" s="315">
        <f t="shared" si="23"/>
        <v>2129.88</v>
      </c>
    </row>
    <row r="278" s="286" customFormat="1" spans="1:8">
      <c r="A278" s="133">
        <v>277</v>
      </c>
      <c r="B278" s="134" t="s">
        <v>956</v>
      </c>
      <c r="C278" s="313" t="s">
        <v>957</v>
      </c>
      <c r="D278" s="314" t="s">
        <v>476</v>
      </c>
      <c r="E278" s="315">
        <v>58.19</v>
      </c>
      <c r="F278" s="315">
        <v>103.91</v>
      </c>
      <c r="G278" s="315">
        <f t="shared" si="23"/>
        <v>6046.52</v>
      </c>
    </row>
    <row r="279" s="286" customFormat="1" spans="1:8">
      <c r="A279" s="133">
        <v>278</v>
      </c>
      <c r="B279" s="134" t="s">
        <v>958</v>
      </c>
      <c r="C279" s="313" t="s">
        <v>959</v>
      </c>
      <c r="D279" s="314" t="s">
        <v>476</v>
      </c>
      <c r="E279" s="315">
        <v>8.24</v>
      </c>
      <c r="F279" s="315">
        <v>120.54</v>
      </c>
      <c r="G279" s="315">
        <f t="shared" si="23"/>
        <v>993.25</v>
      </c>
    </row>
    <row r="280" s="283" customFormat="1" spans="1:8">
      <c r="A280" s="296">
        <v>279</v>
      </c>
      <c r="B280" s="296"/>
      <c r="C280" s="103" t="s">
        <v>960</v>
      </c>
      <c r="D280" s="294"/>
      <c r="E280" s="294"/>
      <c r="F280" s="294"/>
      <c r="G280" s="174"/>
    </row>
    <row r="281" s="286" customFormat="1" spans="1:8">
      <c r="A281" s="125">
        <v>280</v>
      </c>
      <c r="B281" s="125">
        <v>8101008010056</v>
      </c>
      <c r="C281" s="313" t="s">
        <v>961</v>
      </c>
      <c r="D281" s="314" t="s">
        <v>494</v>
      </c>
      <c r="E281" s="315">
        <v>1</v>
      </c>
      <c r="F281" s="315">
        <v>603.27</v>
      </c>
      <c r="G281" s="315">
        <f>ROUND(E281*F281,2)</f>
        <v>603.27</v>
      </c>
    </row>
    <row r="282" s="283" customFormat="1" spans="1:8">
      <c r="A282" s="296">
        <v>281</v>
      </c>
      <c r="B282" s="296"/>
      <c r="C282" s="103" t="s">
        <v>962</v>
      </c>
      <c r="D282" s="294"/>
      <c r="E282" s="294"/>
      <c r="F282" s="294"/>
      <c r="G282" s="174"/>
    </row>
    <row r="283" s="283" customFormat="1" spans="1:8">
      <c r="A283" s="296">
        <v>282</v>
      </c>
      <c r="B283" s="296"/>
      <c r="C283" s="103" t="s">
        <v>963</v>
      </c>
      <c r="D283" s="294"/>
      <c r="E283" s="294"/>
      <c r="F283" s="294"/>
      <c r="G283" s="174"/>
    </row>
    <row r="284" s="284" customFormat="1" ht="25.5" spans="1:8">
      <c r="A284" s="306">
        <v>283</v>
      </c>
      <c r="B284" s="307" t="s">
        <v>964</v>
      </c>
      <c r="C284" s="303" t="s">
        <v>965</v>
      </c>
      <c r="D284" s="304" t="s">
        <v>598</v>
      </c>
      <c r="E284" s="305">
        <v>45</v>
      </c>
      <c r="F284" s="305">
        <v>1500</v>
      </c>
      <c r="G284" s="305">
        <f t="shared" ref="G284:G286" si="24">ROUND(E284*F284,2)</f>
        <v>67500</v>
      </c>
      <c r="H284" s="342">
        <f>E284/9</f>
        <v>5</v>
      </c>
    </row>
    <row r="285" s="284" customFormat="1" ht="25.5" spans="1:8">
      <c r="A285" s="306">
        <v>284</v>
      </c>
      <c r="B285" s="307" t="s">
        <v>966</v>
      </c>
      <c r="C285" s="303" t="s">
        <v>967</v>
      </c>
      <c r="D285" s="304" t="s">
        <v>598</v>
      </c>
      <c r="E285" s="305">
        <v>81</v>
      </c>
      <c r="F285" s="305">
        <v>1171.87</v>
      </c>
      <c r="G285" s="305">
        <f t="shared" si="24"/>
        <v>94921.47</v>
      </c>
      <c r="H285" s="342">
        <f>E285/9</f>
        <v>9</v>
      </c>
    </row>
    <row r="286" s="284" customFormat="1" ht="25.5" spans="1:8">
      <c r="A286" s="306">
        <v>285</v>
      </c>
      <c r="B286" s="307" t="s">
        <v>968</v>
      </c>
      <c r="C286" s="303" t="s">
        <v>969</v>
      </c>
      <c r="D286" s="304" t="s">
        <v>598</v>
      </c>
      <c r="E286" s="305">
        <v>36</v>
      </c>
      <c r="F286" s="305">
        <v>1875</v>
      </c>
      <c r="G286" s="305">
        <f t="shared" si="24"/>
        <v>67500</v>
      </c>
      <c r="H286" s="342">
        <f>E286/9</f>
        <v>4</v>
      </c>
    </row>
    <row r="287" s="283" customFormat="1" spans="1:8">
      <c r="A287" s="296">
        <v>286</v>
      </c>
      <c r="B287" s="296"/>
      <c r="C287" s="103" t="s">
        <v>970</v>
      </c>
      <c r="D287" s="294"/>
      <c r="E287" s="294"/>
      <c r="F287" s="294"/>
      <c r="G287" s="174"/>
    </row>
    <row r="288" s="283" customFormat="1" spans="1:8">
      <c r="A288" s="296">
        <v>287</v>
      </c>
      <c r="B288" s="296"/>
      <c r="C288" s="103" t="s">
        <v>971</v>
      </c>
      <c r="D288" s="294"/>
      <c r="E288" s="294"/>
      <c r="F288" s="294"/>
      <c r="G288" s="174"/>
    </row>
    <row r="289" s="284" customFormat="1" spans="1:27">
      <c r="A289" s="301">
        <v>288</v>
      </c>
      <c r="B289" s="301">
        <v>2204011001001</v>
      </c>
      <c r="C289" s="303" t="s">
        <v>972</v>
      </c>
      <c r="D289" s="304" t="s">
        <v>973</v>
      </c>
      <c r="E289" s="305">
        <v>18</v>
      </c>
      <c r="F289" s="305">
        <v>1316.7</v>
      </c>
      <c r="G289" s="305">
        <f>ROUND(E289*F289,2)</f>
        <v>23700.6</v>
      </c>
    </row>
    <row r="290" spans="1:27">
      <c r="A290" s="296">
        <v>289</v>
      </c>
      <c r="B290" s="296"/>
      <c r="C290" s="103" t="s">
        <v>974</v>
      </c>
      <c r="D290" s="294"/>
      <c r="E290" s="294"/>
      <c r="F290" s="294"/>
      <c r="G290" s="174"/>
      <c r="J290" s="283"/>
      <c r="K290" s="283"/>
      <c r="L290" s="283"/>
      <c r="M290" s="283"/>
      <c r="N290" s="283"/>
      <c r="O290" s="283"/>
      <c r="P290" s="283"/>
      <c r="Q290" s="283"/>
      <c r="R290" s="283"/>
      <c r="S290" s="283"/>
      <c r="T290" s="283"/>
      <c r="U290" s="283"/>
      <c r="V290" s="283"/>
      <c r="W290" s="283"/>
      <c r="X290" s="283"/>
      <c r="Y290" s="283"/>
      <c r="Z290" s="283"/>
      <c r="AA290" s="283"/>
    </row>
    <row r="291" spans="1:27">
      <c r="A291" s="296">
        <v>290</v>
      </c>
      <c r="B291" s="296"/>
      <c r="C291" s="103" t="s">
        <v>963</v>
      </c>
      <c r="D291" s="294"/>
      <c r="E291" s="294"/>
      <c r="F291" s="294"/>
      <c r="G291" s="174"/>
      <c r="J291" s="283"/>
      <c r="K291" s="283"/>
      <c r="L291" s="283"/>
      <c r="M291" s="283"/>
      <c r="N291" s="283"/>
      <c r="O291" s="283"/>
      <c r="P291" s="283"/>
      <c r="Q291" s="283"/>
      <c r="R291" s="283"/>
      <c r="S291" s="283"/>
      <c r="T291" s="283"/>
      <c r="U291" s="283"/>
      <c r="V291" s="283"/>
      <c r="W291" s="283"/>
      <c r="X291" s="283"/>
      <c r="Y291" s="283"/>
      <c r="Z291" s="283"/>
      <c r="AA291" s="283"/>
    </row>
    <row r="292" s="286" customFormat="1" spans="1:27">
      <c r="A292" s="133">
        <v>291</v>
      </c>
      <c r="B292" s="134" t="s">
        <v>975</v>
      </c>
      <c r="C292" s="313" t="s">
        <v>976</v>
      </c>
      <c r="D292" s="314" t="s">
        <v>977</v>
      </c>
      <c r="E292" s="315">
        <v>475.2</v>
      </c>
      <c r="F292" s="315">
        <v>118.48</v>
      </c>
      <c r="G292" s="315">
        <f t="shared" ref="G292:G293" si="25">ROUND(E292*F292,2)</f>
        <v>56301.7</v>
      </c>
    </row>
    <row r="293" s="286" customFormat="1" spans="1:27">
      <c r="A293" s="133">
        <v>292</v>
      </c>
      <c r="B293" s="134" t="s">
        <v>978</v>
      </c>
      <c r="C293" s="313" t="s">
        <v>976</v>
      </c>
      <c r="D293" s="314" t="s">
        <v>979</v>
      </c>
      <c r="E293" s="315">
        <v>52.8</v>
      </c>
      <c r="F293" s="315">
        <v>8.61</v>
      </c>
      <c r="G293" s="315">
        <f t="shared" si="25"/>
        <v>454.61</v>
      </c>
    </row>
    <row r="294" spans="1:27">
      <c r="A294" s="291">
        <v>293</v>
      </c>
      <c r="J294" s="283"/>
      <c r="K294" s="283"/>
      <c r="L294" s="283"/>
      <c r="M294" s="283"/>
      <c r="N294" s="283"/>
      <c r="O294" s="283"/>
      <c r="P294" s="283"/>
      <c r="Q294" s="283"/>
      <c r="R294" s="283"/>
      <c r="S294" s="283"/>
      <c r="T294" s="283"/>
      <c r="U294" s="283"/>
      <c r="V294" s="283"/>
      <c r="W294" s="283"/>
      <c r="X294" s="283"/>
      <c r="Y294" s="283"/>
      <c r="Z294" s="283"/>
      <c r="AA294" s="283"/>
    </row>
    <row r="295" spans="1:27">
      <c r="A295" s="291">
        <v>294</v>
      </c>
      <c r="J295" s="283"/>
      <c r="K295" s="283"/>
      <c r="L295" s="283"/>
      <c r="M295" s="283"/>
      <c r="N295" s="283"/>
      <c r="O295" s="283"/>
      <c r="P295" s="283"/>
      <c r="Q295" s="283"/>
      <c r="R295" s="283"/>
      <c r="S295" s="283"/>
      <c r="T295" s="283"/>
      <c r="U295" s="283"/>
      <c r="V295" s="283"/>
      <c r="W295" s="283"/>
      <c r="X295" s="283"/>
      <c r="Y295" s="283"/>
      <c r="Z295" s="283"/>
      <c r="AA295" s="283"/>
    </row>
    <row r="296" spans="1:27">
      <c r="A296" s="291">
        <v>295</v>
      </c>
      <c r="J296" s="283"/>
      <c r="K296" s="283"/>
      <c r="L296" s="283"/>
      <c r="M296" s="283"/>
      <c r="N296" s="283"/>
      <c r="O296" s="283"/>
      <c r="P296" s="283"/>
      <c r="Q296" s="283"/>
      <c r="R296" s="283"/>
      <c r="S296" s="283"/>
      <c r="T296" s="283"/>
      <c r="U296" s="283"/>
      <c r="V296" s="283"/>
      <c r="W296" s="283"/>
      <c r="X296" s="283"/>
      <c r="Y296" s="283"/>
      <c r="Z296" s="283"/>
      <c r="AA296" s="283"/>
    </row>
    <row r="297" spans="1:27">
      <c r="A297" s="291">
        <v>296</v>
      </c>
      <c r="J297" s="283"/>
      <c r="K297" s="283"/>
      <c r="L297" s="283"/>
      <c r="M297" s="283"/>
      <c r="N297" s="283"/>
      <c r="O297" s="283"/>
      <c r="P297" s="283"/>
      <c r="Q297" s="283"/>
      <c r="R297" s="283"/>
      <c r="S297" s="283"/>
      <c r="T297" s="283"/>
      <c r="U297" s="283"/>
      <c r="V297" s="283"/>
      <c r="W297" s="283"/>
      <c r="X297" s="283"/>
      <c r="Y297" s="283"/>
      <c r="Z297" s="283"/>
      <c r="AA297" s="283"/>
    </row>
    <row r="298" spans="1:27">
      <c r="A298" s="291">
        <v>297</v>
      </c>
      <c r="J298" s="283"/>
      <c r="K298" s="283"/>
      <c r="L298" s="283"/>
      <c r="M298" s="283"/>
      <c r="N298" s="283"/>
      <c r="O298" s="283"/>
      <c r="P298" s="283"/>
      <c r="Q298" s="283"/>
      <c r="R298" s="283"/>
      <c r="S298" s="283"/>
      <c r="T298" s="283"/>
      <c r="U298" s="283"/>
      <c r="V298" s="283"/>
      <c r="W298" s="283"/>
      <c r="X298" s="283"/>
      <c r="Y298" s="283"/>
      <c r="Z298" s="283"/>
      <c r="AA298" s="283"/>
    </row>
    <row r="299" spans="1:27">
      <c r="A299" s="291">
        <v>298</v>
      </c>
      <c r="J299" s="283"/>
      <c r="K299" s="283"/>
      <c r="L299" s="283"/>
      <c r="M299" s="283"/>
      <c r="N299" s="283"/>
      <c r="O299" s="283"/>
      <c r="P299" s="283"/>
      <c r="Q299" s="283"/>
      <c r="R299" s="283"/>
      <c r="S299" s="283"/>
      <c r="T299" s="283"/>
      <c r="U299" s="283"/>
      <c r="V299" s="283"/>
      <c r="W299" s="283"/>
      <c r="X299" s="283"/>
      <c r="Y299" s="283"/>
      <c r="Z299" s="283"/>
      <c r="AA299" s="283"/>
    </row>
  </sheetData>
  <autoFilter xmlns:etc="http://www.wps.cn/officeDocument/2017/etCustomData" ref="A1:J505" etc:filterBottomFollowUsedRange="0">
    <extLst/>
  </autoFilter>
  <conditionalFormatting sqref="A155">
    <cfRule type="duplicateValues" dxfId="0" priority="1"/>
  </conditionalFormatting>
  <conditionalFormatting sqref="B155">
    <cfRule type="duplicateValues" dxfId="0" priority="3"/>
  </conditionalFormatting>
  <conditionalFormatting sqref="F155">
    <cfRule type="duplicateValues" dxfId="0" priority="2"/>
  </conditionalFormatting>
  <conditionalFormatting sqref="A1:A154;A156:A1048576">
    <cfRule type="duplicateValues" dxfId="0" priority="4"/>
  </conditionalFormatting>
  <conditionalFormatting sqref="B1:B154;B156:B1048576">
    <cfRule type="duplicateValues" dxfId="0" priority="6"/>
  </conditionalFormatting>
  <conditionalFormatting sqref="F1:F154;F156:F1048576">
    <cfRule type="duplicateValues" dxfId="0" priority="5"/>
  </conditionalFormatting>
  <pageMargins left="0.511811024" right="0.511811024" top="0.787401575" bottom="0.787401575" header="0.31496062" footer="0.31496062"/>
  <pageSetup paperSize="9" scale="48"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pageSetUpPr fitToPage="1"/>
  </sheetPr>
  <dimension ref="A1:K385"/>
  <sheetViews>
    <sheetView view="pageBreakPreview" zoomScaleNormal="100" workbookViewId="0">
      <selection activeCell="G8" sqref="G8"/>
    </sheetView>
  </sheetViews>
  <sheetFormatPr defaultColWidth="9" defaultRowHeight="12.75"/>
  <cols>
    <col min="1" max="1" width="8.21904761904762" style="80" customWidth="1"/>
    <col min="2" max="2" width="19.2190476190476" style="80" customWidth="1"/>
    <col min="3" max="3" width="51.1047619047619" style="80" customWidth="1"/>
    <col min="4" max="4" width="9.78095238095238" style="79" customWidth="1"/>
    <col min="5" max="5" width="10.4380952380952" style="79" customWidth="1"/>
    <col min="6" max="6" width="13.6666666666667" style="79" customWidth="1"/>
    <col min="7" max="7" width="14" style="79" customWidth="1"/>
    <col min="8" max="8" width="6.21904761904762" style="79" customWidth="1"/>
    <col min="9" max="9" width="7.88571428571429" style="79" customWidth="1"/>
    <col min="10" max="10" width="8.88571428571429" style="80"/>
    <col min="11" max="11" width="13.1047619047619" style="80" customWidth="1"/>
    <col min="12" max="16384" width="8.88571428571429" style="80"/>
  </cols>
  <sheetData>
    <row r="1" spans="1:11">
      <c r="A1" s="169" t="s">
        <v>115</v>
      </c>
      <c r="B1" s="245" t="s">
        <v>980</v>
      </c>
      <c r="C1" s="169" t="s">
        <v>27</v>
      </c>
      <c r="D1" s="82" t="s">
        <v>135</v>
      </c>
      <c r="E1" s="82" t="s">
        <v>981</v>
      </c>
      <c r="F1" s="82" t="s">
        <v>137</v>
      </c>
      <c r="G1" s="82" t="s">
        <v>982</v>
      </c>
      <c r="H1" s="82" t="s">
        <v>278</v>
      </c>
      <c r="I1" s="82" t="s">
        <v>983</v>
      </c>
      <c r="K1" s="282">
        <f>SUBTOTAL(9,G:G)</f>
        <v>4378195.1</v>
      </c>
    </row>
    <row r="2" ht="25.5" spans="1:11">
      <c r="A2" s="267" t="s">
        <v>984</v>
      </c>
      <c r="B2" s="268" t="s">
        <v>985</v>
      </c>
      <c r="C2" s="269" t="s">
        <v>986</v>
      </c>
      <c r="D2" s="91" t="s">
        <v>215</v>
      </c>
      <c r="E2" s="270">
        <v>50471.052609</v>
      </c>
      <c r="F2" s="270">
        <v>5.93</v>
      </c>
      <c r="G2" s="270">
        <f>ROUND(E2*F2,2)</f>
        <v>299293.34</v>
      </c>
      <c r="H2" s="271">
        <f>G2/$K$1</f>
        <v>0.0683599824046215</v>
      </c>
      <c r="I2" s="272">
        <f>H2</f>
        <v>0.0683599824046215</v>
      </c>
    </row>
    <row r="3" ht="51" spans="1:11">
      <c r="A3" s="267" t="s">
        <v>987</v>
      </c>
      <c r="B3" s="268" t="s">
        <v>988</v>
      </c>
      <c r="C3" s="269" t="s">
        <v>644</v>
      </c>
      <c r="D3" s="91" t="s">
        <v>494</v>
      </c>
      <c r="E3" s="270">
        <v>26</v>
      </c>
      <c r="F3" s="270">
        <v>10683.14</v>
      </c>
      <c r="G3" s="270">
        <f t="shared" ref="G3:G66" si="0">ROUND(E3*F3,2)</f>
        <v>277761.64</v>
      </c>
      <c r="H3" s="271">
        <f t="shared" ref="H3:H66" si="1">G3/$K$1</f>
        <v>0.0634420425896507</v>
      </c>
      <c r="I3" s="272">
        <f>H3+I2</f>
        <v>0.131802024994272</v>
      </c>
    </row>
    <row r="4" ht="25.5" spans="1:11">
      <c r="A4" s="267" t="s">
        <v>989</v>
      </c>
      <c r="B4" s="268" t="s">
        <v>990</v>
      </c>
      <c r="C4" s="269" t="s">
        <v>991</v>
      </c>
      <c r="D4" s="91" t="s">
        <v>476</v>
      </c>
      <c r="E4" s="270">
        <v>2544.728691</v>
      </c>
      <c r="F4" s="270">
        <v>102.5</v>
      </c>
      <c r="G4" s="270">
        <f t="shared" si="0"/>
        <v>260834.69</v>
      </c>
      <c r="H4" s="271">
        <f t="shared" si="1"/>
        <v>0.0595758489611393</v>
      </c>
      <c r="I4" s="272">
        <f t="shared" ref="I4:I67" si="2">H4+I3</f>
        <v>0.191377873955412</v>
      </c>
    </row>
    <row r="5" spans="1:11">
      <c r="A5" s="267" t="s">
        <v>992</v>
      </c>
      <c r="B5" s="268" t="s">
        <v>993</v>
      </c>
      <c r="C5" s="269" t="s">
        <v>994</v>
      </c>
      <c r="D5" s="91" t="s">
        <v>839</v>
      </c>
      <c r="E5" s="270">
        <v>5431.063069</v>
      </c>
      <c r="F5" s="270">
        <v>21.83</v>
      </c>
      <c r="G5" s="270">
        <f t="shared" si="0"/>
        <v>118560.11</v>
      </c>
      <c r="H5" s="271">
        <f t="shared" si="1"/>
        <v>0.0270796771939195</v>
      </c>
      <c r="I5" s="272">
        <f t="shared" si="2"/>
        <v>0.218457551149331</v>
      </c>
    </row>
    <row r="6" spans="1:11">
      <c r="A6" s="267" t="s">
        <v>995</v>
      </c>
      <c r="B6" s="268" t="s">
        <v>996</v>
      </c>
      <c r="C6" s="269" t="s">
        <v>997</v>
      </c>
      <c r="D6" s="91" t="s">
        <v>598</v>
      </c>
      <c r="E6" s="270">
        <v>4.55004</v>
      </c>
      <c r="F6" s="270">
        <v>25988.71</v>
      </c>
      <c r="G6" s="270">
        <f t="shared" si="0"/>
        <v>118249.67</v>
      </c>
      <c r="H6" s="271">
        <f t="shared" si="1"/>
        <v>0.027008771262843</v>
      </c>
      <c r="I6" s="272">
        <f t="shared" si="2"/>
        <v>0.245466322412174</v>
      </c>
    </row>
    <row r="7" spans="1:11">
      <c r="A7" s="267" t="s">
        <v>998</v>
      </c>
      <c r="B7" s="268" t="s">
        <v>999</v>
      </c>
      <c r="C7" s="269" t="s">
        <v>1000</v>
      </c>
      <c r="D7" s="91" t="s">
        <v>839</v>
      </c>
      <c r="E7" s="270">
        <v>7218.679996</v>
      </c>
      <c r="F7" s="270">
        <v>15.46</v>
      </c>
      <c r="G7" s="270">
        <f t="shared" si="0"/>
        <v>111600.79</v>
      </c>
      <c r="H7" s="271">
        <f t="shared" si="1"/>
        <v>0.0254901363349477</v>
      </c>
      <c r="I7" s="272">
        <f t="shared" si="2"/>
        <v>0.270956458747122</v>
      </c>
    </row>
    <row r="8" ht="63.75" spans="1:11">
      <c r="A8" s="267" t="s">
        <v>1001</v>
      </c>
      <c r="B8" s="268" t="s">
        <v>1002</v>
      </c>
      <c r="C8" s="269" t="s">
        <v>1003</v>
      </c>
      <c r="D8" s="91" t="s">
        <v>494</v>
      </c>
      <c r="E8" s="270">
        <v>0.145129</v>
      </c>
      <c r="F8" s="270">
        <v>755977.34</v>
      </c>
      <c r="G8" s="270">
        <f t="shared" si="0"/>
        <v>109714.24</v>
      </c>
      <c r="H8" s="271">
        <f t="shared" si="1"/>
        <v>0.0250592395939596</v>
      </c>
      <c r="I8" s="272">
        <f t="shared" si="2"/>
        <v>0.296015698341081</v>
      </c>
    </row>
    <row r="9" ht="63.75" spans="1:11">
      <c r="A9" s="267" t="s">
        <v>1004</v>
      </c>
      <c r="B9" s="268" t="s">
        <v>1005</v>
      </c>
      <c r="C9" s="269" t="s">
        <v>615</v>
      </c>
      <c r="D9" s="91" t="s">
        <v>494</v>
      </c>
      <c r="E9" s="270">
        <v>4</v>
      </c>
      <c r="F9" s="270">
        <v>26426.23</v>
      </c>
      <c r="G9" s="270">
        <f t="shared" si="0"/>
        <v>105704.92</v>
      </c>
      <c r="H9" s="271">
        <f t="shared" si="1"/>
        <v>0.0241434923720051</v>
      </c>
      <c r="I9" s="272">
        <f t="shared" si="2"/>
        <v>0.320159190713086</v>
      </c>
    </row>
    <row r="10" ht="25.5" spans="1:11">
      <c r="A10" s="267" t="s">
        <v>1006</v>
      </c>
      <c r="B10" s="268" t="s">
        <v>1007</v>
      </c>
      <c r="C10" s="269" t="s">
        <v>1008</v>
      </c>
      <c r="D10" s="91" t="s">
        <v>839</v>
      </c>
      <c r="E10" s="270">
        <v>26156.316168</v>
      </c>
      <c r="F10" s="270">
        <v>3.95</v>
      </c>
      <c r="G10" s="270">
        <f t="shared" si="0"/>
        <v>103317.45</v>
      </c>
      <c r="H10" s="271">
        <f t="shared" si="1"/>
        <v>0.0235981831874052</v>
      </c>
      <c r="I10" s="272">
        <f t="shared" si="2"/>
        <v>0.343757373900492</v>
      </c>
    </row>
    <row r="11" ht="25.5" spans="1:11">
      <c r="A11" s="267" t="s">
        <v>1009</v>
      </c>
      <c r="B11" s="268" t="s">
        <v>1010</v>
      </c>
      <c r="C11" s="269" t="s">
        <v>1011</v>
      </c>
      <c r="D11" s="91" t="s">
        <v>476</v>
      </c>
      <c r="E11" s="270">
        <v>491.395343</v>
      </c>
      <c r="F11" s="270">
        <v>205</v>
      </c>
      <c r="G11" s="270">
        <f t="shared" si="0"/>
        <v>100736.05</v>
      </c>
      <c r="H11" s="271">
        <f t="shared" si="1"/>
        <v>0.0230085794943218</v>
      </c>
      <c r="I11" s="272">
        <f t="shared" si="2"/>
        <v>0.366765953394813</v>
      </c>
    </row>
    <row r="12" ht="63.75" spans="1:11">
      <c r="A12" s="267" t="s">
        <v>1012</v>
      </c>
      <c r="B12" s="268" t="s">
        <v>1013</v>
      </c>
      <c r="C12" s="269" t="s">
        <v>619</v>
      </c>
      <c r="D12" s="91" t="s">
        <v>494</v>
      </c>
      <c r="E12" s="270">
        <v>1</v>
      </c>
      <c r="F12" s="270">
        <v>97218</v>
      </c>
      <c r="G12" s="270">
        <f t="shared" si="0"/>
        <v>97218</v>
      </c>
      <c r="H12" s="271">
        <f t="shared" si="1"/>
        <v>0.0222050406113697</v>
      </c>
      <c r="I12" s="272">
        <f t="shared" si="2"/>
        <v>0.388970994006183</v>
      </c>
    </row>
    <row r="13" ht="63.75" spans="1:11">
      <c r="A13" s="267" t="s">
        <v>1014</v>
      </c>
      <c r="B13" s="268" t="s">
        <v>1015</v>
      </c>
      <c r="C13" s="269" t="s">
        <v>618</v>
      </c>
      <c r="D13" s="91" t="s">
        <v>494</v>
      </c>
      <c r="E13" s="270">
        <v>1</v>
      </c>
      <c r="F13" s="270">
        <v>97218</v>
      </c>
      <c r="G13" s="270">
        <f t="shared" si="0"/>
        <v>97218</v>
      </c>
      <c r="H13" s="271">
        <f t="shared" si="1"/>
        <v>0.0222050406113697</v>
      </c>
      <c r="I13" s="272">
        <f t="shared" si="2"/>
        <v>0.411176034617553</v>
      </c>
    </row>
    <row r="14" ht="51" spans="1:11">
      <c r="A14" s="267" t="s">
        <v>1016</v>
      </c>
      <c r="B14" s="268" t="s">
        <v>966</v>
      </c>
      <c r="C14" s="269" t="s">
        <v>967</v>
      </c>
      <c r="D14" s="91" t="s">
        <v>598</v>
      </c>
      <c r="E14" s="270">
        <v>81</v>
      </c>
      <c r="F14" s="270">
        <v>1171.87</v>
      </c>
      <c r="G14" s="270">
        <f t="shared" si="0"/>
        <v>94921.47</v>
      </c>
      <c r="H14" s="271">
        <f t="shared" si="1"/>
        <v>0.0216805025431599</v>
      </c>
      <c r="I14" s="272">
        <f t="shared" si="2"/>
        <v>0.432856537160713</v>
      </c>
    </row>
    <row r="15" ht="51" spans="1:11">
      <c r="A15" s="267" t="s">
        <v>1017</v>
      </c>
      <c r="B15" s="268" t="s">
        <v>1018</v>
      </c>
      <c r="C15" s="269" t="s">
        <v>602</v>
      </c>
      <c r="D15" s="91" t="s">
        <v>601</v>
      </c>
      <c r="E15" s="270">
        <v>5430.58</v>
      </c>
      <c r="F15" s="270">
        <v>17.13</v>
      </c>
      <c r="G15" s="270">
        <f t="shared" si="0"/>
        <v>93025.84</v>
      </c>
      <c r="H15" s="271">
        <f t="shared" si="1"/>
        <v>0.0212475318881975</v>
      </c>
      <c r="I15" s="272">
        <f t="shared" si="2"/>
        <v>0.45410406904891</v>
      </c>
    </row>
    <row r="16" spans="1:11">
      <c r="A16" s="267" t="s">
        <v>1019</v>
      </c>
      <c r="B16" s="268" t="s">
        <v>1020</v>
      </c>
      <c r="C16" s="269" t="s">
        <v>1021</v>
      </c>
      <c r="D16" s="91" t="s">
        <v>839</v>
      </c>
      <c r="E16" s="270">
        <v>6256.902659</v>
      </c>
      <c r="F16" s="270">
        <v>14.49</v>
      </c>
      <c r="G16" s="270">
        <f t="shared" si="0"/>
        <v>90662.52</v>
      </c>
      <c r="H16" s="271">
        <f t="shared" si="1"/>
        <v>0.0207077386752363</v>
      </c>
      <c r="I16" s="272">
        <f t="shared" si="2"/>
        <v>0.474811807724147</v>
      </c>
    </row>
    <row r="17" ht="25.5" spans="1:9">
      <c r="A17" s="267" t="s">
        <v>1022</v>
      </c>
      <c r="B17" s="268" t="s">
        <v>1023</v>
      </c>
      <c r="C17" s="269" t="s">
        <v>1024</v>
      </c>
      <c r="D17" s="91" t="s">
        <v>598</v>
      </c>
      <c r="E17" s="270">
        <v>9.12186</v>
      </c>
      <c r="F17" s="270">
        <v>8754.42</v>
      </c>
      <c r="G17" s="270">
        <f t="shared" si="0"/>
        <v>79856.59</v>
      </c>
      <c r="H17" s="271">
        <f t="shared" si="1"/>
        <v>0.0182396143104724</v>
      </c>
      <c r="I17" s="272">
        <f t="shared" si="2"/>
        <v>0.493051422034619</v>
      </c>
    </row>
    <row r="18" ht="63.75" spans="1:9">
      <c r="A18" s="267" t="s">
        <v>1025</v>
      </c>
      <c r="B18" s="268" t="s">
        <v>1026</v>
      </c>
      <c r="C18" s="269" t="s">
        <v>614</v>
      </c>
      <c r="D18" s="91" t="s">
        <v>494</v>
      </c>
      <c r="E18" s="270">
        <v>4</v>
      </c>
      <c r="F18" s="270">
        <v>18464.45</v>
      </c>
      <c r="G18" s="270">
        <f t="shared" si="0"/>
        <v>73857.8</v>
      </c>
      <c r="H18" s="271">
        <f t="shared" si="1"/>
        <v>0.0168694629437596</v>
      </c>
      <c r="I18" s="272">
        <f t="shared" si="2"/>
        <v>0.509920884978379</v>
      </c>
    </row>
    <row r="19" ht="51" spans="1:9">
      <c r="A19" s="267" t="s">
        <v>1027</v>
      </c>
      <c r="B19" s="268" t="s">
        <v>964</v>
      </c>
      <c r="C19" s="269" t="s">
        <v>965</v>
      </c>
      <c r="D19" s="91" t="s">
        <v>598</v>
      </c>
      <c r="E19" s="270">
        <v>45</v>
      </c>
      <c r="F19" s="270">
        <v>1500</v>
      </c>
      <c r="G19" s="270">
        <f t="shared" si="0"/>
        <v>67500</v>
      </c>
      <c r="H19" s="271">
        <f t="shared" si="1"/>
        <v>0.015417312033445</v>
      </c>
      <c r="I19" s="272">
        <f t="shared" si="2"/>
        <v>0.525338197011824</v>
      </c>
    </row>
    <row r="20" ht="51" spans="1:9">
      <c r="A20" s="267" t="s">
        <v>1028</v>
      </c>
      <c r="B20" s="268" t="s">
        <v>968</v>
      </c>
      <c r="C20" s="269" t="s">
        <v>969</v>
      </c>
      <c r="D20" s="91" t="s">
        <v>598</v>
      </c>
      <c r="E20" s="270">
        <v>36</v>
      </c>
      <c r="F20" s="270">
        <v>1875</v>
      </c>
      <c r="G20" s="270">
        <f t="shared" si="0"/>
        <v>67500</v>
      </c>
      <c r="H20" s="271">
        <f t="shared" si="1"/>
        <v>0.015417312033445</v>
      </c>
      <c r="I20" s="272">
        <f t="shared" si="2"/>
        <v>0.540755509045269</v>
      </c>
    </row>
    <row r="21" ht="409.5" spans="1:9">
      <c r="A21" s="267" t="s">
        <v>1029</v>
      </c>
      <c r="B21" s="268" t="s">
        <v>1030</v>
      </c>
      <c r="C21" s="269" t="s">
        <v>617</v>
      </c>
      <c r="D21" s="91" t="s">
        <v>494</v>
      </c>
      <c r="E21" s="270">
        <v>1</v>
      </c>
      <c r="F21" s="270">
        <v>66521</v>
      </c>
      <c r="G21" s="270">
        <f t="shared" si="0"/>
        <v>66521</v>
      </c>
      <c r="H21" s="271">
        <f t="shared" si="1"/>
        <v>0.0151937039078044</v>
      </c>
      <c r="I21" s="272">
        <f t="shared" si="2"/>
        <v>0.555949212953073</v>
      </c>
    </row>
    <row r="22" ht="51" spans="1:9">
      <c r="A22" s="267" t="s">
        <v>1031</v>
      </c>
      <c r="B22" s="268" t="s">
        <v>1032</v>
      </c>
      <c r="C22" s="269" t="s">
        <v>612</v>
      </c>
      <c r="D22" s="91" t="s">
        <v>494</v>
      </c>
      <c r="E22" s="270">
        <v>1</v>
      </c>
      <c r="F22" s="270">
        <v>63890</v>
      </c>
      <c r="G22" s="270">
        <f t="shared" si="0"/>
        <v>63890</v>
      </c>
      <c r="H22" s="271">
        <f t="shared" si="1"/>
        <v>0.0145927713454341</v>
      </c>
      <c r="I22" s="272">
        <f t="shared" si="2"/>
        <v>0.570541984298507</v>
      </c>
    </row>
    <row r="23" ht="38.25" spans="1:9">
      <c r="A23" s="267" t="s">
        <v>1033</v>
      </c>
      <c r="B23" s="268" t="s">
        <v>1034</v>
      </c>
      <c r="C23" s="269" t="s">
        <v>1035</v>
      </c>
      <c r="D23" s="91" t="s">
        <v>112</v>
      </c>
      <c r="E23" s="270">
        <v>2204.042678</v>
      </c>
      <c r="F23" s="270">
        <v>26.81</v>
      </c>
      <c r="G23" s="270">
        <f t="shared" si="0"/>
        <v>59090.38</v>
      </c>
      <c r="H23" s="271">
        <f t="shared" si="1"/>
        <v>0.0134965159501458</v>
      </c>
      <c r="I23" s="272">
        <f t="shared" si="2"/>
        <v>0.584038500248653</v>
      </c>
    </row>
    <row r="24" ht="89.25" spans="1:9">
      <c r="A24" s="267" t="s">
        <v>1036</v>
      </c>
      <c r="B24" s="268" t="s">
        <v>1037</v>
      </c>
      <c r="C24" s="269" t="s">
        <v>1038</v>
      </c>
      <c r="D24" s="91" t="s">
        <v>466</v>
      </c>
      <c r="E24" s="270">
        <v>341.9664</v>
      </c>
      <c r="F24" s="270">
        <v>167.85</v>
      </c>
      <c r="G24" s="270">
        <f t="shared" si="0"/>
        <v>57399.06</v>
      </c>
      <c r="H24" s="271">
        <f t="shared" si="1"/>
        <v>0.0131102106436509</v>
      </c>
      <c r="I24" s="272">
        <f t="shared" si="2"/>
        <v>0.597148710892304</v>
      </c>
    </row>
    <row r="25" ht="25.5" spans="1:9">
      <c r="A25" s="267" t="s">
        <v>1039</v>
      </c>
      <c r="B25" s="268" t="s">
        <v>1040</v>
      </c>
      <c r="C25" s="269" t="s">
        <v>1041</v>
      </c>
      <c r="D25" s="91" t="s">
        <v>476</v>
      </c>
      <c r="E25" s="270">
        <v>277.88482</v>
      </c>
      <c r="F25" s="270">
        <v>198.43</v>
      </c>
      <c r="G25" s="270">
        <f t="shared" si="0"/>
        <v>55140.68</v>
      </c>
      <c r="H25" s="271">
        <f t="shared" si="1"/>
        <v>0.0125943862117976</v>
      </c>
      <c r="I25" s="272">
        <f t="shared" si="2"/>
        <v>0.609743097104101</v>
      </c>
    </row>
    <row r="26" spans="1:9">
      <c r="A26" s="267" t="s">
        <v>1042</v>
      </c>
      <c r="B26" s="268" t="s">
        <v>996</v>
      </c>
      <c r="C26" s="269" t="s">
        <v>1043</v>
      </c>
      <c r="D26" s="91" t="s">
        <v>598</v>
      </c>
      <c r="E26" s="270">
        <v>8.03064</v>
      </c>
      <c r="F26" s="270">
        <v>6185.38</v>
      </c>
      <c r="G26" s="270">
        <f t="shared" si="0"/>
        <v>49672.56</v>
      </c>
      <c r="H26" s="271">
        <f t="shared" si="1"/>
        <v>0.0113454423262225</v>
      </c>
      <c r="I26" s="272">
        <f t="shared" si="2"/>
        <v>0.621088539430324</v>
      </c>
    </row>
    <row r="27" ht="38.25" spans="1:9">
      <c r="A27" s="267" t="s">
        <v>1044</v>
      </c>
      <c r="B27" s="268" t="s">
        <v>1002</v>
      </c>
      <c r="C27" s="269" t="s">
        <v>1045</v>
      </c>
      <c r="D27" s="91" t="s">
        <v>494</v>
      </c>
      <c r="E27" s="270">
        <v>0.20578</v>
      </c>
      <c r="F27" s="270">
        <v>237841.37</v>
      </c>
      <c r="G27" s="270">
        <f t="shared" si="0"/>
        <v>48943</v>
      </c>
      <c r="H27" s="271">
        <f t="shared" si="1"/>
        <v>0.0111788074496726</v>
      </c>
      <c r="I27" s="272">
        <f t="shared" si="2"/>
        <v>0.632267346879996</v>
      </c>
    </row>
    <row r="28" ht="51" spans="1:9">
      <c r="A28" s="267" t="s">
        <v>1046</v>
      </c>
      <c r="B28" s="268" t="s">
        <v>1047</v>
      </c>
      <c r="C28" s="269" t="s">
        <v>622</v>
      </c>
      <c r="D28" s="91" t="s">
        <v>494</v>
      </c>
      <c r="E28" s="270">
        <v>2</v>
      </c>
      <c r="F28" s="270">
        <v>19700</v>
      </c>
      <c r="G28" s="270">
        <f t="shared" si="0"/>
        <v>39400</v>
      </c>
      <c r="H28" s="271">
        <f t="shared" si="1"/>
        <v>0.00899914213507754</v>
      </c>
      <c r="I28" s="272">
        <f t="shared" si="2"/>
        <v>0.641266489015074</v>
      </c>
    </row>
    <row r="29" ht="25.5" spans="1:9">
      <c r="A29" s="267" t="s">
        <v>1048</v>
      </c>
      <c r="B29" s="268" t="s">
        <v>1007</v>
      </c>
      <c r="C29" s="269" t="s">
        <v>1049</v>
      </c>
      <c r="D29" s="91" t="s">
        <v>839</v>
      </c>
      <c r="E29" s="270">
        <v>26156.316172</v>
      </c>
      <c r="F29" s="270">
        <v>1.5</v>
      </c>
      <c r="G29" s="270">
        <f t="shared" si="0"/>
        <v>39234.47</v>
      </c>
      <c r="H29" s="271">
        <f t="shared" si="1"/>
        <v>0.00896133431787908</v>
      </c>
      <c r="I29" s="272">
        <f t="shared" si="2"/>
        <v>0.650227823332953</v>
      </c>
    </row>
    <row r="30" ht="25.5" spans="1:9">
      <c r="A30" s="267" t="s">
        <v>1050</v>
      </c>
      <c r="B30" s="268" t="s">
        <v>1007</v>
      </c>
      <c r="C30" s="269" t="s">
        <v>1051</v>
      </c>
      <c r="D30" s="91" t="s">
        <v>839</v>
      </c>
      <c r="E30" s="270">
        <v>26658.169067</v>
      </c>
      <c r="F30" s="270">
        <v>1.43</v>
      </c>
      <c r="G30" s="270">
        <f t="shared" si="0"/>
        <v>38121.18</v>
      </c>
      <c r="H30" s="271">
        <f t="shared" si="1"/>
        <v>0.00870705373545368</v>
      </c>
      <c r="I30" s="272">
        <f t="shared" si="2"/>
        <v>0.658934877068407</v>
      </c>
    </row>
    <row r="31" spans="1:9">
      <c r="A31" s="267" t="s">
        <v>1052</v>
      </c>
      <c r="B31" s="268" t="s">
        <v>1053</v>
      </c>
      <c r="C31" s="269" t="s">
        <v>1054</v>
      </c>
      <c r="D31" s="91" t="s">
        <v>839</v>
      </c>
      <c r="E31" s="270">
        <v>1653.71509</v>
      </c>
      <c r="F31" s="270">
        <v>22.67</v>
      </c>
      <c r="G31" s="270">
        <f t="shared" si="0"/>
        <v>37489.72</v>
      </c>
      <c r="H31" s="271">
        <f t="shared" si="1"/>
        <v>0.00856282535239236</v>
      </c>
      <c r="I31" s="272">
        <f t="shared" si="2"/>
        <v>0.667497702420799</v>
      </c>
    </row>
    <row r="32" spans="1:9">
      <c r="A32" s="267" t="s">
        <v>1055</v>
      </c>
      <c r="B32" s="268" t="s">
        <v>1056</v>
      </c>
      <c r="C32" s="269" t="s">
        <v>1057</v>
      </c>
      <c r="D32" s="91" t="s">
        <v>463</v>
      </c>
      <c r="E32" s="270">
        <v>3933.3183</v>
      </c>
      <c r="F32" s="270">
        <v>9.25</v>
      </c>
      <c r="G32" s="270">
        <f t="shared" si="0"/>
        <v>36383.19</v>
      </c>
      <c r="H32" s="271">
        <f t="shared" si="1"/>
        <v>0.00831008878521654</v>
      </c>
      <c r="I32" s="272">
        <f t="shared" si="2"/>
        <v>0.675807791206016</v>
      </c>
    </row>
    <row r="33" spans="1:9">
      <c r="A33" s="267" t="s">
        <v>1058</v>
      </c>
      <c r="B33" s="268" t="s">
        <v>996</v>
      </c>
      <c r="C33" s="269" t="s">
        <v>1059</v>
      </c>
      <c r="D33" s="91" t="s">
        <v>598</v>
      </c>
      <c r="E33" s="270">
        <v>9.14373</v>
      </c>
      <c r="F33" s="270">
        <v>3890.2</v>
      </c>
      <c r="G33" s="270">
        <f t="shared" si="0"/>
        <v>35570.94</v>
      </c>
      <c r="H33" s="271">
        <f t="shared" si="1"/>
        <v>0.00812456713041409</v>
      </c>
      <c r="I33" s="272">
        <f t="shared" si="2"/>
        <v>0.68393235833643</v>
      </c>
    </row>
    <row r="34" ht="38.25" spans="1:9">
      <c r="A34" s="267" t="s">
        <v>1060</v>
      </c>
      <c r="B34" s="268" t="s">
        <v>1061</v>
      </c>
      <c r="C34" s="269" t="s">
        <v>686</v>
      </c>
      <c r="D34" s="91" t="s">
        <v>494</v>
      </c>
      <c r="E34" s="270">
        <v>7</v>
      </c>
      <c r="F34" s="270">
        <v>5079.28</v>
      </c>
      <c r="G34" s="270">
        <f t="shared" si="0"/>
        <v>35554.96</v>
      </c>
      <c r="H34" s="271">
        <f t="shared" si="1"/>
        <v>0.00812091722454306</v>
      </c>
      <c r="I34" s="272">
        <f t="shared" si="2"/>
        <v>0.692053275560973</v>
      </c>
    </row>
    <row r="35" ht="51" spans="1:9">
      <c r="A35" s="267" t="s">
        <v>1062</v>
      </c>
      <c r="B35" s="268" t="s">
        <v>1063</v>
      </c>
      <c r="C35" s="269" t="s">
        <v>1064</v>
      </c>
      <c r="D35" s="91" t="s">
        <v>476</v>
      </c>
      <c r="E35" s="270">
        <v>65.7624</v>
      </c>
      <c r="F35" s="270">
        <v>539.62</v>
      </c>
      <c r="G35" s="270">
        <f t="shared" si="0"/>
        <v>35486.71</v>
      </c>
      <c r="H35" s="271">
        <f t="shared" si="1"/>
        <v>0.00810532860904257</v>
      </c>
      <c r="I35" s="272">
        <f t="shared" si="2"/>
        <v>0.700158604170015</v>
      </c>
    </row>
    <row r="36" spans="1:9">
      <c r="A36" s="267" t="s">
        <v>1065</v>
      </c>
      <c r="B36" s="268" t="s">
        <v>1066</v>
      </c>
      <c r="C36" s="269" t="s">
        <v>1067</v>
      </c>
      <c r="D36" s="91" t="s">
        <v>466</v>
      </c>
      <c r="E36" s="270">
        <v>2672.53</v>
      </c>
      <c r="F36" s="270">
        <v>12.85</v>
      </c>
      <c r="G36" s="270">
        <f t="shared" si="0"/>
        <v>34342.01</v>
      </c>
      <c r="H36" s="271">
        <f t="shared" si="1"/>
        <v>0.00784387383741762</v>
      </c>
      <c r="I36" s="272">
        <f t="shared" si="2"/>
        <v>0.708002478007433</v>
      </c>
    </row>
    <row r="37" ht="51" spans="1:9">
      <c r="A37" s="267" t="s">
        <v>1068</v>
      </c>
      <c r="B37" s="268" t="s">
        <v>1002</v>
      </c>
      <c r="C37" s="269" t="s">
        <v>1069</v>
      </c>
      <c r="D37" s="91" t="s">
        <v>494</v>
      </c>
      <c r="E37" s="270">
        <v>0.052512</v>
      </c>
      <c r="F37" s="270">
        <v>569580.71</v>
      </c>
      <c r="G37" s="270">
        <f t="shared" si="0"/>
        <v>29909.82</v>
      </c>
      <c r="H37" s="271">
        <f t="shared" si="1"/>
        <v>0.00683154115265444</v>
      </c>
      <c r="I37" s="272">
        <f t="shared" si="2"/>
        <v>0.714834019160087</v>
      </c>
    </row>
    <row r="38" spans="1:9">
      <c r="A38" s="267" t="s">
        <v>1070</v>
      </c>
      <c r="B38" s="268" t="s">
        <v>1023</v>
      </c>
      <c r="C38" s="269" t="s">
        <v>1071</v>
      </c>
      <c r="D38" s="91" t="s">
        <v>598</v>
      </c>
      <c r="E38" s="270">
        <v>9.12186</v>
      </c>
      <c r="F38" s="270">
        <v>3073.75</v>
      </c>
      <c r="G38" s="270">
        <f t="shared" si="0"/>
        <v>28038.32</v>
      </c>
      <c r="H38" s="271">
        <f t="shared" si="1"/>
        <v>0.00640408190123825</v>
      </c>
      <c r="I38" s="272">
        <f t="shared" si="2"/>
        <v>0.721238101061325</v>
      </c>
    </row>
    <row r="39" ht="51" spans="1:9">
      <c r="A39" s="267" t="s">
        <v>1072</v>
      </c>
      <c r="B39" s="268" t="s">
        <v>1073</v>
      </c>
      <c r="C39" s="269" t="s">
        <v>683</v>
      </c>
      <c r="D39" s="91" t="s">
        <v>494</v>
      </c>
      <c r="E39" s="270">
        <v>1</v>
      </c>
      <c r="F39" s="270">
        <v>27426.53</v>
      </c>
      <c r="G39" s="270">
        <f t="shared" si="0"/>
        <v>27426.53</v>
      </c>
      <c r="H39" s="271">
        <f t="shared" si="1"/>
        <v>0.00626434623710579</v>
      </c>
      <c r="I39" s="272">
        <f t="shared" si="2"/>
        <v>0.727502447298431</v>
      </c>
    </row>
    <row r="40" ht="38.25" spans="1:9">
      <c r="A40" s="267" t="s">
        <v>1074</v>
      </c>
      <c r="B40" s="268" t="s">
        <v>1075</v>
      </c>
      <c r="C40" s="269" t="s">
        <v>633</v>
      </c>
      <c r="D40" s="91" t="s">
        <v>494</v>
      </c>
      <c r="E40" s="270">
        <v>4</v>
      </c>
      <c r="F40" s="270">
        <v>6834.27</v>
      </c>
      <c r="G40" s="270">
        <f t="shared" si="0"/>
        <v>27337.08</v>
      </c>
      <c r="H40" s="271">
        <f t="shared" si="1"/>
        <v>0.00624391544360369</v>
      </c>
      <c r="I40" s="272">
        <f t="shared" si="2"/>
        <v>0.733746362742035</v>
      </c>
    </row>
    <row r="41" ht="51" spans="1:9">
      <c r="A41" s="267" t="s">
        <v>1076</v>
      </c>
      <c r="B41" s="268" t="s">
        <v>708</v>
      </c>
      <c r="C41" s="269" t="s">
        <v>709</v>
      </c>
      <c r="D41" s="91" t="s">
        <v>476</v>
      </c>
      <c r="E41" s="270">
        <v>49.7</v>
      </c>
      <c r="F41" s="270">
        <v>526.43</v>
      </c>
      <c r="G41" s="270">
        <f t="shared" si="0"/>
        <v>26163.57</v>
      </c>
      <c r="H41" s="271">
        <f t="shared" si="1"/>
        <v>0.00597588033479824</v>
      </c>
      <c r="I41" s="272">
        <f t="shared" si="2"/>
        <v>0.739722243076833</v>
      </c>
    </row>
    <row r="42" ht="38.25" spans="1:9">
      <c r="A42" s="267" t="s">
        <v>1077</v>
      </c>
      <c r="B42" s="268" t="s">
        <v>1078</v>
      </c>
      <c r="C42" s="269" t="s">
        <v>684</v>
      </c>
      <c r="D42" s="91" t="s">
        <v>494</v>
      </c>
      <c r="E42" s="270">
        <v>1</v>
      </c>
      <c r="F42" s="270">
        <v>25361.65</v>
      </c>
      <c r="G42" s="270">
        <f t="shared" si="0"/>
        <v>25361.65</v>
      </c>
      <c r="H42" s="271">
        <f t="shared" si="1"/>
        <v>0.00579271809974846</v>
      </c>
      <c r="I42" s="272">
        <f t="shared" si="2"/>
        <v>0.745514961176582</v>
      </c>
    </row>
    <row r="43" ht="38.25" spans="1:9">
      <c r="A43" s="267" t="s">
        <v>1079</v>
      </c>
      <c r="B43" s="268" t="s">
        <v>1080</v>
      </c>
      <c r="C43" s="269" t="s">
        <v>1081</v>
      </c>
      <c r="D43" s="91" t="s">
        <v>494</v>
      </c>
      <c r="E43" s="270">
        <v>0.024799</v>
      </c>
      <c r="F43" s="270">
        <v>961801.77</v>
      </c>
      <c r="G43" s="270">
        <f t="shared" si="0"/>
        <v>23851.72</v>
      </c>
      <c r="H43" s="271">
        <f t="shared" si="1"/>
        <v>0.00544784310776832</v>
      </c>
      <c r="I43" s="272">
        <f t="shared" si="2"/>
        <v>0.75096280428435</v>
      </c>
    </row>
    <row r="44" ht="25.5" spans="1:9">
      <c r="A44" s="267" t="s">
        <v>1082</v>
      </c>
      <c r="B44" s="268" t="s">
        <v>1083</v>
      </c>
      <c r="C44" s="269" t="s">
        <v>972</v>
      </c>
      <c r="D44" s="91" t="s">
        <v>973</v>
      </c>
      <c r="E44" s="270">
        <v>18</v>
      </c>
      <c r="F44" s="270">
        <v>1316.7</v>
      </c>
      <c r="G44" s="270">
        <f t="shared" si="0"/>
        <v>23700.6</v>
      </c>
      <c r="H44" s="271">
        <f t="shared" si="1"/>
        <v>0.00541332660118321</v>
      </c>
      <c r="I44" s="272">
        <f t="shared" si="2"/>
        <v>0.756376130885533</v>
      </c>
    </row>
    <row r="45" spans="1:9">
      <c r="A45" s="267" t="s">
        <v>1084</v>
      </c>
      <c r="B45" s="268" t="s">
        <v>1085</v>
      </c>
      <c r="C45" s="269" t="s">
        <v>1086</v>
      </c>
      <c r="D45" s="91" t="s">
        <v>598</v>
      </c>
      <c r="E45" s="270">
        <v>9.07821</v>
      </c>
      <c r="F45" s="270">
        <v>2583.48</v>
      </c>
      <c r="G45" s="270">
        <f t="shared" si="0"/>
        <v>23453.37</v>
      </c>
      <c r="H45" s="271">
        <f t="shared" si="1"/>
        <v>0.00535685812630872</v>
      </c>
      <c r="I45" s="272">
        <f t="shared" si="2"/>
        <v>0.761732989011842</v>
      </c>
    </row>
    <row r="46" ht="51" spans="1:9">
      <c r="A46" s="267" t="s">
        <v>1087</v>
      </c>
      <c r="B46" s="268" t="s">
        <v>1088</v>
      </c>
      <c r="C46" s="269" t="s">
        <v>682</v>
      </c>
      <c r="D46" s="91" t="s">
        <v>494</v>
      </c>
      <c r="E46" s="270">
        <v>2</v>
      </c>
      <c r="F46" s="270">
        <v>11363.84</v>
      </c>
      <c r="G46" s="270">
        <f t="shared" si="0"/>
        <v>22727.68</v>
      </c>
      <c r="H46" s="271">
        <f t="shared" si="1"/>
        <v>0.00519110717564871</v>
      </c>
      <c r="I46" s="272">
        <f t="shared" si="2"/>
        <v>0.766924096187491</v>
      </c>
    </row>
    <row r="47" spans="1:9">
      <c r="A47" s="267" t="s">
        <v>1089</v>
      </c>
      <c r="B47" s="268" t="s">
        <v>1090</v>
      </c>
      <c r="C47" s="269" t="s">
        <v>1091</v>
      </c>
      <c r="D47" s="91" t="s">
        <v>839</v>
      </c>
      <c r="E47" s="270">
        <v>1037.944459</v>
      </c>
      <c r="F47" s="270">
        <v>21.83</v>
      </c>
      <c r="G47" s="270">
        <f t="shared" si="0"/>
        <v>22658.33</v>
      </c>
      <c r="H47" s="271">
        <f t="shared" si="1"/>
        <v>0.00517526731506323</v>
      </c>
      <c r="I47" s="272">
        <f t="shared" si="2"/>
        <v>0.772099363502554</v>
      </c>
    </row>
    <row r="48" ht="63.75" spans="1:9">
      <c r="A48" s="267" t="s">
        <v>1092</v>
      </c>
      <c r="B48" s="268" t="s">
        <v>1093</v>
      </c>
      <c r="C48" s="269" t="s">
        <v>616</v>
      </c>
      <c r="D48" s="91" t="s">
        <v>494</v>
      </c>
      <c r="E48" s="270">
        <v>1</v>
      </c>
      <c r="F48" s="270">
        <v>21761.28</v>
      </c>
      <c r="G48" s="270">
        <f t="shared" si="0"/>
        <v>21761.28</v>
      </c>
      <c r="H48" s="271">
        <f t="shared" si="1"/>
        <v>0.00497037694825432</v>
      </c>
      <c r="I48" s="272">
        <f t="shared" si="2"/>
        <v>0.777069740450808</v>
      </c>
    </row>
    <row r="49" spans="1:9">
      <c r="A49" s="267" t="s">
        <v>1094</v>
      </c>
      <c r="B49" s="268" t="s">
        <v>1020</v>
      </c>
      <c r="C49" s="269" t="s">
        <v>1095</v>
      </c>
      <c r="D49" s="91" t="s">
        <v>839</v>
      </c>
      <c r="E49" s="270">
        <v>1374.875323</v>
      </c>
      <c r="F49" s="270">
        <v>15.35</v>
      </c>
      <c r="G49" s="270">
        <f t="shared" si="0"/>
        <v>21104.34</v>
      </c>
      <c r="H49" s="271">
        <f t="shared" si="1"/>
        <v>0.00482032881540615</v>
      </c>
      <c r="I49" s="272">
        <f t="shared" si="2"/>
        <v>0.781890069266214</v>
      </c>
    </row>
    <row r="50" ht="38.25" spans="1:9">
      <c r="A50" s="267" t="s">
        <v>1096</v>
      </c>
      <c r="B50" s="268" t="s">
        <v>1097</v>
      </c>
      <c r="C50" s="269" t="s">
        <v>1098</v>
      </c>
      <c r="D50" s="91" t="s">
        <v>466</v>
      </c>
      <c r="E50" s="270">
        <v>418.922622</v>
      </c>
      <c r="F50" s="270">
        <v>50.19</v>
      </c>
      <c r="G50" s="270">
        <f t="shared" si="0"/>
        <v>21025.73</v>
      </c>
      <c r="H50" s="271">
        <f t="shared" si="1"/>
        <v>0.00480237392801431</v>
      </c>
      <c r="I50" s="272">
        <f t="shared" si="2"/>
        <v>0.786692443194229</v>
      </c>
    </row>
    <row r="51" ht="38.25" spans="1:9">
      <c r="A51" s="267" t="s">
        <v>1099</v>
      </c>
      <c r="B51" s="268" t="s">
        <v>714</v>
      </c>
      <c r="C51" s="269" t="s">
        <v>715</v>
      </c>
      <c r="D51" s="91" t="s">
        <v>466</v>
      </c>
      <c r="E51" s="270">
        <v>51</v>
      </c>
      <c r="F51" s="270">
        <v>400</v>
      </c>
      <c r="G51" s="270">
        <f t="shared" si="0"/>
        <v>20400</v>
      </c>
      <c r="H51" s="271">
        <f t="shared" si="1"/>
        <v>0.00465945430344116</v>
      </c>
      <c r="I51" s="272">
        <f t="shared" si="2"/>
        <v>0.79135189749767</v>
      </c>
    </row>
    <row r="52" ht="51" spans="1:9">
      <c r="A52" s="267" t="s">
        <v>1100</v>
      </c>
      <c r="B52" s="268" t="s">
        <v>1101</v>
      </c>
      <c r="C52" s="269" t="s">
        <v>643</v>
      </c>
      <c r="D52" s="91" t="s">
        <v>494</v>
      </c>
      <c r="E52" s="270">
        <v>1</v>
      </c>
      <c r="F52" s="270">
        <v>20262.94</v>
      </c>
      <c r="G52" s="270">
        <f t="shared" si="0"/>
        <v>20262.94</v>
      </c>
      <c r="H52" s="271">
        <f t="shared" si="1"/>
        <v>0.00462814916585147</v>
      </c>
      <c r="I52" s="272">
        <f t="shared" si="2"/>
        <v>0.795980046663521</v>
      </c>
    </row>
    <row r="53" ht="38.25" spans="1:9">
      <c r="A53" s="267" t="s">
        <v>1102</v>
      </c>
      <c r="B53" s="268" t="s">
        <v>1103</v>
      </c>
      <c r="C53" s="269" t="s">
        <v>1104</v>
      </c>
      <c r="D53" s="91" t="s">
        <v>494</v>
      </c>
      <c r="E53" s="270">
        <v>0.023206</v>
      </c>
      <c r="F53" s="270">
        <v>850000</v>
      </c>
      <c r="G53" s="270">
        <f t="shared" si="0"/>
        <v>19725.1</v>
      </c>
      <c r="H53" s="271">
        <f t="shared" si="1"/>
        <v>0.00450530402356898</v>
      </c>
      <c r="I53" s="272">
        <f t="shared" si="2"/>
        <v>0.80048535068709</v>
      </c>
    </row>
    <row r="54" ht="38.25" spans="1:9">
      <c r="A54" s="267" t="s">
        <v>1105</v>
      </c>
      <c r="B54" s="268" t="s">
        <v>1106</v>
      </c>
      <c r="C54" s="269" t="s">
        <v>685</v>
      </c>
      <c r="D54" s="91" t="s">
        <v>494</v>
      </c>
      <c r="E54" s="270">
        <v>1</v>
      </c>
      <c r="F54" s="270">
        <v>17923.43</v>
      </c>
      <c r="G54" s="270">
        <f t="shared" si="0"/>
        <v>17923.43</v>
      </c>
      <c r="H54" s="271">
        <f t="shared" si="1"/>
        <v>0.00409379426695718</v>
      </c>
      <c r="I54" s="272">
        <f t="shared" si="2"/>
        <v>0.804579144954048</v>
      </c>
    </row>
    <row r="55" spans="1:9">
      <c r="A55" s="267" t="s">
        <v>1107</v>
      </c>
      <c r="B55" s="268" t="s">
        <v>1108</v>
      </c>
      <c r="C55" s="269" t="s">
        <v>1109</v>
      </c>
      <c r="D55" s="91" t="s">
        <v>839</v>
      </c>
      <c r="E55" s="270">
        <v>811.015508</v>
      </c>
      <c r="F55" s="270">
        <v>21.83</v>
      </c>
      <c r="G55" s="270">
        <f t="shared" si="0"/>
        <v>17704.47</v>
      </c>
      <c r="H55" s="271">
        <f t="shared" si="1"/>
        <v>0.00404378279076691</v>
      </c>
      <c r="I55" s="272">
        <f t="shared" si="2"/>
        <v>0.808622927744814</v>
      </c>
    </row>
    <row r="56" ht="25.5" spans="1:9">
      <c r="A56" s="267" t="s">
        <v>1110</v>
      </c>
      <c r="B56" s="268" t="s">
        <v>1111</v>
      </c>
      <c r="C56" s="269" t="s">
        <v>1112</v>
      </c>
      <c r="D56" s="91" t="s">
        <v>839</v>
      </c>
      <c r="E56" s="270">
        <v>12632.44447</v>
      </c>
      <c r="F56" s="270">
        <v>1.39</v>
      </c>
      <c r="G56" s="270">
        <f t="shared" si="0"/>
        <v>17559.1</v>
      </c>
      <c r="H56" s="271">
        <f t="shared" si="1"/>
        <v>0.00401057961076244</v>
      </c>
      <c r="I56" s="272">
        <f t="shared" si="2"/>
        <v>0.812633507355577</v>
      </c>
    </row>
    <row r="57" ht="38.25" spans="1:9">
      <c r="A57" s="267" t="s">
        <v>1113</v>
      </c>
      <c r="B57" s="268" t="s">
        <v>1114</v>
      </c>
      <c r="C57" s="269" t="s">
        <v>1115</v>
      </c>
      <c r="D57" s="91" t="s">
        <v>494</v>
      </c>
      <c r="E57" s="270">
        <v>1</v>
      </c>
      <c r="F57" s="270">
        <v>16948.98</v>
      </c>
      <c r="G57" s="270">
        <f t="shared" si="0"/>
        <v>16948.98</v>
      </c>
      <c r="H57" s="271">
        <f t="shared" si="1"/>
        <v>0.00387122538234991</v>
      </c>
      <c r="I57" s="272">
        <f t="shared" si="2"/>
        <v>0.816504732737927</v>
      </c>
    </row>
    <row r="58" ht="38.25" spans="1:9">
      <c r="A58" s="267" t="s">
        <v>1116</v>
      </c>
      <c r="B58" s="268" t="s">
        <v>1117</v>
      </c>
      <c r="C58" s="269" t="s">
        <v>1118</v>
      </c>
      <c r="D58" s="91" t="s">
        <v>494</v>
      </c>
      <c r="E58" s="270">
        <v>6</v>
      </c>
      <c r="F58" s="270">
        <v>2658.58</v>
      </c>
      <c r="G58" s="270">
        <f t="shared" si="0"/>
        <v>15951.48</v>
      </c>
      <c r="H58" s="271">
        <f t="shared" si="1"/>
        <v>0.003643391771189</v>
      </c>
      <c r="I58" s="272">
        <f t="shared" si="2"/>
        <v>0.820148124509116</v>
      </c>
    </row>
    <row r="59" ht="25.5" spans="1:9">
      <c r="A59" s="267" t="s">
        <v>1119</v>
      </c>
      <c r="B59" s="268" t="s">
        <v>1120</v>
      </c>
      <c r="C59" s="269" t="s">
        <v>1121</v>
      </c>
      <c r="D59" s="91" t="s">
        <v>112</v>
      </c>
      <c r="E59" s="270">
        <v>1967.811825</v>
      </c>
      <c r="F59" s="270">
        <v>7.78</v>
      </c>
      <c r="G59" s="270">
        <f t="shared" si="0"/>
        <v>15309.58</v>
      </c>
      <c r="H59" s="271">
        <f t="shared" si="1"/>
        <v>0.00349677884386651</v>
      </c>
      <c r="I59" s="272">
        <f t="shared" si="2"/>
        <v>0.823644903352982</v>
      </c>
    </row>
    <row r="60" ht="25.5" spans="1:9">
      <c r="A60" s="267" t="s">
        <v>1122</v>
      </c>
      <c r="B60" s="268" t="s">
        <v>1123</v>
      </c>
      <c r="C60" s="269" t="s">
        <v>1124</v>
      </c>
      <c r="D60" s="91" t="s">
        <v>463</v>
      </c>
      <c r="E60" s="270">
        <v>1654.4</v>
      </c>
      <c r="F60" s="270">
        <v>9.17</v>
      </c>
      <c r="G60" s="270">
        <f t="shared" si="0"/>
        <v>15170.85</v>
      </c>
      <c r="H60" s="271">
        <f t="shared" si="1"/>
        <v>0.00346509227055688</v>
      </c>
      <c r="I60" s="272">
        <f t="shared" si="2"/>
        <v>0.827109995623539</v>
      </c>
    </row>
    <row r="61" ht="38.25" spans="1:9">
      <c r="A61" s="267" t="s">
        <v>1125</v>
      </c>
      <c r="B61" s="268" t="s">
        <v>1080</v>
      </c>
      <c r="C61" s="269" t="s">
        <v>1126</v>
      </c>
      <c r="D61" s="91" t="s">
        <v>494</v>
      </c>
      <c r="E61" s="270">
        <v>0.022391</v>
      </c>
      <c r="F61" s="270">
        <v>659269.78</v>
      </c>
      <c r="G61" s="270">
        <f t="shared" si="0"/>
        <v>14761.71</v>
      </c>
      <c r="H61" s="271">
        <f t="shared" si="1"/>
        <v>0.00337164280321816</v>
      </c>
      <c r="I61" s="272">
        <f t="shared" si="2"/>
        <v>0.830481638426757</v>
      </c>
    </row>
    <row r="62" ht="25.5" spans="1:9">
      <c r="A62" s="267" t="s">
        <v>1127</v>
      </c>
      <c r="B62" s="268" t="s">
        <v>1108</v>
      </c>
      <c r="C62" s="269" t="s">
        <v>1128</v>
      </c>
      <c r="D62" s="91" t="s">
        <v>839</v>
      </c>
      <c r="E62" s="270">
        <v>810.688709</v>
      </c>
      <c r="F62" s="270">
        <v>18</v>
      </c>
      <c r="G62" s="270">
        <f t="shared" si="0"/>
        <v>14592.4</v>
      </c>
      <c r="H62" s="271">
        <f t="shared" si="1"/>
        <v>0.00333297161654582</v>
      </c>
      <c r="I62" s="272">
        <f t="shared" si="2"/>
        <v>0.833814610043303</v>
      </c>
    </row>
    <row r="63" ht="38.25" spans="1:9">
      <c r="A63" s="267" t="s">
        <v>1129</v>
      </c>
      <c r="B63" s="268" t="s">
        <v>1130</v>
      </c>
      <c r="C63" s="269" t="s">
        <v>1131</v>
      </c>
      <c r="D63" s="91" t="s">
        <v>466</v>
      </c>
      <c r="E63" s="270">
        <v>516.298688</v>
      </c>
      <c r="F63" s="270">
        <v>27.68</v>
      </c>
      <c r="G63" s="270">
        <f t="shared" si="0"/>
        <v>14291.15</v>
      </c>
      <c r="H63" s="271">
        <f t="shared" si="1"/>
        <v>0.00326416472395212</v>
      </c>
      <c r="I63" s="272">
        <f t="shared" si="2"/>
        <v>0.837078774767255</v>
      </c>
    </row>
    <row r="64" ht="25.5" spans="1:9">
      <c r="A64" s="267" t="s">
        <v>1132</v>
      </c>
      <c r="B64" s="268" t="s">
        <v>1133</v>
      </c>
      <c r="C64" s="269" t="s">
        <v>1134</v>
      </c>
      <c r="D64" s="91" t="s">
        <v>598</v>
      </c>
      <c r="E64" s="270">
        <v>9.36</v>
      </c>
      <c r="F64" s="270">
        <v>1518</v>
      </c>
      <c r="G64" s="270">
        <f t="shared" si="0"/>
        <v>14208.48</v>
      </c>
      <c r="H64" s="271">
        <f t="shared" si="1"/>
        <v>0.00324528251379204</v>
      </c>
      <c r="I64" s="272">
        <f t="shared" si="2"/>
        <v>0.840324057281047</v>
      </c>
    </row>
    <row r="65" ht="76.5" spans="1:9">
      <c r="A65" s="267" t="s">
        <v>1135</v>
      </c>
      <c r="B65" s="268" t="s">
        <v>1136</v>
      </c>
      <c r="C65" s="269" t="s">
        <v>1137</v>
      </c>
      <c r="D65" s="91" t="s">
        <v>494</v>
      </c>
      <c r="E65" s="270">
        <v>0.030263</v>
      </c>
      <c r="F65" s="270">
        <v>466463.38</v>
      </c>
      <c r="G65" s="270">
        <f t="shared" si="0"/>
        <v>14116.58</v>
      </c>
      <c r="H65" s="271">
        <f t="shared" si="1"/>
        <v>0.00322429212896429</v>
      </c>
      <c r="I65" s="272">
        <f t="shared" si="2"/>
        <v>0.843548349410012</v>
      </c>
    </row>
    <row r="66" ht="51" spans="1:9">
      <c r="A66" s="267" t="s">
        <v>1138</v>
      </c>
      <c r="B66" s="268" t="s">
        <v>1139</v>
      </c>
      <c r="C66" s="269" t="s">
        <v>681</v>
      </c>
      <c r="D66" s="91" t="s">
        <v>494</v>
      </c>
      <c r="E66" s="270">
        <v>3</v>
      </c>
      <c r="F66" s="270">
        <v>4647.23</v>
      </c>
      <c r="G66" s="270">
        <f t="shared" si="0"/>
        <v>13941.69</v>
      </c>
      <c r="H66" s="271">
        <f t="shared" si="1"/>
        <v>0.00318434644449719</v>
      </c>
      <c r="I66" s="272">
        <f t="shared" si="2"/>
        <v>0.846732695854509</v>
      </c>
    </row>
    <row r="67" ht="38.25" spans="1:9">
      <c r="A67" s="267" t="s">
        <v>1140</v>
      </c>
      <c r="B67" s="268" t="s">
        <v>1141</v>
      </c>
      <c r="C67" s="269" t="s">
        <v>679</v>
      </c>
      <c r="D67" s="91" t="s">
        <v>494</v>
      </c>
      <c r="E67" s="270">
        <v>1</v>
      </c>
      <c r="F67" s="270">
        <v>13736.82</v>
      </c>
      <c r="G67" s="270">
        <f t="shared" ref="G67:G130" si="3">ROUND(E67*F67,2)</f>
        <v>13736.82</v>
      </c>
      <c r="H67" s="271">
        <f t="shared" ref="H67:H130" si="4">G67/$K$1</f>
        <v>0.00313755318944101</v>
      </c>
      <c r="I67" s="272">
        <f t="shared" si="2"/>
        <v>0.84987024904395</v>
      </c>
    </row>
    <row r="68" ht="25.5" spans="1:9">
      <c r="A68" s="267" t="s">
        <v>1142</v>
      </c>
      <c r="B68" s="268" t="s">
        <v>1143</v>
      </c>
      <c r="C68" s="269" t="s">
        <v>1144</v>
      </c>
      <c r="D68" s="91" t="s">
        <v>598</v>
      </c>
      <c r="E68" s="270">
        <v>48.5</v>
      </c>
      <c r="F68" s="270">
        <v>270.51</v>
      </c>
      <c r="G68" s="270">
        <f t="shared" si="3"/>
        <v>13119.74</v>
      </c>
      <c r="H68" s="271">
        <f t="shared" si="4"/>
        <v>0.00299660926485437</v>
      </c>
      <c r="I68" s="272">
        <f t="shared" ref="I68:I131" si="5">H68+I67</f>
        <v>0.852866858308804</v>
      </c>
    </row>
    <row r="69" ht="63.75" spans="1:9">
      <c r="A69" s="267" t="s">
        <v>1145</v>
      </c>
      <c r="B69" s="268" t="s">
        <v>1146</v>
      </c>
      <c r="C69" s="269" t="s">
        <v>727</v>
      </c>
      <c r="D69" s="91" t="s">
        <v>494</v>
      </c>
      <c r="E69" s="270">
        <v>1</v>
      </c>
      <c r="F69" s="270">
        <v>12658</v>
      </c>
      <c r="G69" s="270">
        <f t="shared" si="3"/>
        <v>12658</v>
      </c>
      <c r="H69" s="271">
        <f t="shared" si="4"/>
        <v>0.0028911457143607</v>
      </c>
      <c r="I69" s="272">
        <f t="shared" si="5"/>
        <v>0.855758004023165</v>
      </c>
    </row>
    <row r="70" ht="25.5" spans="1:9">
      <c r="A70" s="267" t="s">
        <v>1147</v>
      </c>
      <c r="B70" s="268" t="s">
        <v>1023</v>
      </c>
      <c r="C70" s="269" t="s">
        <v>1148</v>
      </c>
      <c r="D70" s="91" t="s">
        <v>839</v>
      </c>
      <c r="E70" s="270">
        <v>516.240222</v>
      </c>
      <c r="F70" s="270">
        <v>23.07</v>
      </c>
      <c r="G70" s="270">
        <f t="shared" si="3"/>
        <v>11909.66</v>
      </c>
      <c r="H70" s="271">
        <f t="shared" si="4"/>
        <v>0.00272022139899613</v>
      </c>
      <c r="I70" s="272">
        <f t="shared" si="5"/>
        <v>0.858478225422161</v>
      </c>
    </row>
    <row r="71" spans="1:9">
      <c r="A71" s="267" t="s">
        <v>1149</v>
      </c>
      <c r="B71" s="268" t="s">
        <v>1150</v>
      </c>
      <c r="C71" s="269" t="s">
        <v>1151</v>
      </c>
      <c r="D71" s="91" t="s">
        <v>839</v>
      </c>
      <c r="E71" s="270">
        <v>538.142049</v>
      </c>
      <c r="F71" s="270">
        <v>21.83</v>
      </c>
      <c r="G71" s="270">
        <f t="shared" si="3"/>
        <v>11747.64</v>
      </c>
      <c r="H71" s="271">
        <f t="shared" si="4"/>
        <v>0.00268321528202341</v>
      </c>
      <c r="I71" s="272">
        <f t="shared" si="5"/>
        <v>0.861161440704184</v>
      </c>
    </row>
    <row r="72" ht="51" spans="1:9">
      <c r="A72" s="267" t="s">
        <v>1152</v>
      </c>
      <c r="B72" s="268" t="s">
        <v>1153</v>
      </c>
      <c r="C72" s="269" t="s">
        <v>700</v>
      </c>
      <c r="D72" s="91" t="s">
        <v>494</v>
      </c>
      <c r="E72" s="270">
        <v>1</v>
      </c>
      <c r="F72" s="270">
        <v>11575.18</v>
      </c>
      <c r="G72" s="270">
        <f t="shared" si="3"/>
        <v>11575.18</v>
      </c>
      <c r="H72" s="271">
        <f t="shared" si="4"/>
        <v>0.00264382462078951</v>
      </c>
      <c r="I72" s="272">
        <f t="shared" si="5"/>
        <v>0.863805265324974</v>
      </c>
    </row>
    <row r="73" ht="38.25" spans="1:9">
      <c r="A73" s="267" t="s">
        <v>1154</v>
      </c>
      <c r="B73" s="268" t="s">
        <v>1155</v>
      </c>
      <c r="C73" s="269" t="s">
        <v>1156</v>
      </c>
      <c r="D73" s="91" t="s">
        <v>601</v>
      </c>
      <c r="E73" s="270">
        <v>17.142708</v>
      </c>
      <c r="F73" s="270">
        <v>660</v>
      </c>
      <c r="G73" s="270">
        <f t="shared" si="3"/>
        <v>11314.19</v>
      </c>
      <c r="H73" s="271">
        <f t="shared" si="4"/>
        <v>0.00258421329830642</v>
      </c>
      <c r="I73" s="272">
        <f t="shared" si="5"/>
        <v>0.86638947862328</v>
      </c>
    </row>
    <row r="74" ht="38.25" spans="1:9">
      <c r="A74" s="267" t="s">
        <v>1157</v>
      </c>
      <c r="B74" s="268" t="s">
        <v>1158</v>
      </c>
      <c r="C74" s="269" t="s">
        <v>1159</v>
      </c>
      <c r="D74" s="91" t="s">
        <v>463</v>
      </c>
      <c r="E74" s="270">
        <v>1292.9672</v>
      </c>
      <c r="F74" s="270">
        <v>8.66</v>
      </c>
      <c r="G74" s="270">
        <f t="shared" si="3"/>
        <v>11197.1</v>
      </c>
      <c r="H74" s="271">
        <f t="shared" si="4"/>
        <v>0.0025574694010324</v>
      </c>
      <c r="I74" s="272">
        <f t="shared" si="5"/>
        <v>0.868946948024312</v>
      </c>
    </row>
    <row r="75" ht="51" spans="1:9">
      <c r="A75" s="267" t="s">
        <v>1160</v>
      </c>
      <c r="B75" s="268" t="s">
        <v>1161</v>
      </c>
      <c r="C75" s="269" t="s">
        <v>648</v>
      </c>
      <c r="D75" s="91" t="s">
        <v>494</v>
      </c>
      <c r="E75" s="270">
        <v>1</v>
      </c>
      <c r="F75" s="270">
        <v>10737.3</v>
      </c>
      <c r="G75" s="270">
        <f t="shared" si="3"/>
        <v>10737.3</v>
      </c>
      <c r="H75" s="271">
        <f t="shared" si="4"/>
        <v>0.0024524489555068</v>
      </c>
      <c r="I75" s="272">
        <f t="shared" si="5"/>
        <v>0.871399396979819</v>
      </c>
    </row>
    <row r="76" ht="25.5" spans="1:9">
      <c r="A76" s="267" t="s">
        <v>1162</v>
      </c>
      <c r="B76" s="268" t="s">
        <v>1163</v>
      </c>
      <c r="C76" s="269" t="s">
        <v>1164</v>
      </c>
      <c r="D76" s="91" t="s">
        <v>112</v>
      </c>
      <c r="E76" s="270">
        <v>797.266637</v>
      </c>
      <c r="F76" s="270">
        <v>12.9</v>
      </c>
      <c r="G76" s="270">
        <f t="shared" si="3"/>
        <v>10284.74</v>
      </c>
      <c r="H76" s="271">
        <f t="shared" si="4"/>
        <v>0.00234908215944968</v>
      </c>
      <c r="I76" s="272">
        <f t="shared" si="5"/>
        <v>0.873748479139269</v>
      </c>
    </row>
    <row r="77" ht="38.25" spans="1:9">
      <c r="A77" s="267" t="s">
        <v>1165</v>
      </c>
      <c r="B77" s="268" t="s">
        <v>703</v>
      </c>
      <c r="C77" s="269" t="s">
        <v>1166</v>
      </c>
      <c r="D77" s="91" t="s">
        <v>112</v>
      </c>
      <c r="E77" s="270">
        <v>14.55</v>
      </c>
      <c r="F77" s="270">
        <v>700</v>
      </c>
      <c r="G77" s="270">
        <f t="shared" si="3"/>
        <v>10185</v>
      </c>
      <c r="H77" s="271">
        <f t="shared" si="4"/>
        <v>0.00232630108237982</v>
      </c>
      <c r="I77" s="272">
        <f t="shared" si="5"/>
        <v>0.876074780221649</v>
      </c>
    </row>
    <row r="78" ht="51" spans="1:9">
      <c r="A78" s="267" t="s">
        <v>1167</v>
      </c>
      <c r="B78" s="268" t="s">
        <v>1168</v>
      </c>
      <c r="C78" s="269" t="s">
        <v>641</v>
      </c>
      <c r="D78" s="91" t="s">
        <v>494</v>
      </c>
      <c r="E78" s="270">
        <v>2</v>
      </c>
      <c r="F78" s="270">
        <v>5083.3</v>
      </c>
      <c r="G78" s="270">
        <f t="shared" si="3"/>
        <v>10166.6</v>
      </c>
      <c r="H78" s="271">
        <f t="shared" si="4"/>
        <v>0.00232209843732181</v>
      </c>
      <c r="I78" s="272">
        <f t="shared" si="5"/>
        <v>0.878396878658971</v>
      </c>
    </row>
    <row r="79" ht="38.25" spans="1:9">
      <c r="A79" s="267" t="s">
        <v>1169</v>
      </c>
      <c r="B79" s="268" t="s">
        <v>1170</v>
      </c>
      <c r="C79" s="269" t="s">
        <v>1171</v>
      </c>
      <c r="D79" s="91" t="s">
        <v>466</v>
      </c>
      <c r="E79" s="270">
        <v>25</v>
      </c>
      <c r="F79" s="270">
        <v>400</v>
      </c>
      <c r="G79" s="270">
        <f t="shared" si="3"/>
        <v>10000</v>
      </c>
      <c r="H79" s="271">
        <f t="shared" si="4"/>
        <v>0.00228404622717704</v>
      </c>
      <c r="I79" s="272">
        <f t="shared" si="5"/>
        <v>0.880680924886148</v>
      </c>
    </row>
    <row r="80" ht="63.75" spans="1:9">
      <c r="A80" s="267" t="s">
        <v>1172</v>
      </c>
      <c r="B80" s="268" t="s">
        <v>1173</v>
      </c>
      <c r="C80" s="269" t="s">
        <v>701</v>
      </c>
      <c r="D80" s="91" t="s">
        <v>494</v>
      </c>
      <c r="E80" s="270">
        <v>1</v>
      </c>
      <c r="F80" s="270">
        <v>9888</v>
      </c>
      <c r="G80" s="270">
        <f t="shared" si="3"/>
        <v>9888</v>
      </c>
      <c r="H80" s="271">
        <f t="shared" si="4"/>
        <v>0.00225846490943266</v>
      </c>
      <c r="I80" s="272">
        <f t="shared" si="5"/>
        <v>0.88293938979558</v>
      </c>
    </row>
    <row r="81" ht="25.5" spans="1:9">
      <c r="A81" s="267" t="s">
        <v>1174</v>
      </c>
      <c r="B81" s="268" t="s">
        <v>1111</v>
      </c>
      <c r="C81" s="269" t="s">
        <v>1175</v>
      </c>
      <c r="D81" s="91" t="s">
        <v>839</v>
      </c>
      <c r="E81" s="270">
        <v>6787.651145</v>
      </c>
      <c r="F81" s="270">
        <v>1.43</v>
      </c>
      <c r="G81" s="270">
        <f t="shared" si="3"/>
        <v>9706.34</v>
      </c>
      <c r="H81" s="271">
        <f t="shared" si="4"/>
        <v>0.00221697292566976</v>
      </c>
      <c r="I81" s="272">
        <f t="shared" si="5"/>
        <v>0.88515636272125</v>
      </c>
    </row>
    <row r="82" ht="51" spans="1:9">
      <c r="A82" s="267" t="s">
        <v>1176</v>
      </c>
      <c r="B82" s="268" t="s">
        <v>1177</v>
      </c>
      <c r="C82" s="269" t="s">
        <v>687</v>
      </c>
      <c r="D82" s="91" t="s">
        <v>494</v>
      </c>
      <c r="E82" s="270">
        <v>7</v>
      </c>
      <c r="F82" s="270">
        <v>1356.4</v>
      </c>
      <c r="G82" s="270">
        <f t="shared" si="3"/>
        <v>9494.8</v>
      </c>
      <c r="H82" s="271">
        <f t="shared" si="4"/>
        <v>0.00216865621178006</v>
      </c>
      <c r="I82" s="272">
        <f t="shared" si="5"/>
        <v>0.88732501893303</v>
      </c>
    </row>
    <row r="83" ht="51" spans="1:9">
      <c r="A83" s="267" t="s">
        <v>1178</v>
      </c>
      <c r="B83" s="268" t="s">
        <v>1179</v>
      </c>
      <c r="C83" s="269" t="s">
        <v>659</v>
      </c>
      <c r="D83" s="91" t="s">
        <v>494</v>
      </c>
      <c r="E83" s="270">
        <v>26</v>
      </c>
      <c r="F83" s="270">
        <v>351.51</v>
      </c>
      <c r="G83" s="270">
        <f t="shared" si="3"/>
        <v>9139.26</v>
      </c>
      <c r="H83" s="271">
        <f t="shared" si="4"/>
        <v>0.002087449232219</v>
      </c>
      <c r="I83" s="272">
        <f t="shared" si="5"/>
        <v>0.889412468165249</v>
      </c>
    </row>
    <row r="84" spans="1:9">
      <c r="A84" s="267" t="s">
        <v>1180</v>
      </c>
      <c r="B84" s="268" t="s">
        <v>1181</v>
      </c>
      <c r="C84" s="269" t="s">
        <v>1182</v>
      </c>
      <c r="D84" s="91" t="s">
        <v>463</v>
      </c>
      <c r="E84" s="270">
        <v>7089.153078</v>
      </c>
      <c r="F84" s="270">
        <v>1.28</v>
      </c>
      <c r="G84" s="270">
        <f t="shared" si="3"/>
        <v>9074.12</v>
      </c>
      <c r="H84" s="271">
        <f t="shared" si="4"/>
        <v>0.00207257095509517</v>
      </c>
      <c r="I84" s="272">
        <f t="shared" si="5"/>
        <v>0.891485039120344</v>
      </c>
    </row>
    <row r="85" ht="76.5" spans="1:9">
      <c r="A85" s="267" t="s">
        <v>1183</v>
      </c>
      <c r="B85" s="268" t="s">
        <v>1184</v>
      </c>
      <c r="C85" s="269" t="s">
        <v>649</v>
      </c>
      <c r="D85" s="91" t="s">
        <v>494</v>
      </c>
      <c r="E85" s="270">
        <v>2</v>
      </c>
      <c r="F85" s="270">
        <v>4262.89</v>
      </c>
      <c r="G85" s="270">
        <f t="shared" si="3"/>
        <v>8525.78</v>
      </c>
      <c r="H85" s="271">
        <f t="shared" si="4"/>
        <v>0.00194732756427415</v>
      </c>
      <c r="I85" s="272">
        <f t="shared" si="5"/>
        <v>0.893432366684619</v>
      </c>
    </row>
    <row r="86" ht="25.5" spans="1:9">
      <c r="A86" s="267" t="s">
        <v>1185</v>
      </c>
      <c r="B86" s="268" t="s">
        <v>1186</v>
      </c>
      <c r="C86" s="269" t="s">
        <v>1187</v>
      </c>
      <c r="D86" s="91" t="s">
        <v>112</v>
      </c>
      <c r="E86" s="270">
        <v>135.219</v>
      </c>
      <c r="F86" s="270">
        <v>62.02</v>
      </c>
      <c r="G86" s="270">
        <f t="shared" si="3"/>
        <v>8386.28</v>
      </c>
      <c r="H86" s="271">
        <f t="shared" si="4"/>
        <v>0.00191546511940503</v>
      </c>
      <c r="I86" s="272">
        <f t="shared" si="5"/>
        <v>0.895347831804024</v>
      </c>
    </row>
    <row r="87" ht="38.25" spans="1:9">
      <c r="A87" s="267" t="s">
        <v>1188</v>
      </c>
      <c r="B87" s="268" t="s">
        <v>1189</v>
      </c>
      <c r="C87" s="269" t="s">
        <v>666</v>
      </c>
      <c r="D87" s="91" t="s">
        <v>494</v>
      </c>
      <c r="E87" s="270">
        <v>1</v>
      </c>
      <c r="F87" s="270">
        <v>8232.82</v>
      </c>
      <c r="G87" s="270">
        <f t="shared" si="3"/>
        <v>8232.82</v>
      </c>
      <c r="H87" s="271">
        <f t="shared" si="4"/>
        <v>0.00188041414600277</v>
      </c>
      <c r="I87" s="272">
        <f t="shared" si="5"/>
        <v>0.897228245950026</v>
      </c>
    </row>
    <row r="88" ht="38.25" spans="1:9">
      <c r="A88" s="267" t="s">
        <v>1190</v>
      </c>
      <c r="B88" s="268" t="s">
        <v>1191</v>
      </c>
      <c r="C88" s="269" t="s">
        <v>698</v>
      </c>
      <c r="D88" s="91" t="s">
        <v>494</v>
      </c>
      <c r="E88" s="270">
        <v>3</v>
      </c>
      <c r="F88" s="270">
        <v>2719.37</v>
      </c>
      <c r="G88" s="270">
        <f t="shared" si="3"/>
        <v>8158.11</v>
      </c>
      <c r="H88" s="271">
        <f t="shared" si="4"/>
        <v>0.00186335003663953</v>
      </c>
      <c r="I88" s="272">
        <f t="shared" si="5"/>
        <v>0.899091595986666</v>
      </c>
    </row>
    <row r="89" ht="25.5" spans="1:9">
      <c r="A89" s="267" t="s">
        <v>1192</v>
      </c>
      <c r="B89" s="268" t="s">
        <v>1193</v>
      </c>
      <c r="C89" s="269" t="s">
        <v>1194</v>
      </c>
      <c r="D89" s="91" t="s">
        <v>112</v>
      </c>
      <c r="E89" s="270">
        <v>1431.48</v>
      </c>
      <c r="F89" s="270">
        <v>5.55</v>
      </c>
      <c r="G89" s="270">
        <f t="shared" si="3"/>
        <v>7944.71</v>
      </c>
      <c r="H89" s="271">
        <f t="shared" si="4"/>
        <v>0.00181460849015157</v>
      </c>
      <c r="I89" s="272">
        <f t="shared" si="5"/>
        <v>0.900906204476818</v>
      </c>
    </row>
    <row r="90" ht="25.5" spans="1:9">
      <c r="A90" s="267" t="s">
        <v>1195</v>
      </c>
      <c r="B90" s="268" t="s">
        <v>1111</v>
      </c>
      <c r="C90" s="269" t="s">
        <v>1196</v>
      </c>
      <c r="D90" s="91" t="s">
        <v>839</v>
      </c>
      <c r="E90" s="270">
        <v>12632.44447</v>
      </c>
      <c r="F90" s="270">
        <v>0.61</v>
      </c>
      <c r="G90" s="270">
        <f t="shared" si="3"/>
        <v>7705.79</v>
      </c>
      <c r="H90" s="271">
        <f t="shared" si="4"/>
        <v>0.00176003805769186</v>
      </c>
      <c r="I90" s="272">
        <f t="shared" si="5"/>
        <v>0.902666242534509</v>
      </c>
    </row>
    <row r="91" ht="38.25" spans="1:9">
      <c r="A91" s="267" t="s">
        <v>1197</v>
      </c>
      <c r="B91" s="268" t="s">
        <v>1198</v>
      </c>
      <c r="C91" s="269" t="s">
        <v>1199</v>
      </c>
      <c r="D91" s="91" t="s">
        <v>494</v>
      </c>
      <c r="E91" s="270">
        <v>3</v>
      </c>
      <c r="F91" s="270">
        <v>2551.46</v>
      </c>
      <c r="G91" s="270">
        <f t="shared" si="3"/>
        <v>7654.38</v>
      </c>
      <c r="H91" s="271">
        <f t="shared" si="4"/>
        <v>0.00174829577603794</v>
      </c>
      <c r="I91" s="272">
        <f t="shared" si="5"/>
        <v>0.904414538310547</v>
      </c>
    </row>
    <row r="92" ht="38.25" spans="1:9">
      <c r="A92" s="267" t="s">
        <v>1200</v>
      </c>
      <c r="B92" s="268" t="s">
        <v>1201</v>
      </c>
      <c r="C92" s="269" t="s">
        <v>692</v>
      </c>
      <c r="D92" s="91" t="s">
        <v>112</v>
      </c>
      <c r="E92" s="270">
        <v>3</v>
      </c>
      <c r="F92" s="270">
        <v>2367.44</v>
      </c>
      <c r="G92" s="270">
        <f t="shared" si="3"/>
        <v>7102.32</v>
      </c>
      <c r="H92" s="271">
        <f t="shared" si="4"/>
        <v>0.0016222027200204</v>
      </c>
      <c r="I92" s="272">
        <f t="shared" si="5"/>
        <v>0.906036741030568</v>
      </c>
    </row>
    <row r="93" ht="51" spans="1:9">
      <c r="A93" s="267" t="s">
        <v>1202</v>
      </c>
      <c r="B93" s="268" t="s">
        <v>1203</v>
      </c>
      <c r="C93" s="269" t="s">
        <v>1204</v>
      </c>
      <c r="D93" s="91" t="s">
        <v>466</v>
      </c>
      <c r="E93" s="270">
        <v>10</v>
      </c>
      <c r="F93" s="270">
        <v>707.93</v>
      </c>
      <c r="G93" s="270">
        <f t="shared" si="3"/>
        <v>7079.3</v>
      </c>
      <c r="H93" s="271">
        <f t="shared" si="4"/>
        <v>0.00161694484560544</v>
      </c>
      <c r="I93" s="272">
        <f t="shared" si="5"/>
        <v>0.907653685876173</v>
      </c>
    </row>
    <row r="94" ht="51" spans="1:9">
      <c r="A94" s="267" t="s">
        <v>1205</v>
      </c>
      <c r="B94" s="268" t="s">
        <v>1206</v>
      </c>
      <c r="C94" s="269" t="s">
        <v>670</v>
      </c>
      <c r="D94" s="91" t="s">
        <v>494</v>
      </c>
      <c r="E94" s="270">
        <v>1</v>
      </c>
      <c r="F94" s="270">
        <v>7053.62</v>
      </c>
      <c r="G94" s="270">
        <f t="shared" si="3"/>
        <v>7053.62</v>
      </c>
      <c r="H94" s="271">
        <f t="shared" si="4"/>
        <v>0.00161107941489405</v>
      </c>
      <c r="I94" s="272">
        <f t="shared" si="5"/>
        <v>0.909264765291067</v>
      </c>
    </row>
    <row r="95" ht="89.25" spans="1:9">
      <c r="A95" s="267" t="s">
        <v>1207</v>
      </c>
      <c r="B95" s="268" t="s">
        <v>1208</v>
      </c>
      <c r="C95" s="269" t="s">
        <v>663</v>
      </c>
      <c r="D95" s="91" t="s">
        <v>494</v>
      </c>
      <c r="E95" s="270">
        <v>320</v>
      </c>
      <c r="F95" s="270">
        <v>22</v>
      </c>
      <c r="G95" s="270">
        <f t="shared" si="3"/>
        <v>7040</v>
      </c>
      <c r="H95" s="271">
        <f t="shared" si="4"/>
        <v>0.00160796854393264</v>
      </c>
      <c r="I95" s="272">
        <f t="shared" si="5"/>
        <v>0.910872733835</v>
      </c>
    </row>
    <row r="96" ht="76.5" spans="1:9">
      <c r="A96" s="267" t="s">
        <v>1209</v>
      </c>
      <c r="B96" s="268" t="s">
        <v>1210</v>
      </c>
      <c r="C96" s="269" t="s">
        <v>1211</v>
      </c>
      <c r="D96" s="91" t="s">
        <v>494</v>
      </c>
      <c r="E96" s="270">
        <v>0.048034</v>
      </c>
      <c r="F96" s="270">
        <v>143450</v>
      </c>
      <c r="G96" s="270">
        <f t="shared" si="3"/>
        <v>6890.48</v>
      </c>
      <c r="H96" s="271">
        <f t="shared" si="4"/>
        <v>0.00157381748474388</v>
      </c>
      <c r="I96" s="272">
        <f t="shared" si="5"/>
        <v>0.912446551319744</v>
      </c>
    </row>
    <row r="97" ht="38.25" spans="1:9">
      <c r="A97" s="267" t="s">
        <v>1212</v>
      </c>
      <c r="B97" s="268" t="s">
        <v>1213</v>
      </c>
      <c r="C97" s="269" t="s">
        <v>678</v>
      </c>
      <c r="D97" s="91" t="s">
        <v>494</v>
      </c>
      <c r="E97" s="270">
        <v>1</v>
      </c>
      <c r="F97" s="270">
        <v>6750.22</v>
      </c>
      <c r="G97" s="270">
        <f t="shared" si="3"/>
        <v>6750.22</v>
      </c>
      <c r="H97" s="271">
        <f t="shared" si="4"/>
        <v>0.0015417814523615</v>
      </c>
      <c r="I97" s="272">
        <f t="shared" si="5"/>
        <v>0.913988332772105</v>
      </c>
    </row>
    <row r="98" ht="38.25" spans="1:9">
      <c r="A98" s="267" t="s">
        <v>1214</v>
      </c>
      <c r="B98" s="268" t="s">
        <v>712</v>
      </c>
      <c r="C98" s="269" t="s">
        <v>713</v>
      </c>
      <c r="D98" s="91" t="s">
        <v>112</v>
      </c>
      <c r="E98" s="270">
        <v>36</v>
      </c>
      <c r="F98" s="270">
        <v>186.1</v>
      </c>
      <c r="G98" s="270">
        <f t="shared" si="3"/>
        <v>6699.6</v>
      </c>
      <c r="H98" s="271">
        <f t="shared" si="4"/>
        <v>0.00153021961035953</v>
      </c>
      <c r="I98" s="272">
        <f t="shared" si="5"/>
        <v>0.915518552382465</v>
      </c>
    </row>
    <row r="99" ht="25.5" spans="1:9">
      <c r="A99" s="267" t="s">
        <v>1215</v>
      </c>
      <c r="B99" s="268" t="s">
        <v>1143</v>
      </c>
      <c r="C99" s="269" t="s">
        <v>1216</v>
      </c>
      <c r="D99" s="91" t="s">
        <v>598</v>
      </c>
      <c r="E99" s="270">
        <v>9</v>
      </c>
      <c r="F99" s="270">
        <v>744.3</v>
      </c>
      <c r="G99" s="270">
        <f t="shared" si="3"/>
        <v>6698.7</v>
      </c>
      <c r="H99" s="271">
        <f t="shared" si="4"/>
        <v>0.00153001404619908</v>
      </c>
      <c r="I99" s="272">
        <f t="shared" si="5"/>
        <v>0.917048566428664</v>
      </c>
    </row>
    <row r="100" ht="38.25" spans="1:9">
      <c r="A100" s="267" t="s">
        <v>1217</v>
      </c>
      <c r="B100" s="268" t="s">
        <v>1218</v>
      </c>
      <c r="C100" s="269" t="s">
        <v>699</v>
      </c>
      <c r="D100" s="91" t="s">
        <v>494</v>
      </c>
      <c r="E100" s="270">
        <v>1</v>
      </c>
      <c r="F100" s="270">
        <v>6678.99</v>
      </c>
      <c r="G100" s="270">
        <f t="shared" si="3"/>
        <v>6678.99</v>
      </c>
      <c r="H100" s="271">
        <f t="shared" si="4"/>
        <v>0.00152551219108532</v>
      </c>
      <c r="I100" s="272">
        <f t="shared" si="5"/>
        <v>0.918574078619749</v>
      </c>
    </row>
    <row r="101" ht="51" spans="1:9">
      <c r="A101" s="267" t="s">
        <v>1219</v>
      </c>
      <c r="B101" s="268" t="s">
        <v>1220</v>
      </c>
      <c r="C101" s="269" t="s">
        <v>675</v>
      </c>
      <c r="D101" s="91" t="s">
        <v>494</v>
      </c>
      <c r="E101" s="270">
        <v>2</v>
      </c>
      <c r="F101" s="270">
        <v>3325.54</v>
      </c>
      <c r="G101" s="270">
        <f t="shared" si="3"/>
        <v>6651.08</v>
      </c>
      <c r="H101" s="271">
        <f t="shared" si="4"/>
        <v>0.00151913741806527</v>
      </c>
      <c r="I101" s="272">
        <f t="shared" si="5"/>
        <v>0.920093216037815</v>
      </c>
    </row>
    <row r="102" ht="38.25" spans="1:9">
      <c r="A102" s="267" t="s">
        <v>1221</v>
      </c>
      <c r="B102" s="268" t="s">
        <v>1222</v>
      </c>
      <c r="C102" s="269" t="s">
        <v>1223</v>
      </c>
      <c r="D102" s="91" t="s">
        <v>112</v>
      </c>
      <c r="E102" s="270">
        <v>642.596406</v>
      </c>
      <c r="F102" s="270">
        <v>10.2</v>
      </c>
      <c r="G102" s="270">
        <f t="shared" si="3"/>
        <v>6554.48</v>
      </c>
      <c r="H102" s="271">
        <f t="shared" si="4"/>
        <v>0.00149707353151074</v>
      </c>
      <c r="I102" s="272">
        <f t="shared" si="5"/>
        <v>0.921590289569325</v>
      </c>
    </row>
    <row r="103" ht="51" spans="1:9">
      <c r="A103" s="267" t="s">
        <v>1224</v>
      </c>
      <c r="B103" s="268" t="s">
        <v>1225</v>
      </c>
      <c r="C103" s="269" t="s">
        <v>630</v>
      </c>
      <c r="D103" s="91" t="s">
        <v>494</v>
      </c>
      <c r="E103" s="270">
        <v>2</v>
      </c>
      <c r="F103" s="270">
        <v>3251</v>
      </c>
      <c r="G103" s="270">
        <f t="shared" si="3"/>
        <v>6502</v>
      </c>
      <c r="H103" s="271">
        <f t="shared" si="4"/>
        <v>0.00148508685691051</v>
      </c>
      <c r="I103" s="272">
        <f t="shared" si="5"/>
        <v>0.923075376426236</v>
      </c>
    </row>
    <row r="104" ht="63.75" spans="1:9">
      <c r="A104" s="267" t="s">
        <v>1226</v>
      </c>
      <c r="B104" s="268" t="s">
        <v>710</v>
      </c>
      <c r="C104" s="269" t="s">
        <v>711</v>
      </c>
      <c r="D104" s="91" t="s">
        <v>494</v>
      </c>
      <c r="E104" s="270">
        <v>1</v>
      </c>
      <c r="F104" s="270">
        <v>6449.46</v>
      </c>
      <c r="G104" s="270">
        <f t="shared" si="3"/>
        <v>6449.46</v>
      </c>
      <c r="H104" s="271">
        <f t="shared" si="4"/>
        <v>0.00147308647803292</v>
      </c>
      <c r="I104" s="272">
        <f t="shared" si="5"/>
        <v>0.924548462904269</v>
      </c>
    </row>
    <row r="105" spans="1:9">
      <c r="A105" s="267" t="s">
        <v>1227</v>
      </c>
      <c r="B105" s="268" t="s">
        <v>985</v>
      </c>
      <c r="C105" s="269" t="s">
        <v>1228</v>
      </c>
      <c r="D105" s="91" t="s">
        <v>215</v>
      </c>
      <c r="E105" s="270">
        <v>1058.426495</v>
      </c>
      <c r="F105" s="270">
        <v>5.96</v>
      </c>
      <c r="G105" s="270">
        <f t="shared" si="3"/>
        <v>6308.22</v>
      </c>
      <c r="H105" s="271">
        <f t="shared" si="4"/>
        <v>0.00144082660912027</v>
      </c>
      <c r="I105" s="272">
        <f t="shared" si="5"/>
        <v>0.925989289513389</v>
      </c>
    </row>
    <row r="106" ht="38.25" spans="1:9">
      <c r="A106" s="267" t="s">
        <v>1229</v>
      </c>
      <c r="B106" s="268" t="s">
        <v>1111</v>
      </c>
      <c r="C106" s="269" t="s">
        <v>1230</v>
      </c>
      <c r="D106" s="91" t="s">
        <v>494</v>
      </c>
      <c r="E106" s="270">
        <v>6</v>
      </c>
      <c r="F106" s="270">
        <v>993.71</v>
      </c>
      <c r="G106" s="270">
        <f t="shared" si="3"/>
        <v>5962.26</v>
      </c>
      <c r="H106" s="271">
        <f t="shared" si="4"/>
        <v>0.00136180774584486</v>
      </c>
      <c r="I106" s="272">
        <f t="shared" si="5"/>
        <v>0.927351097259234</v>
      </c>
    </row>
    <row r="107" ht="51" spans="1:9">
      <c r="A107" s="267" t="s">
        <v>1231</v>
      </c>
      <c r="B107" s="268" t="s">
        <v>1232</v>
      </c>
      <c r="C107" s="269" t="s">
        <v>640</v>
      </c>
      <c r="D107" s="91" t="s">
        <v>494</v>
      </c>
      <c r="E107" s="270">
        <v>2</v>
      </c>
      <c r="F107" s="270">
        <v>2963.84</v>
      </c>
      <c r="G107" s="270">
        <f t="shared" si="3"/>
        <v>5927.68</v>
      </c>
      <c r="H107" s="271">
        <f t="shared" si="4"/>
        <v>0.00135390951399128</v>
      </c>
      <c r="I107" s="272">
        <f t="shared" si="5"/>
        <v>0.928705006773225</v>
      </c>
    </row>
    <row r="108" ht="51" spans="1:9">
      <c r="A108" s="267" t="s">
        <v>1233</v>
      </c>
      <c r="B108" s="268" t="s">
        <v>1234</v>
      </c>
      <c r="C108" s="269" t="s">
        <v>656</v>
      </c>
      <c r="D108" s="91" t="s">
        <v>494</v>
      </c>
      <c r="E108" s="270">
        <v>7</v>
      </c>
      <c r="F108" s="270">
        <v>838.36</v>
      </c>
      <c r="G108" s="270">
        <f t="shared" si="3"/>
        <v>5868.52</v>
      </c>
      <c r="H108" s="271">
        <f t="shared" si="4"/>
        <v>0.0013403970965113</v>
      </c>
      <c r="I108" s="272">
        <f t="shared" si="5"/>
        <v>0.930045403869736</v>
      </c>
    </row>
    <row r="109" ht="63.75" spans="1:9">
      <c r="A109" s="267" t="s">
        <v>1235</v>
      </c>
      <c r="B109" s="268" t="s">
        <v>1236</v>
      </c>
      <c r="C109" s="269" t="s">
        <v>620</v>
      </c>
      <c r="D109" s="91" t="s">
        <v>494</v>
      </c>
      <c r="E109" s="270">
        <v>2</v>
      </c>
      <c r="F109" s="270">
        <v>2915.87</v>
      </c>
      <c r="G109" s="270">
        <f t="shared" si="3"/>
        <v>5831.74</v>
      </c>
      <c r="H109" s="271">
        <f t="shared" si="4"/>
        <v>0.00133199637448774</v>
      </c>
      <c r="I109" s="272">
        <f t="shared" si="5"/>
        <v>0.931377400244224</v>
      </c>
    </row>
    <row r="110" spans="1:9">
      <c r="A110" s="267" t="s">
        <v>1237</v>
      </c>
      <c r="B110" s="268" t="s">
        <v>1238</v>
      </c>
      <c r="C110" s="269" t="s">
        <v>976</v>
      </c>
      <c r="D110" s="91" t="s">
        <v>494</v>
      </c>
      <c r="E110" s="270">
        <v>0.045432</v>
      </c>
      <c r="F110" s="270">
        <v>121718.91</v>
      </c>
      <c r="G110" s="270">
        <f t="shared" si="3"/>
        <v>5529.93</v>
      </c>
      <c r="H110" s="271">
        <f t="shared" si="4"/>
        <v>0.00126306157530531</v>
      </c>
      <c r="I110" s="272">
        <f t="shared" si="5"/>
        <v>0.93264046181953</v>
      </c>
    </row>
    <row r="111" ht="38.25" spans="1:9">
      <c r="A111" s="267" t="s">
        <v>1239</v>
      </c>
      <c r="B111" s="268" t="s">
        <v>1240</v>
      </c>
      <c r="C111" s="269" t="s">
        <v>623</v>
      </c>
      <c r="D111" s="91" t="s">
        <v>494</v>
      </c>
      <c r="E111" s="270">
        <v>4</v>
      </c>
      <c r="F111" s="270">
        <v>1379.03</v>
      </c>
      <c r="G111" s="270">
        <f t="shared" si="3"/>
        <v>5516.12</v>
      </c>
      <c r="H111" s="271">
        <f t="shared" si="4"/>
        <v>0.00125990730746558</v>
      </c>
      <c r="I111" s="272">
        <f t="shared" si="5"/>
        <v>0.933900369126995</v>
      </c>
    </row>
    <row r="112" ht="38.25" spans="1:9">
      <c r="A112" s="267" t="s">
        <v>1241</v>
      </c>
      <c r="B112" s="268" t="s">
        <v>1242</v>
      </c>
      <c r="C112" s="269" t="s">
        <v>1243</v>
      </c>
      <c r="D112" s="91" t="s">
        <v>494</v>
      </c>
      <c r="E112" s="270">
        <v>1</v>
      </c>
      <c r="F112" s="270">
        <v>5413.04</v>
      </c>
      <c r="G112" s="270">
        <f t="shared" si="3"/>
        <v>5413.04</v>
      </c>
      <c r="H112" s="271">
        <f t="shared" si="4"/>
        <v>0.00123636335895584</v>
      </c>
      <c r="I112" s="272">
        <f t="shared" si="5"/>
        <v>0.935136732485951</v>
      </c>
    </row>
    <row r="113" ht="63.75" spans="1:9">
      <c r="A113" s="267" t="s">
        <v>1244</v>
      </c>
      <c r="B113" s="268" t="s">
        <v>1245</v>
      </c>
      <c r="C113" s="269" t="s">
        <v>1246</v>
      </c>
      <c r="D113" s="91" t="s">
        <v>463</v>
      </c>
      <c r="E113" s="270">
        <v>280.5</v>
      </c>
      <c r="F113" s="270">
        <v>18.49</v>
      </c>
      <c r="G113" s="270">
        <f t="shared" si="3"/>
        <v>5186.45</v>
      </c>
      <c r="H113" s="271">
        <f t="shared" si="4"/>
        <v>0.00118460915549424</v>
      </c>
      <c r="I113" s="272">
        <f t="shared" si="5"/>
        <v>0.936321341641445</v>
      </c>
    </row>
    <row r="114" spans="1:9">
      <c r="A114" s="267" t="s">
        <v>1247</v>
      </c>
      <c r="B114" s="268" t="s">
        <v>1248</v>
      </c>
      <c r="C114" s="269" t="s">
        <v>1249</v>
      </c>
      <c r="D114" s="91" t="s">
        <v>839</v>
      </c>
      <c r="E114" s="270">
        <v>233.315943</v>
      </c>
      <c r="F114" s="270">
        <v>21.83</v>
      </c>
      <c r="G114" s="270">
        <f t="shared" si="3"/>
        <v>5093.29</v>
      </c>
      <c r="H114" s="271">
        <f t="shared" si="4"/>
        <v>0.00116333098084185</v>
      </c>
      <c r="I114" s="272">
        <f t="shared" si="5"/>
        <v>0.937484672622287</v>
      </c>
    </row>
    <row r="115" ht="25.5" spans="1:9">
      <c r="A115" s="267" t="s">
        <v>1250</v>
      </c>
      <c r="B115" s="268" t="s">
        <v>1251</v>
      </c>
      <c r="C115" s="269" t="s">
        <v>1252</v>
      </c>
      <c r="D115" s="91" t="s">
        <v>463</v>
      </c>
      <c r="E115" s="270">
        <v>268.325668</v>
      </c>
      <c r="F115" s="270">
        <v>18.4</v>
      </c>
      <c r="G115" s="270">
        <f t="shared" si="3"/>
        <v>4937.19</v>
      </c>
      <c r="H115" s="271">
        <f t="shared" si="4"/>
        <v>0.00112767701923562</v>
      </c>
      <c r="I115" s="272">
        <f t="shared" si="5"/>
        <v>0.938612349641523</v>
      </c>
    </row>
    <row r="116" spans="1:9">
      <c r="A116" s="267" t="s">
        <v>1253</v>
      </c>
      <c r="B116" s="268" t="s">
        <v>1254</v>
      </c>
      <c r="C116" s="269" t="s">
        <v>1255</v>
      </c>
      <c r="D116" s="91" t="s">
        <v>839</v>
      </c>
      <c r="E116" s="270">
        <v>32.4736</v>
      </c>
      <c r="F116" s="270">
        <v>144.18</v>
      </c>
      <c r="G116" s="270">
        <f t="shared" si="3"/>
        <v>4682.04</v>
      </c>
      <c r="H116" s="271">
        <f t="shared" si="4"/>
        <v>0.0010693995797492</v>
      </c>
      <c r="I116" s="272">
        <f t="shared" si="5"/>
        <v>0.939681749221272</v>
      </c>
    </row>
    <row r="117" ht="25.5" spans="1:9">
      <c r="A117" s="267" t="s">
        <v>1256</v>
      </c>
      <c r="B117" s="268" t="s">
        <v>1257</v>
      </c>
      <c r="C117" s="269" t="s">
        <v>604</v>
      </c>
      <c r="D117" s="91" t="s">
        <v>494</v>
      </c>
      <c r="E117" s="270">
        <v>2</v>
      </c>
      <c r="F117" s="270">
        <v>2338.07</v>
      </c>
      <c r="G117" s="270">
        <f t="shared" si="3"/>
        <v>4676.14</v>
      </c>
      <c r="H117" s="271">
        <f t="shared" si="4"/>
        <v>0.00106805199247516</v>
      </c>
      <c r="I117" s="272">
        <f t="shared" si="5"/>
        <v>0.940749801213747</v>
      </c>
    </row>
    <row r="118" ht="38.25" spans="1:9">
      <c r="A118" s="267" t="s">
        <v>1258</v>
      </c>
      <c r="B118" s="268" t="s">
        <v>1259</v>
      </c>
      <c r="C118" s="269" t="s">
        <v>697</v>
      </c>
      <c r="D118" s="91" t="s">
        <v>494</v>
      </c>
      <c r="E118" s="270">
        <v>1</v>
      </c>
      <c r="F118" s="270">
        <v>4627.37</v>
      </c>
      <c r="G118" s="270">
        <f t="shared" si="3"/>
        <v>4627.37</v>
      </c>
      <c r="H118" s="271">
        <f t="shared" si="4"/>
        <v>0.00105691269902522</v>
      </c>
      <c r="I118" s="272">
        <f t="shared" si="5"/>
        <v>0.941806713912772</v>
      </c>
    </row>
    <row r="119" ht="38.25" spans="1:9">
      <c r="A119" s="267" t="s">
        <v>1260</v>
      </c>
      <c r="B119" s="268" t="s">
        <v>1261</v>
      </c>
      <c r="C119" s="269" t="s">
        <v>653</v>
      </c>
      <c r="D119" s="91" t="s">
        <v>494</v>
      </c>
      <c r="E119" s="270">
        <v>1</v>
      </c>
      <c r="F119" s="270">
        <v>4400.11</v>
      </c>
      <c r="G119" s="270">
        <f t="shared" si="3"/>
        <v>4400.11</v>
      </c>
      <c r="H119" s="271">
        <f t="shared" si="4"/>
        <v>0.0010050054644664</v>
      </c>
      <c r="I119" s="272">
        <f t="shared" si="5"/>
        <v>0.942811719377239</v>
      </c>
    </row>
    <row r="120" ht="38.25" spans="1:9">
      <c r="A120" s="267" t="s">
        <v>1262</v>
      </c>
      <c r="B120" s="268" t="s">
        <v>1263</v>
      </c>
      <c r="C120" s="269" t="s">
        <v>694</v>
      </c>
      <c r="D120" s="91" t="s">
        <v>494</v>
      </c>
      <c r="E120" s="270">
        <v>1</v>
      </c>
      <c r="F120" s="270">
        <v>4326.9</v>
      </c>
      <c r="G120" s="270">
        <f t="shared" si="3"/>
        <v>4326.9</v>
      </c>
      <c r="H120" s="271">
        <f t="shared" si="4"/>
        <v>0.000988283962037233</v>
      </c>
      <c r="I120" s="272">
        <f t="shared" si="5"/>
        <v>0.943800003339276</v>
      </c>
    </row>
    <row r="121" ht="51" spans="1:9">
      <c r="A121" s="267" t="s">
        <v>1264</v>
      </c>
      <c r="B121" s="268" t="s">
        <v>1265</v>
      </c>
      <c r="C121" s="269" t="s">
        <v>671</v>
      </c>
      <c r="D121" s="91" t="s">
        <v>494</v>
      </c>
      <c r="E121" s="270">
        <v>1</v>
      </c>
      <c r="F121" s="270">
        <v>4316.07</v>
      </c>
      <c r="G121" s="270">
        <f t="shared" si="3"/>
        <v>4316.07</v>
      </c>
      <c r="H121" s="271">
        <f t="shared" si="4"/>
        <v>0.000985810339973201</v>
      </c>
      <c r="I121" s="272">
        <f t="shared" si="5"/>
        <v>0.944785813679249</v>
      </c>
    </row>
    <row r="122" ht="38.25" spans="1:9">
      <c r="A122" s="267" t="s">
        <v>1266</v>
      </c>
      <c r="B122" s="268" t="s">
        <v>1267</v>
      </c>
      <c r="C122" s="269" t="s">
        <v>695</v>
      </c>
      <c r="D122" s="91" t="s">
        <v>494</v>
      </c>
      <c r="E122" s="270">
        <v>2</v>
      </c>
      <c r="F122" s="270">
        <v>2136.06</v>
      </c>
      <c r="G122" s="270">
        <f t="shared" si="3"/>
        <v>4272.12</v>
      </c>
      <c r="H122" s="271">
        <f t="shared" si="4"/>
        <v>0.000975771956804758</v>
      </c>
      <c r="I122" s="272">
        <f t="shared" si="5"/>
        <v>0.945761585636054</v>
      </c>
    </row>
    <row r="123" ht="51" spans="1:9">
      <c r="A123" s="267" t="s">
        <v>1268</v>
      </c>
      <c r="B123" s="268" t="s">
        <v>706</v>
      </c>
      <c r="C123" s="269" t="s">
        <v>707</v>
      </c>
      <c r="D123" s="91" t="s">
        <v>476</v>
      </c>
      <c r="E123" s="270">
        <v>7.9</v>
      </c>
      <c r="F123" s="270">
        <v>540.12</v>
      </c>
      <c r="G123" s="270">
        <f t="shared" si="3"/>
        <v>4266.95</v>
      </c>
      <c r="H123" s="271">
        <f t="shared" si="4"/>
        <v>0.000974591104905307</v>
      </c>
      <c r="I123" s="272">
        <f t="shared" si="5"/>
        <v>0.946736176740959</v>
      </c>
    </row>
    <row r="124" ht="38.25" spans="1:9">
      <c r="A124" s="267" t="s">
        <v>1269</v>
      </c>
      <c r="B124" s="268" t="s">
        <v>1270</v>
      </c>
      <c r="C124" s="269" t="s">
        <v>667</v>
      </c>
      <c r="D124" s="91" t="s">
        <v>494</v>
      </c>
      <c r="E124" s="270">
        <v>1</v>
      </c>
      <c r="F124" s="270">
        <v>4226.79</v>
      </c>
      <c r="G124" s="270">
        <f t="shared" si="3"/>
        <v>4226.79</v>
      </c>
      <c r="H124" s="271">
        <f t="shared" si="4"/>
        <v>0.000965418375256964</v>
      </c>
      <c r="I124" s="272">
        <f t="shared" si="5"/>
        <v>0.947701595116216</v>
      </c>
    </row>
    <row r="125" spans="1:9">
      <c r="A125" s="267" t="s">
        <v>1271</v>
      </c>
      <c r="B125" s="268" t="s">
        <v>1272</v>
      </c>
      <c r="C125" s="269" t="s">
        <v>1273</v>
      </c>
      <c r="D125" s="91" t="s">
        <v>463</v>
      </c>
      <c r="E125" s="270">
        <v>6451.313437</v>
      </c>
      <c r="F125" s="270">
        <v>0.65</v>
      </c>
      <c r="G125" s="270">
        <f t="shared" si="3"/>
        <v>4193.35</v>
      </c>
      <c r="H125" s="271">
        <f t="shared" si="4"/>
        <v>0.000957780524673284</v>
      </c>
      <c r="I125" s="272">
        <f t="shared" si="5"/>
        <v>0.948659375640889</v>
      </c>
    </row>
    <row r="126" ht="38.25" spans="1:9">
      <c r="A126" s="267" t="s">
        <v>1274</v>
      </c>
      <c r="B126" s="268" t="s">
        <v>1275</v>
      </c>
      <c r="C126" s="269" t="s">
        <v>674</v>
      </c>
      <c r="D126" s="91" t="s">
        <v>494</v>
      </c>
      <c r="E126" s="270">
        <v>1</v>
      </c>
      <c r="F126" s="270">
        <v>4168.34</v>
      </c>
      <c r="G126" s="270">
        <f t="shared" si="3"/>
        <v>4168.34</v>
      </c>
      <c r="H126" s="271">
        <f t="shared" si="4"/>
        <v>0.000952068125059114</v>
      </c>
      <c r="I126" s="272">
        <f t="shared" si="5"/>
        <v>0.949611443765949</v>
      </c>
    </row>
    <row r="127" ht="102" spans="1:9">
      <c r="A127" s="267" t="s">
        <v>1276</v>
      </c>
      <c r="B127" s="268" t="s">
        <v>1277</v>
      </c>
      <c r="C127" s="269" t="s">
        <v>664</v>
      </c>
      <c r="D127" s="91" t="s">
        <v>494</v>
      </c>
      <c r="E127" s="270">
        <v>100</v>
      </c>
      <c r="F127" s="270">
        <v>40.33</v>
      </c>
      <c r="G127" s="270">
        <f t="shared" si="3"/>
        <v>4033</v>
      </c>
      <c r="H127" s="271">
        <f t="shared" si="4"/>
        <v>0.0009211558434205</v>
      </c>
      <c r="I127" s="272">
        <f t="shared" si="5"/>
        <v>0.950532599609369</v>
      </c>
    </row>
    <row r="128" ht="38.25" spans="1:9">
      <c r="A128" s="267" t="s">
        <v>1278</v>
      </c>
      <c r="B128" s="268" t="s">
        <v>1279</v>
      </c>
      <c r="C128" s="269" t="s">
        <v>696</v>
      </c>
      <c r="D128" s="91" t="s">
        <v>494</v>
      </c>
      <c r="E128" s="270">
        <v>1</v>
      </c>
      <c r="F128" s="270">
        <v>4000.18</v>
      </c>
      <c r="G128" s="270">
        <f t="shared" si="3"/>
        <v>4000.18</v>
      </c>
      <c r="H128" s="271">
        <f t="shared" si="4"/>
        <v>0.000913659603702905</v>
      </c>
      <c r="I128" s="272">
        <f t="shared" si="5"/>
        <v>0.951446259213072</v>
      </c>
    </row>
    <row r="129" ht="25.5" spans="1:9">
      <c r="A129" s="267" t="s">
        <v>1280</v>
      </c>
      <c r="B129" s="268" t="s">
        <v>1111</v>
      </c>
      <c r="C129" s="269" t="s">
        <v>1281</v>
      </c>
      <c r="D129" s="91" t="s">
        <v>598</v>
      </c>
      <c r="E129" s="270">
        <v>26</v>
      </c>
      <c r="F129" s="270">
        <v>153.54</v>
      </c>
      <c r="G129" s="270">
        <f t="shared" si="3"/>
        <v>3992.04</v>
      </c>
      <c r="H129" s="271">
        <f t="shared" si="4"/>
        <v>0.000911800390073983</v>
      </c>
      <c r="I129" s="272">
        <f t="shared" si="5"/>
        <v>0.952358059603146</v>
      </c>
    </row>
    <row r="130" ht="25.5" spans="1:9">
      <c r="A130" s="267" t="s">
        <v>1282</v>
      </c>
      <c r="B130" s="268" t="s">
        <v>1283</v>
      </c>
      <c r="C130" s="269" t="s">
        <v>1284</v>
      </c>
      <c r="D130" s="91" t="s">
        <v>112</v>
      </c>
      <c r="E130" s="270">
        <v>1009.747212</v>
      </c>
      <c r="F130" s="270">
        <v>3.94</v>
      </c>
      <c r="G130" s="270">
        <f t="shared" si="3"/>
        <v>3978.4</v>
      </c>
      <c r="H130" s="271">
        <f t="shared" si="4"/>
        <v>0.000908684951020114</v>
      </c>
      <c r="I130" s="272">
        <f t="shared" si="5"/>
        <v>0.953266744554166</v>
      </c>
    </row>
    <row r="131" ht="25.5" spans="1:9">
      <c r="A131" s="267" t="s">
        <v>1285</v>
      </c>
      <c r="B131" s="268" t="s">
        <v>1286</v>
      </c>
      <c r="C131" s="269" t="s">
        <v>680</v>
      </c>
      <c r="D131" s="91" t="s">
        <v>494</v>
      </c>
      <c r="E131" s="270">
        <v>1</v>
      </c>
      <c r="F131" s="270">
        <v>3952.98</v>
      </c>
      <c r="G131" s="270">
        <f t="shared" ref="G131:G194" si="6">ROUND(E131*F131,2)</f>
        <v>3952.98</v>
      </c>
      <c r="H131" s="271">
        <f t="shared" ref="H131:H194" si="7">G131/$K$1</f>
        <v>0.00090287890551063</v>
      </c>
      <c r="I131" s="272">
        <f t="shared" si="5"/>
        <v>0.954169623459677</v>
      </c>
    </row>
    <row r="132" ht="25.5" spans="1:9">
      <c r="A132" s="267" t="s">
        <v>1287</v>
      </c>
      <c r="B132" s="268" t="s">
        <v>1111</v>
      </c>
      <c r="C132" s="269" t="s">
        <v>1288</v>
      </c>
      <c r="D132" s="91" t="s">
        <v>839</v>
      </c>
      <c r="E132" s="270">
        <v>4432.040896</v>
      </c>
      <c r="F132" s="270">
        <v>0.89</v>
      </c>
      <c r="G132" s="270">
        <f t="shared" si="6"/>
        <v>3944.52</v>
      </c>
      <c r="H132" s="271">
        <f t="shared" si="7"/>
        <v>0.000900946602402438</v>
      </c>
      <c r="I132" s="272">
        <f t="shared" ref="I132:I195" si="8">H132+I131</f>
        <v>0.955070570062079</v>
      </c>
    </row>
    <row r="133" ht="51" spans="1:9">
      <c r="A133" s="267" t="s">
        <v>1289</v>
      </c>
      <c r="B133" s="268" t="s">
        <v>1290</v>
      </c>
      <c r="C133" s="269" t="s">
        <v>720</v>
      </c>
      <c r="D133" s="91" t="s">
        <v>494</v>
      </c>
      <c r="E133" s="270">
        <v>12</v>
      </c>
      <c r="F133" s="270">
        <v>328.53</v>
      </c>
      <c r="G133" s="270">
        <f t="shared" si="6"/>
        <v>3942.36</v>
      </c>
      <c r="H133" s="271">
        <f t="shared" si="7"/>
        <v>0.000900453248417368</v>
      </c>
      <c r="I133" s="272">
        <f t="shared" si="8"/>
        <v>0.955971023310497</v>
      </c>
    </row>
    <row r="134" ht="51" spans="1:9">
      <c r="A134" s="267" t="s">
        <v>1291</v>
      </c>
      <c r="B134" s="268" t="s">
        <v>1292</v>
      </c>
      <c r="C134" s="269" t="s">
        <v>658</v>
      </c>
      <c r="D134" s="91" t="s">
        <v>494</v>
      </c>
      <c r="E134" s="270">
        <v>35</v>
      </c>
      <c r="F134" s="270">
        <v>112.58</v>
      </c>
      <c r="G134" s="270">
        <f t="shared" si="6"/>
        <v>3940.3</v>
      </c>
      <c r="H134" s="271">
        <f t="shared" si="7"/>
        <v>0.000899982734894569</v>
      </c>
      <c r="I134" s="272">
        <f t="shared" si="8"/>
        <v>0.956871006045391</v>
      </c>
    </row>
    <row r="135" ht="51" spans="1:9">
      <c r="A135" s="267" t="s">
        <v>1293</v>
      </c>
      <c r="B135" s="268" t="s">
        <v>1294</v>
      </c>
      <c r="C135" s="269" t="s">
        <v>688</v>
      </c>
      <c r="D135" s="91" t="s">
        <v>494</v>
      </c>
      <c r="E135" s="270">
        <v>1</v>
      </c>
      <c r="F135" s="270">
        <v>3889.97</v>
      </c>
      <c r="G135" s="270">
        <f t="shared" si="6"/>
        <v>3889.97</v>
      </c>
      <c r="H135" s="271">
        <f t="shared" si="7"/>
        <v>0.000888487130233187</v>
      </c>
      <c r="I135" s="272">
        <f t="shared" si="8"/>
        <v>0.957759493175624</v>
      </c>
    </row>
    <row r="136" spans="1:9">
      <c r="A136" s="267" t="s">
        <v>1295</v>
      </c>
      <c r="B136" s="268" t="s">
        <v>1108</v>
      </c>
      <c r="C136" s="269" t="s">
        <v>1296</v>
      </c>
      <c r="D136" s="91" t="s">
        <v>839</v>
      </c>
      <c r="E136" s="270">
        <v>213.544777</v>
      </c>
      <c r="F136" s="270">
        <v>18</v>
      </c>
      <c r="G136" s="270">
        <f t="shared" si="6"/>
        <v>3843.81</v>
      </c>
      <c r="H136" s="271">
        <f t="shared" si="7"/>
        <v>0.000877943972848538</v>
      </c>
      <c r="I136" s="272">
        <f t="shared" si="8"/>
        <v>0.958637437148473</v>
      </c>
    </row>
    <row r="137" ht="51" spans="1:9">
      <c r="A137" s="267" t="s">
        <v>1297</v>
      </c>
      <c r="B137" s="268" t="s">
        <v>1002</v>
      </c>
      <c r="C137" s="269" t="s">
        <v>1298</v>
      </c>
      <c r="D137" s="91" t="s">
        <v>494</v>
      </c>
      <c r="E137" s="270">
        <v>0.005307</v>
      </c>
      <c r="F137" s="270">
        <v>717852.52</v>
      </c>
      <c r="G137" s="270">
        <f t="shared" si="6"/>
        <v>3809.64</v>
      </c>
      <c r="H137" s="271">
        <f t="shared" si="7"/>
        <v>0.000870139386890274</v>
      </c>
      <c r="I137" s="272">
        <f t="shared" si="8"/>
        <v>0.959507576535363</v>
      </c>
    </row>
    <row r="138" ht="63.75" spans="1:9">
      <c r="A138" s="267" t="s">
        <v>1299</v>
      </c>
      <c r="B138" s="268" t="s">
        <v>1300</v>
      </c>
      <c r="C138" s="269" t="s">
        <v>647</v>
      </c>
      <c r="D138" s="91" t="s">
        <v>494</v>
      </c>
      <c r="E138" s="270">
        <v>1</v>
      </c>
      <c r="F138" s="270">
        <v>3726</v>
      </c>
      <c r="G138" s="270">
        <f t="shared" si="6"/>
        <v>3726</v>
      </c>
      <c r="H138" s="271">
        <f t="shared" si="7"/>
        <v>0.000851035624246165</v>
      </c>
      <c r="I138" s="272">
        <f t="shared" si="8"/>
        <v>0.960358612159609</v>
      </c>
    </row>
    <row r="139" ht="63.75" spans="1:9">
      <c r="A139" s="267" t="s">
        <v>1301</v>
      </c>
      <c r="B139" s="268" t="s">
        <v>1302</v>
      </c>
      <c r="C139" s="269" t="s">
        <v>621</v>
      </c>
      <c r="D139" s="91" t="s">
        <v>494</v>
      </c>
      <c r="E139" s="270">
        <v>4</v>
      </c>
      <c r="F139" s="270">
        <v>831</v>
      </c>
      <c r="G139" s="270">
        <f t="shared" si="6"/>
        <v>3324</v>
      </c>
      <c r="H139" s="271">
        <f t="shared" si="7"/>
        <v>0.000759216965913648</v>
      </c>
      <c r="I139" s="272">
        <f t="shared" si="8"/>
        <v>0.961117829125523</v>
      </c>
    </row>
    <row r="140" ht="51" spans="1:9">
      <c r="A140" s="267" t="s">
        <v>1303</v>
      </c>
      <c r="B140" s="268" t="s">
        <v>1304</v>
      </c>
      <c r="C140" s="269" t="s">
        <v>629</v>
      </c>
      <c r="D140" s="91" t="s">
        <v>494</v>
      </c>
      <c r="E140" s="270">
        <v>2</v>
      </c>
      <c r="F140" s="270">
        <v>1623.58</v>
      </c>
      <c r="G140" s="270">
        <f t="shared" si="6"/>
        <v>3247.16</v>
      </c>
      <c r="H140" s="271">
        <f t="shared" si="7"/>
        <v>0.00074166635470402</v>
      </c>
      <c r="I140" s="272">
        <f t="shared" si="8"/>
        <v>0.961859495480227</v>
      </c>
    </row>
    <row r="141" ht="38.25" spans="1:9">
      <c r="A141" s="267" t="s">
        <v>1305</v>
      </c>
      <c r="B141" s="268" t="s">
        <v>1306</v>
      </c>
      <c r="C141" s="269" t="s">
        <v>690</v>
      </c>
      <c r="D141" s="91" t="s">
        <v>112</v>
      </c>
      <c r="E141" s="270">
        <v>4</v>
      </c>
      <c r="F141" s="270">
        <v>806.26</v>
      </c>
      <c r="G141" s="270">
        <f t="shared" si="6"/>
        <v>3225.04</v>
      </c>
      <c r="H141" s="271">
        <f t="shared" si="7"/>
        <v>0.000736614044449504</v>
      </c>
      <c r="I141" s="272">
        <f t="shared" si="8"/>
        <v>0.962596109524676</v>
      </c>
    </row>
    <row r="142" ht="89.25" spans="1:9">
      <c r="A142" s="267" t="s">
        <v>1307</v>
      </c>
      <c r="B142" s="268" t="s">
        <v>1308</v>
      </c>
      <c r="C142" s="269" t="s">
        <v>1309</v>
      </c>
      <c r="D142" s="91" t="s">
        <v>494</v>
      </c>
      <c r="E142" s="270">
        <v>216</v>
      </c>
      <c r="F142" s="270">
        <v>14.28</v>
      </c>
      <c r="G142" s="270">
        <f t="shared" si="6"/>
        <v>3084.48</v>
      </c>
      <c r="H142" s="271">
        <f t="shared" si="7"/>
        <v>0.000704509490680304</v>
      </c>
      <c r="I142" s="272">
        <f t="shared" si="8"/>
        <v>0.963300619015357</v>
      </c>
    </row>
    <row r="143" ht="38.25" spans="1:9">
      <c r="A143" s="267" t="s">
        <v>1310</v>
      </c>
      <c r="B143" s="268" t="s">
        <v>1111</v>
      </c>
      <c r="C143" s="269" t="s">
        <v>1311</v>
      </c>
      <c r="D143" s="91" t="s">
        <v>839</v>
      </c>
      <c r="E143" s="270">
        <v>6787.651145</v>
      </c>
      <c r="F143" s="270">
        <v>0.44</v>
      </c>
      <c r="G143" s="270">
        <f t="shared" si="6"/>
        <v>2986.57</v>
      </c>
      <c r="H143" s="271">
        <f t="shared" si="7"/>
        <v>0.000682146394070013</v>
      </c>
      <c r="I143" s="272">
        <f t="shared" si="8"/>
        <v>0.963982765409427</v>
      </c>
    </row>
    <row r="144" spans="1:9">
      <c r="A144" s="267" t="s">
        <v>1312</v>
      </c>
      <c r="B144" s="268" t="s">
        <v>1313</v>
      </c>
      <c r="C144" s="269" t="s">
        <v>1314</v>
      </c>
      <c r="D144" s="91" t="s">
        <v>839</v>
      </c>
      <c r="E144" s="270">
        <v>136.386834</v>
      </c>
      <c r="F144" s="270">
        <v>21.83</v>
      </c>
      <c r="G144" s="270">
        <f t="shared" si="6"/>
        <v>2977.32</v>
      </c>
      <c r="H144" s="271">
        <f t="shared" si="7"/>
        <v>0.000680033651309874</v>
      </c>
      <c r="I144" s="272">
        <f t="shared" si="8"/>
        <v>0.964662799060737</v>
      </c>
    </row>
    <row r="145" ht="25.5" spans="1:9">
      <c r="A145" s="267" t="s">
        <v>1315</v>
      </c>
      <c r="B145" s="268" t="s">
        <v>1316</v>
      </c>
      <c r="C145" s="269" t="s">
        <v>1317</v>
      </c>
      <c r="D145" s="91" t="s">
        <v>839</v>
      </c>
      <c r="E145" s="270">
        <v>164.383569</v>
      </c>
      <c r="F145" s="270">
        <v>18</v>
      </c>
      <c r="G145" s="270">
        <f t="shared" si="6"/>
        <v>2958.9</v>
      </c>
      <c r="H145" s="271">
        <f t="shared" si="7"/>
        <v>0.000675826438159414</v>
      </c>
      <c r="I145" s="272">
        <f t="shared" si="8"/>
        <v>0.965338625498896</v>
      </c>
    </row>
    <row r="146" ht="38.25" spans="1:9">
      <c r="A146" s="267" t="s">
        <v>1318</v>
      </c>
      <c r="B146" s="268" t="s">
        <v>723</v>
      </c>
      <c r="C146" s="269" t="s">
        <v>724</v>
      </c>
      <c r="D146" s="91" t="s">
        <v>476</v>
      </c>
      <c r="E146" s="270">
        <v>58</v>
      </c>
      <c r="F146" s="270">
        <v>49.35</v>
      </c>
      <c r="G146" s="270">
        <f t="shared" si="6"/>
        <v>2862.3</v>
      </c>
      <c r="H146" s="271">
        <f t="shared" si="7"/>
        <v>0.000653762551604884</v>
      </c>
      <c r="I146" s="272">
        <f t="shared" si="8"/>
        <v>0.965992388050501</v>
      </c>
    </row>
    <row r="147" ht="38.25" spans="1:9">
      <c r="A147" s="267" t="s">
        <v>1319</v>
      </c>
      <c r="B147" s="268" t="s">
        <v>1320</v>
      </c>
      <c r="C147" s="269" t="s">
        <v>691</v>
      </c>
      <c r="D147" s="91" t="s">
        <v>112</v>
      </c>
      <c r="E147" s="270">
        <v>2</v>
      </c>
      <c r="F147" s="270">
        <v>1430.51</v>
      </c>
      <c r="G147" s="270">
        <f t="shared" si="6"/>
        <v>2861.02</v>
      </c>
      <c r="H147" s="271">
        <f t="shared" si="7"/>
        <v>0.000653470193687805</v>
      </c>
      <c r="I147" s="272">
        <f t="shared" si="8"/>
        <v>0.966645858244189</v>
      </c>
    </row>
    <row r="148" ht="38.25" spans="1:9">
      <c r="A148" s="267" t="s">
        <v>1321</v>
      </c>
      <c r="B148" s="268" t="s">
        <v>1322</v>
      </c>
      <c r="C148" s="269" t="s">
        <v>669</v>
      </c>
      <c r="D148" s="91" t="s">
        <v>494</v>
      </c>
      <c r="E148" s="270">
        <v>3</v>
      </c>
      <c r="F148" s="270">
        <v>923.31</v>
      </c>
      <c r="G148" s="270">
        <f t="shared" si="6"/>
        <v>2769.93</v>
      </c>
      <c r="H148" s="271">
        <f t="shared" si="7"/>
        <v>0.00063266481660445</v>
      </c>
      <c r="I148" s="272">
        <f t="shared" si="8"/>
        <v>0.967278523060793</v>
      </c>
    </row>
    <row r="149" ht="38.25" spans="1:9">
      <c r="A149" s="267" t="s">
        <v>1323</v>
      </c>
      <c r="B149" s="268" t="s">
        <v>1324</v>
      </c>
      <c r="C149" s="269" t="s">
        <v>634</v>
      </c>
      <c r="D149" s="91" t="s">
        <v>494</v>
      </c>
      <c r="E149" s="270">
        <v>1</v>
      </c>
      <c r="F149" s="270">
        <v>2733.71</v>
      </c>
      <c r="G149" s="270">
        <f t="shared" si="6"/>
        <v>2733.71</v>
      </c>
      <c r="H149" s="271">
        <f t="shared" si="7"/>
        <v>0.000624392001169615</v>
      </c>
      <c r="I149" s="272">
        <f t="shared" si="8"/>
        <v>0.967902915061963</v>
      </c>
    </row>
    <row r="150" ht="25.5" spans="1:9">
      <c r="A150" s="267" t="s">
        <v>1325</v>
      </c>
      <c r="B150" s="268" t="s">
        <v>1326</v>
      </c>
      <c r="C150" s="269" t="s">
        <v>722</v>
      </c>
      <c r="D150" s="91" t="s">
        <v>494</v>
      </c>
      <c r="E150" s="270">
        <v>12</v>
      </c>
      <c r="F150" s="270">
        <v>222.93</v>
      </c>
      <c r="G150" s="270">
        <f t="shared" si="6"/>
        <v>2675.16</v>
      </c>
      <c r="H150" s="271">
        <f t="shared" si="7"/>
        <v>0.000611018910509493</v>
      </c>
      <c r="I150" s="272">
        <f t="shared" si="8"/>
        <v>0.968513933972472</v>
      </c>
    </row>
    <row r="151" spans="1:9">
      <c r="A151" s="267" t="s">
        <v>1327</v>
      </c>
      <c r="B151" s="268" t="s">
        <v>1328</v>
      </c>
      <c r="C151" s="269" t="s">
        <v>1329</v>
      </c>
      <c r="D151" s="91" t="s">
        <v>839</v>
      </c>
      <c r="E151" s="270">
        <v>141.054712</v>
      </c>
      <c r="F151" s="270">
        <v>18.86</v>
      </c>
      <c r="G151" s="270">
        <f t="shared" si="6"/>
        <v>2660.29</v>
      </c>
      <c r="H151" s="271">
        <f t="shared" si="7"/>
        <v>0.000607622533769681</v>
      </c>
      <c r="I151" s="272">
        <f t="shared" si="8"/>
        <v>0.969121556506242</v>
      </c>
    </row>
    <row r="152" ht="25.5" spans="1:9">
      <c r="A152" s="267" t="s">
        <v>1330</v>
      </c>
      <c r="B152" s="268" t="s">
        <v>1331</v>
      </c>
      <c r="C152" s="269" t="s">
        <v>1332</v>
      </c>
      <c r="D152" s="91" t="s">
        <v>494</v>
      </c>
      <c r="E152" s="270">
        <v>1214.3318</v>
      </c>
      <c r="F152" s="270">
        <v>2.19</v>
      </c>
      <c r="G152" s="270">
        <f t="shared" si="6"/>
        <v>2659.39</v>
      </c>
      <c r="H152" s="271">
        <f t="shared" si="7"/>
        <v>0.000607416969609235</v>
      </c>
      <c r="I152" s="272">
        <f t="shared" si="8"/>
        <v>0.969728973475851</v>
      </c>
    </row>
    <row r="153" ht="38.25" spans="1:9">
      <c r="A153" s="267" t="s">
        <v>1333</v>
      </c>
      <c r="B153" s="268" t="s">
        <v>1334</v>
      </c>
      <c r="C153" s="269" t="s">
        <v>1335</v>
      </c>
      <c r="D153" s="91" t="s">
        <v>112</v>
      </c>
      <c r="E153" s="270">
        <v>414.187312</v>
      </c>
      <c r="F153" s="270">
        <v>6.31</v>
      </c>
      <c r="G153" s="270">
        <f t="shared" si="6"/>
        <v>2613.52</v>
      </c>
      <c r="H153" s="271">
        <f t="shared" si="7"/>
        <v>0.000596940049565174</v>
      </c>
      <c r="I153" s="272">
        <f t="shared" si="8"/>
        <v>0.970325913525416</v>
      </c>
    </row>
    <row r="154" ht="38.25" spans="1:9">
      <c r="A154" s="267" t="s">
        <v>1336</v>
      </c>
      <c r="B154" s="268" t="s">
        <v>1337</v>
      </c>
      <c r="C154" s="269" t="s">
        <v>1338</v>
      </c>
      <c r="D154" s="91" t="s">
        <v>494</v>
      </c>
      <c r="E154" s="270">
        <v>0.002377</v>
      </c>
      <c r="F154" s="270">
        <v>1079918</v>
      </c>
      <c r="G154" s="270">
        <f t="shared" si="6"/>
        <v>2566.97</v>
      </c>
      <c r="H154" s="271">
        <f t="shared" si="7"/>
        <v>0.000586307814377665</v>
      </c>
      <c r="I154" s="272">
        <f t="shared" si="8"/>
        <v>0.970912221339794</v>
      </c>
    </row>
    <row r="155" ht="38.25" spans="1:9">
      <c r="A155" s="267" t="s">
        <v>1339</v>
      </c>
      <c r="B155" s="268" t="s">
        <v>1340</v>
      </c>
      <c r="C155" s="269" t="s">
        <v>652</v>
      </c>
      <c r="D155" s="91" t="s">
        <v>494</v>
      </c>
      <c r="E155" s="270">
        <v>1</v>
      </c>
      <c r="F155" s="270">
        <v>2564.41</v>
      </c>
      <c r="G155" s="270">
        <f t="shared" si="6"/>
        <v>2564.41</v>
      </c>
      <c r="H155" s="271">
        <f t="shared" si="7"/>
        <v>0.000585723098543507</v>
      </c>
      <c r="I155" s="272">
        <f t="shared" si="8"/>
        <v>0.971497944438337</v>
      </c>
    </row>
    <row r="156" ht="25.5" spans="1:9">
      <c r="A156" s="267" t="s">
        <v>1341</v>
      </c>
      <c r="B156" s="268" t="s">
        <v>1143</v>
      </c>
      <c r="C156" s="269" t="s">
        <v>1342</v>
      </c>
      <c r="D156" s="91" t="s">
        <v>598</v>
      </c>
      <c r="E156" s="270">
        <v>9</v>
      </c>
      <c r="F156" s="270">
        <v>282.98</v>
      </c>
      <c r="G156" s="270">
        <f t="shared" si="6"/>
        <v>2546.82</v>
      </c>
      <c r="H156" s="271">
        <f t="shared" si="7"/>
        <v>0.000581705461229903</v>
      </c>
      <c r="I156" s="272">
        <f t="shared" si="8"/>
        <v>0.972079649899567</v>
      </c>
    </row>
    <row r="157" ht="38.25" spans="1:9">
      <c r="A157" s="267" t="s">
        <v>1343</v>
      </c>
      <c r="B157" s="268" t="s">
        <v>1344</v>
      </c>
      <c r="C157" s="269" t="s">
        <v>721</v>
      </c>
      <c r="D157" s="91" t="s">
        <v>494</v>
      </c>
      <c r="E157" s="270">
        <v>12</v>
      </c>
      <c r="F157" s="270">
        <v>211.2</v>
      </c>
      <c r="G157" s="270">
        <f t="shared" si="6"/>
        <v>2534.4</v>
      </c>
      <c r="H157" s="271">
        <f t="shared" si="7"/>
        <v>0.000578868675815749</v>
      </c>
      <c r="I157" s="272">
        <f t="shared" si="8"/>
        <v>0.972658518575383</v>
      </c>
    </row>
    <row r="158" ht="38.25" spans="1:9">
      <c r="A158" s="267" t="s">
        <v>1345</v>
      </c>
      <c r="B158" s="268" t="s">
        <v>1346</v>
      </c>
      <c r="C158" s="269" t="s">
        <v>1347</v>
      </c>
      <c r="D158" s="91" t="s">
        <v>1348</v>
      </c>
      <c r="E158" s="270">
        <v>1238.36</v>
      </c>
      <c r="F158" s="270">
        <v>1.99</v>
      </c>
      <c r="G158" s="270">
        <f t="shared" si="6"/>
        <v>2464.34</v>
      </c>
      <c r="H158" s="271">
        <f t="shared" si="7"/>
        <v>0.000562866647948147</v>
      </c>
      <c r="I158" s="272">
        <f t="shared" si="8"/>
        <v>0.973221385223331</v>
      </c>
    </row>
    <row r="159" ht="63.75" spans="1:9">
      <c r="A159" s="267" t="s">
        <v>1349</v>
      </c>
      <c r="B159" s="268" t="s">
        <v>1350</v>
      </c>
      <c r="C159" s="269" t="s">
        <v>646</v>
      </c>
      <c r="D159" s="91" t="s">
        <v>494</v>
      </c>
      <c r="E159" s="270">
        <v>1</v>
      </c>
      <c r="F159" s="270">
        <v>2456.18</v>
      </c>
      <c r="G159" s="270">
        <f t="shared" si="6"/>
        <v>2456.18</v>
      </c>
      <c r="H159" s="271">
        <f t="shared" si="7"/>
        <v>0.00056100286622677</v>
      </c>
      <c r="I159" s="272">
        <f t="shared" si="8"/>
        <v>0.973782388089558</v>
      </c>
    </row>
    <row r="160" ht="25.5" spans="1:9">
      <c r="A160" s="267" t="s">
        <v>1351</v>
      </c>
      <c r="B160" s="268" t="s">
        <v>1111</v>
      </c>
      <c r="C160" s="269" t="s">
        <v>1352</v>
      </c>
      <c r="D160" s="91" t="s">
        <v>839</v>
      </c>
      <c r="E160" s="270">
        <v>1864.377727</v>
      </c>
      <c r="F160" s="270">
        <v>1.31</v>
      </c>
      <c r="G160" s="270">
        <f t="shared" si="6"/>
        <v>2442.33</v>
      </c>
      <c r="H160" s="271">
        <f t="shared" si="7"/>
        <v>0.00055783946220213</v>
      </c>
      <c r="I160" s="272">
        <f t="shared" si="8"/>
        <v>0.97434022755176</v>
      </c>
    </row>
    <row r="161" ht="38.25" spans="1:9">
      <c r="A161" s="267" t="s">
        <v>1353</v>
      </c>
      <c r="B161" s="268" t="s">
        <v>1354</v>
      </c>
      <c r="C161" s="269" t="s">
        <v>654</v>
      </c>
      <c r="D161" s="91" t="s">
        <v>112</v>
      </c>
      <c r="E161" s="270">
        <v>1</v>
      </c>
      <c r="F161" s="270">
        <v>2379.62</v>
      </c>
      <c r="G161" s="270">
        <f t="shared" si="6"/>
        <v>2379.62</v>
      </c>
      <c r="H161" s="271">
        <f t="shared" si="7"/>
        <v>0.000543516208311503</v>
      </c>
      <c r="I161" s="272">
        <f t="shared" si="8"/>
        <v>0.974883743760072</v>
      </c>
    </row>
    <row r="162" ht="38.25" spans="1:9">
      <c r="A162" s="267" t="s">
        <v>1355</v>
      </c>
      <c r="B162" s="268" t="s">
        <v>1356</v>
      </c>
      <c r="C162" s="269" t="s">
        <v>1357</v>
      </c>
      <c r="D162" s="91" t="s">
        <v>112</v>
      </c>
      <c r="E162" s="270">
        <v>890.527</v>
      </c>
      <c r="F162" s="270">
        <v>2.67</v>
      </c>
      <c r="G162" s="270">
        <f t="shared" si="6"/>
        <v>2377.71</v>
      </c>
      <c r="H162" s="271">
        <f t="shared" si="7"/>
        <v>0.000543079955482112</v>
      </c>
      <c r="I162" s="272">
        <f t="shared" si="8"/>
        <v>0.975426823715554</v>
      </c>
    </row>
    <row r="163" ht="25.5" spans="1:9">
      <c r="A163" s="267" t="s">
        <v>1358</v>
      </c>
      <c r="B163" s="268" t="s">
        <v>1359</v>
      </c>
      <c r="C163" s="269" t="s">
        <v>1360</v>
      </c>
      <c r="D163" s="91" t="s">
        <v>598</v>
      </c>
      <c r="E163" s="270">
        <v>9</v>
      </c>
      <c r="F163" s="270">
        <v>261.93</v>
      </c>
      <c r="G163" s="270">
        <f t="shared" si="6"/>
        <v>2357.37</v>
      </c>
      <c r="H163" s="271">
        <f t="shared" si="7"/>
        <v>0.000538434205456034</v>
      </c>
      <c r="I163" s="272">
        <f t="shared" si="8"/>
        <v>0.97596525792101</v>
      </c>
    </row>
    <row r="164" ht="25.5" spans="1:9">
      <c r="A164" s="267" t="s">
        <v>1361</v>
      </c>
      <c r="B164" s="268" t="s">
        <v>1123</v>
      </c>
      <c r="C164" s="269" t="s">
        <v>1362</v>
      </c>
      <c r="D164" s="91" t="s">
        <v>463</v>
      </c>
      <c r="E164" s="270">
        <v>118.858001</v>
      </c>
      <c r="F164" s="270">
        <v>19.38</v>
      </c>
      <c r="G164" s="270">
        <f t="shared" si="6"/>
        <v>2303.47</v>
      </c>
      <c r="H164" s="271">
        <f t="shared" si="7"/>
        <v>0.00052612319629155</v>
      </c>
      <c r="I164" s="272">
        <f t="shared" si="8"/>
        <v>0.976491381117301</v>
      </c>
    </row>
    <row r="165" spans="1:9">
      <c r="A165" s="267" t="s">
        <v>1363</v>
      </c>
      <c r="B165" s="268" t="s">
        <v>1364</v>
      </c>
      <c r="C165" s="269" t="s">
        <v>1365</v>
      </c>
      <c r="D165" s="91" t="s">
        <v>466</v>
      </c>
      <c r="E165" s="270">
        <v>8.96</v>
      </c>
      <c r="F165" s="270">
        <v>256.86</v>
      </c>
      <c r="G165" s="270">
        <f t="shared" si="6"/>
        <v>2301.47</v>
      </c>
      <c r="H165" s="271">
        <f t="shared" si="7"/>
        <v>0.000525666387046114</v>
      </c>
      <c r="I165" s="272">
        <f t="shared" si="8"/>
        <v>0.977017047504347</v>
      </c>
    </row>
    <row r="166" ht="38.25" spans="1:9">
      <c r="A166" s="267" t="s">
        <v>1366</v>
      </c>
      <c r="B166" s="268" t="s">
        <v>1367</v>
      </c>
      <c r="C166" s="269" t="s">
        <v>1368</v>
      </c>
      <c r="D166" s="91" t="s">
        <v>494</v>
      </c>
      <c r="E166" s="270">
        <v>3</v>
      </c>
      <c r="F166" s="270">
        <v>754.92</v>
      </c>
      <c r="G166" s="270">
        <f t="shared" si="6"/>
        <v>2264.76</v>
      </c>
      <c r="H166" s="271">
        <f t="shared" si="7"/>
        <v>0.000517281653346147</v>
      </c>
      <c r="I166" s="272">
        <f t="shared" si="8"/>
        <v>0.977534329157694</v>
      </c>
    </row>
    <row r="167" ht="38.25" spans="1:9">
      <c r="A167" s="267" t="s">
        <v>1369</v>
      </c>
      <c r="B167" s="268" t="s">
        <v>1370</v>
      </c>
      <c r="C167" s="269" t="s">
        <v>673</v>
      </c>
      <c r="D167" s="91" t="s">
        <v>494</v>
      </c>
      <c r="E167" s="270">
        <v>2</v>
      </c>
      <c r="F167" s="270">
        <v>1125.51</v>
      </c>
      <c r="G167" s="270">
        <f t="shared" si="6"/>
        <v>2251.02</v>
      </c>
      <c r="H167" s="271">
        <f t="shared" si="7"/>
        <v>0.000514143373830006</v>
      </c>
      <c r="I167" s="272">
        <f t="shared" si="8"/>
        <v>0.978048472531524</v>
      </c>
    </row>
    <row r="168" ht="25.5" spans="1:9">
      <c r="A168" s="267" t="s">
        <v>1371</v>
      </c>
      <c r="B168" s="268" t="s">
        <v>1111</v>
      </c>
      <c r="C168" s="269" t="s">
        <v>1372</v>
      </c>
      <c r="D168" s="91" t="s">
        <v>598</v>
      </c>
      <c r="E168" s="270">
        <v>9</v>
      </c>
      <c r="F168" s="270">
        <v>241.99</v>
      </c>
      <c r="G168" s="270">
        <f t="shared" si="6"/>
        <v>2177.91</v>
      </c>
      <c r="H168" s="271">
        <f t="shared" si="7"/>
        <v>0.000497444711863115</v>
      </c>
      <c r="I168" s="272">
        <f t="shared" si="8"/>
        <v>0.978545917243387</v>
      </c>
    </row>
    <row r="169" ht="51" spans="1:9">
      <c r="A169" s="267" t="s">
        <v>1373</v>
      </c>
      <c r="B169" s="268" t="s">
        <v>1374</v>
      </c>
      <c r="C169" s="269" t="s">
        <v>676</v>
      </c>
      <c r="D169" s="91" t="s">
        <v>494</v>
      </c>
      <c r="E169" s="270">
        <v>2</v>
      </c>
      <c r="F169" s="270">
        <v>1084.91</v>
      </c>
      <c r="G169" s="270">
        <f t="shared" si="6"/>
        <v>2169.82</v>
      </c>
      <c r="H169" s="271">
        <f t="shared" si="7"/>
        <v>0.000495596918465328</v>
      </c>
      <c r="I169" s="272">
        <f t="shared" si="8"/>
        <v>0.979041514161852</v>
      </c>
    </row>
    <row r="170" spans="1:9">
      <c r="A170" s="267" t="s">
        <v>1375</v>
      </c>
      <c r="B170" s="268" t="s">
        <v>1376</v>
      </c>
      <c r="C170" s="269" t="s">
        <v>1377</v>
      </c>
      <c r="D170" s="91" t="s">
        <v>839</v>
      </c>
      <c r="E170" s="270">
        <v>124.552149</v>
      </c>
      <c r="F170" s="270">
        <v>17.35</v>
      </c>
      <c r="G170" s="270">
        <f t="shared" si="6"/>
        <v>2160.98</v>
      </c>
      <c r="H170" s="271">
        <f t="shared" si="7"/>
        <v>0.000493577821600504</v>
      </c>
      <c r="I170" s="272">
        <f t="shared" si="8"/>
        <v>0.979535091983453</v>
      </c>
    </row>
    <row r="171" ht="25.5" spans="1:9">
      <c r="A171" s="267" t="s">
        <v>1378</v>
      </c>
      <c r="B171" s="268" t="s">
        <v>1007</v>
      </c>
      <c r="C171" s="269" t="s">
        <v>1379</v>
      </c>
      <c r="D171" s="91" t="s">
        <v>839</v>
      </c>
      <c r="E171" s="270">
        <v>26658.169063</v>
      </c>
      <c r="F171" s="270">
        <v>0.08</v>
      </c>
      <c r="G171" s="270">
        <f t="shared" si="6"/>
        <v>2132.65</v>
      </c>
      <c r="H171" s="271">
        <f t="shared" si="7"/>
        <v>0.000487107118638911</v>
      </c>
      <c r="I171" s="272">
        <f t="shared" si="8"/>
        <v>0.980022199102092</v>
      </c>
    </row>
    <row r="172" ht="25.5" spans="1:9">
      <c r="A172" s="267" t="s">
        <v>1380</v>
      </c>
      <c r="B172" s="268" t="s">
        <v>1158</v>
      </c>
      <c r="C172" s="269" t="s">
        <v>1381</v>
      </c>
      <c r="D172" s="91" t="s">
        <v>463</v>
      </c>
      <c r="E172" s="270">
        <v>256.500191</v>
      </c>
      <c r="F172" s="270">
        <v>8.25</v>
      </c>
      <c r="G172" s="270">
        <f t="shared" si="6"/>
        <v>2116.13</v>
      </c>
      <c r="H172" s="271">
        <f t="shared" si="7"/>
        <v>0.000483333874271615</v>
      </c>
      <c r="I172" s="272">
        <f t="shared" si="8"/>
        <v>0.980505532976363</v>
      </c>
    </row>
    <row r="173" ht="51" spans="1:9">
      <c r="A173" s="267" t="s">
        <v>1382</v>
      </c>
      <c r="B173" s="268" t="s">
        <v>1383</v>
      </c>
      <c r="C173" s="269" t="s">
        <v>639</v>
      </c>
      <c r="D173" s="91" t="s">
        <v>494</v>
      </c>
      <c r="E173" s="270">
        <v>1</v>
      </c>
      <c r="F173" s="270">
        <v>2106.15</v>
      </c>
      <c r="G173" s="270">
        <f t="shared" si="6"/>
        <v>2106.15</v>
      </c>
      <c r="H173" s="271">
        <f t="shared" si="7"/>
        <v>0.000481054396136892</v>
      </c>
      <c r="I173" s="272">
        <f t="shared" si="8"/>
        <v>0.9809865873725</v>
      </c>
    </row>
    <row r="174" ht="38.25" spans="1:9">
      <c r="A174" s="267" t="s">
        <v>1384</v>
      </c>
      <c r="B174" s="268" t="s">
        <v>1385</v>
      </c>
      <c r="C174" s="269" t="s">
        <v>1386</v>
      </c>
      <c r="D174" s="91" t="s">
        <v>466</v>
      </c>
      <c r="E174" s="270">
        <v>87.801793</v>
      </c>
      <c r="F174" s="270">
        <v>23.97</v>
      </c>
      <c r="G174" s="270">
        <f t="shared" si="6"/>
        <v>2104.61</v>
      </c>
      <c r="H174" s="271">
        <f t="shared" si="7"/>
        <v>0.000480702653017907</v>
      </c>
      <c r="I174" s="272">
        <f t="shared" si="8"/>
        <v>0.981467290025518</v>
      </c>
    </row>
    <row r="175" spans="1:9">
      <c r="A175" s="267" t="s">
        <v>1387</v>
      </c>
      <c r="B175" s="268" t="s">
        <v>1388</v>
      </c>
      <c r="C175" s="269" t="s">
        <v>1389</v>
      </c>
      <c r="D175" s="91" t="s">
        <v>839</v>
      </c>
      <c r="E175" s="270">
        <v>211.308078</v>
      </c>
      <c r="F175" s="270">
        <v>9.81</v>
      </c>
      <c r="G175" s="270">
        <f t="shared" si="6"/>
        <v>2072.93</v>
      </c>
      <c r="H175" s="271">
        <f t="shared" si="7"/>
        <v>0.00047346679457021</v>
      </c>
      <c r="I175" s="272">
        <f t="shared" si="8"/>
        <v>0.981940756820088</v>
      </c>
    </row>
    <row r="176" ht="38.25" spans="1:9">
      <c r="A176" s="267" t="s">
        <v>1390</v>
      </c>
      <c r="B176" s="268" t="s">
        <v>1391</v>
      </c>
      <c r="C176" s="269" t="s">
        <v>668</v>
      </c>
      <c r="D176" s="91" t="s">
        <v>494</v>
      </c>
      <c r="E176" s="270">
        <v>2</v>
      </c>
      <c r="F176" s="270">
        <v>1014.15</v>
      </c>
      <c r="G176" s="270">
        <f t="shared" si="6"/>
        <v>2028.3</v>
      </c>
      <c r="H176" s="271">
        <f t="shared" si="7"/>
        <v>0.000463273096258319</v>
      </c>
      <c r="I176" s="272">
        <f t="shared" si="8"/>
        <v>0.982404029916346</v>
      </c>
    </row>
    <row r="177" ht="25.5" spans="1:9">
      <c r="A177" s="267" t="s">
        <v>1392</v>
      </c>
      <c r="B177" s="268" t="s">
        <v>1393</v>
      </c>
      <c r="C177" s="269" t="s">
        <v>1394</v>
      </c>
      <c r="D177" s="91" t="s">
        <v>476</v>
      </c>
      <c r="E177" s="270">
        <v>10.041899</v>
      </c>
      <c r="F177" s="270">
        <v>197.39</v>
      </c>
      <c r="G177" s="270">
        <f t="shared" si="6"/>
        <v>1982.17</v>
      </c>
      <c r="H177" s="271">
        <f t="shared" si="7"/>
        <v>0.000452736791012351</v>
      </c>
      <c r="I177" s="272">
        <f t="shared" si="8"/>
        <v>0.982856766707359</v>
      </c>
    </row>
    <row r="178" ht="38.25" spans="1:9">
      <c r="A178" s="267" t="s">
        <v>1395</v>
      </c>
      <c r="B178" s="268" t="s">
        <v>1396</v>
      </c>
      <c r="C178" s="269" t="s">
        <v>1397</v>
      </c>
      <c r="D178" s="91" t="s">
        <v>494</v>
      </c>
      <c r="E178" s="270">
        <v>0.327503</v>
      </c>
      <c r="F178" s="270">
        <v>6034.25</v>
      </c>
      <c r="G178" s="270">
        <f t="shared" si="6"/>
        <v>1976.23</v>
      </c>
      <c r="H178" s="271">
        <f t="shared" si="7"/>
        <v>0.000451380067553408</v>
      </c>
      <c r="I178" s="272">
        <f t="shared" si="8"/>
        <v>0.983308146774912</v>
      </c>
    </row>
    <row r="179" spans="1:9">
      <c r="A179" s="267" t="s">
        <v>1398</v>
      </c>
      <c r="B179" s="268" t="s">
        <v>1399</v>
      </c>
      <c r="C179" s="269" t="s">
        <v>1400</v>
      </c>
      <c r="D179" s="91" t="s">
        <v>494</v>
      </c>
      <c r="E179" s="270">
        <v>1229.261333</v>
      </c>
      <c r="F179" s="270">
        <v>1.6</v>
      </c>
      <c r="G179" s="270">
        <f t="shared" si="6"/>
        <v>1966.82</v>
      </c>
      <c r="H179" s="271">
        <f t="shared" si="7"/>
        <v>0.000449230780053635</v>
      </c>
      <c r="I179" s="272">
        <f t="shared" si="8"/>
        <v>0.983757377554966</v>
      </c>
    </row>
    <row r="180" ht="38.25" spans="1:9">
      <c r="A180" s="267" t="s">
        <v>1401</v>
      </c>
      <c r="B180" s="268" t="s">
        <v>1402</v>
      </c>
      <c r="C180" s="269" t="s">
        <v>1403</v>
      </c>
      <c r="D180" s="91" t="s">
        <v>463</v>
      </c>
      <c r="E180" s="270">
        <v>268.488</v>
      </c>
      <c r="F180" s="270">
        <v>7.17</v>
      </c>
      <c r="G180" s="270">
        <f t="shared" si="6"/>
        <v>1925.06</v>
      </c>
      <c r="H180" s="271">
        <f t="shared" si="7"/>
        <v>0.000439692603008943</v>
      </c>
      <c r="I180" s="272">
        <f t="shared" si="8"/>
        <v>0.984197070157975</v>
      </c>
    </row>
    <row r="181" spans="1:9">
      <c r="A181" s="267" t="s">
        <v>1404</v>
      </c>
      <c r="B181" s="268" t="s">
        <v>1405</v>
      </c>
      <c r="C181" s="269" t="s">
        <v>1406</v>
      </c>
      <c r="D181" s="91" t="s">
        <v>839</v>
      </c>
      <c r="E181" s="270">
        <v>82.095596</v>
      </c>
      <c r="F181" s="270">
        <v>21.83</v>
      </c>
      <c r="G181" s="270">
        <f t="shared" si="6"/>
        <v>1792.15</v>
      </c>
      <c r="H181" s="271">
        <f t="shared" si="7"/>
        <v>0.000409335344603533</v>
      </c>
      <c r="I181" s="272">
        <f t="shared" si="8"/>
        <v>0.984606405502578</v>
      </c>
    </row>
    <row r="182" ht="38.25" spans="1:9">
      <c r="A182" s="267" t="s">
        <v>1407</v>
      </c>
      <c r="B182" s="268" t="s">
        <v>1408</v>
      </c>
      <c r="C182" s="269" t="s">
        <v>693</v>
      </c>
      <c r="D182" s="91" t="s">
        <v>494</v>
      </c>
      <c r="E182" s="270">
        <v>1</v>
      </c>
      <c r="F182" s="270">
        <v>1688.25</v>
      </c>
      <c r="G182" s="270">
        <f t="shared" si="6"/>
        <v>1688.25</v>
      </c>
      <c r="H182" s="271">
        <f t="shared" si="7"/>
        <v>0.000385604104303164</v>
      </c>
      <c r="I182" s="272">
        <f t="shared" si="8"/>
        <v>0.984992009606881</v>
      </c>
    </row>
    <row r="183" ht="38.25" spans="1:9">
      <c r="A183" s="267" t="s">
        <v>1409</v>
      </c>
      <c r="B183" s="268" t="s">
        <v>1136</v>
      </c>
      <c r="C183" s="269" t="s">
        <v>1410</v>
      </c>
      <c r="D183" s="91" t="s">
        <v>494</v>
      </c>
      <c r="E183" s="270">
        <v>0.016831</v>
      </c>
      <c r="F183" s="270">
        <v>98588.33</v>
      </c>
      <c r="G183" s="270">
        <f t="shared" si="6"/>
        <v>1659.34</v>
      </c>
      <c r="H183" s="271">
        <f t="shared" si="7"/>
        <v>0.000379000926660395</v>
      </c>
      <c r="I183" s="272">
        <f t="shared" si="8"/>
        <v>0.985371010533542</v>
      </c>
    </row>
    <row r="184" ht="25.5" spans="1:9">
      <c r="A184" s="267" t="s">
        <v>1411</v>
      </c>
      <c r="B184" s="268" t="s">
        <v>1136</v>
      </c>
      <c r="C184" s="269" t="s">
        <v>1412</v>
      </c>
      <c r="D184" s="91" t="s">
        <v>494</v>
      </c>
      <c r="E184" s="270">
        <v>0.0145</v>
      </c>
      <c r="F184" s="270">
        <v>112469.48</v>
      </c>
      <c r="G184" s="270">
        <f t="shared" si="6"/>
        <v>1630.81</v>
      </c>
      <c r="H184" s="271">
        <f t="shared" si="7"/>
        <v>0.000372484542774259</v>
      </c>
      <c r="I184" s="272">
        <f t="shared" si="8"/>
        <v>0.985743495076316</v>
      </c>
    </row>
    <row r="185" ht="51" spans="1:9">
      <c r="A185" s="267" t="s">
        <v>1413</v>
      </c>
      <c r="B185" s="268" t="s">
        <v>1414</v>
      </c>
      <c r="C185" s="269" t="s">
        <v>672</v>
      </c>
      <c r="D185" s="91" t="s">
        <v>494</v>
      </c>
      <c r="E185" s="270">
        <v>1</v>
      </c>
      <c r="F185" s="270">
        <v>1603.71</v>
      </c>
      <c r="G185" s="270">
        <f t="shared" si="6"/>
        <v>1603.71</v>
      </c>
      <c r="H185" s="271">
        <f t="shared" si="7"/>
        <v>0.000366294777498609</v>
      </c>
      <c r="I185" s="272">
        <f t="shared" si="8"/>
        <v>0.986109789853815</v>
      </c>
    </row>
    <row r="186" ht="51" spans="1:9">
      <c r="A186" s="267" t="s">
        <v>1415</v>
      </c>
      <c r="B186" s="268" t="s">
        <v>1416</v>
      </c>
      <c r="C186" s="269" t="s">
        <v>665</v>
      </c>
      <c r="D186" s="91" t="s">
        <v>494</v>
      </c>
      <c r="E186" s="270">
        <v>3</v>
      </c>
      <c r="F186" s="270">
        <v>521.93</v>
      </c>
      <c r="G186" s="270">
        <f t="shared" si="6"/>
        <v>1565.79</v>
      </c>
      <c r="H186" s="271">
        <f t="shared" si="7"/>
        <v>0.000357633674205154</v>
      </c>
      <c r="I186" s="272">
        <f t="shared" si="8"/>
        <v>0.98646742352802</v>
      </c>
    </row>
    <row r="187" spans="1:9">
      <c r="A187" s="267" t="s">
        <v>1417</v>
      </c>
      <c r="B187" s="268" t="s">
        <v>1418</v>
      </c>
      <c r="C187" s="269" t="s">
        <v>1419</v>
      </c>
      <c r="D187" s="91" t="s">
        <v>839</v>
      </c>
      <c r="E187" s="270">
        <v>70.9766</v>
      </c>
      <c r="F187" s="270">
        <v>21.83</v>
      </c>
      <c r="G187" s="270">
        <f t="shared" si="6"/>
        <v>1549.42</v>
      </c>
      <c r="H187" s="271">
        <f t="shared" si="7"/>
        <v>0.000353894690531265</v>
      </c>
      <c r="I187" s="272">
        <f t="shared" si="8"/>
        <v>0.986821318218551</v>
      </c>
    </row>
    <row r="188" ht="38.25" spans="1:9">
      <c r="A188" s="267" t="s">
        <v>1420</v>
      </c>
      <c r="B188" s="268" t="s">
        <v>1421</v>
      </c>
      <c r="C188" s="269" t="s">
        <v>1422</v>
      </c>
      <c r="D188" s="91" t="s">
        <v>494</v>
      </c>
      <c r="E188" s="270">
        <v>0.095085</v>
      </c>
      <c r="F188" s="270">
        <v>15839.74</v>
      </c>
      <c r="G188" s="270">
        <f t="shared" si="6"/>
        <v>1506.12</v>
      </c>
      <c r="H188" s="271">
        <f t="shared" si="7"/>
        <v>0.000344004770367588</v>
      </c>
      <c r="I188" s="272">
        <f t="shared" si="8"/>
        <v>0.987165322988919</v>
      </c>
    </row>
    <row r="189" spans="1:9">
      <c r="A189" s="267" t="s">
        <v>1423</v>
      </c>
      <c r="B189" s="268" t="s">
        <v>1158</v>
      </c>
      <c r="C189" s="269" t="s">
        <v>1424</v>
      </c>
      <c r="D189" s="91" t="s">
        <v>463</v>
      </c>
      <c r="E189" s="270">
        <v>193.695</v>
      </c>
      <c r="F189" s="270">
        <v>7.55</v>
      </c>
      <c r="G189" s="270">
        <f t="shared" si="6"/>
        <v>1462.4</v>
      </c>
      <c r="H189" s="271">
        <f t="shared" si="7"/>
        <v>0.00033401892026237</v>
      </c>
      <c r="I189" s="272">
        <f t="shared" si="8"/>
        <v>0.987499341909181</v>
      </c>
    </row>
    <row r="190" spans="1:9">
      <c r="A190" s="267" t="s">
        <v>1425</v>
      </c>
      <c r="B190" s="268" t="s">
        <v>1346</v>
      </c>
      <c r="C190" s="269" t="s">
        <v>1426</v>
      </c>
      <c r="D190" s="91" t="s">
        <v>463</v>
      </c>
      <c r="E190" s="270">
        <v>972.879116</v>
      </c>
      <c r="F190" s="270">
        <v>1.5</v>
      </c>
      <c r="G190" s="270">
        <f t="shared" si="6"/>
        <v>1459.32</v>
      </c>
      <c r="H190" s="271">
        <f t="shared" si="7"/>
        <v>0.0003333154340244</v>
      </c>
      <c r="I190" s="272">
        <f t="shared" si="8"/>
        <v>0.987832657343205</v>
      </c>
    </row>
    <row r="191" ht="25.5" spans="1:9">
      <c r="A191" s="267" t="s">
        <v>1427</v>
      </c>
      <c r="B191" s="268" t="s">
        <v>1111</v>
      </c>
      <c r="C191" s="269" t="s">
        <v>1428</v>
      </c>
      <c r="D191" s="91" t="s">
        <v>839</v>
      </c>
      <c r="E191" s="270">
        <v>1864.377727</v>
      </c>
      <c r="F191" s="270">
        <v>0.78</v>
      </c>
      <c r="G191" s="270">
        <f t="shared" si="6"/>
        <v>1454.21</v>
      </c>
      <c r="H191" s="271">
        <f t="shared" si="7"/>
        <v>0.000332148286402312</v>
      </c>
      <c r="I191" s="272">
        <f t="shared" si="8"/>
        <v>0.988164805629608</v>
      </c>
    </row>
    <row r="192" spans="1:9">
      <c r="A192" s="267" t="s">
        <v>1429</v>
      </c>
      <c r="B192" s="268" t="s">
        <v>1430</v>
      </c>
      <c r="C192" s="269" t="s">
        <v>1431</v>
      </c>
      <c r="D192" s="91" t="s">
        <v>598</v>
      </c>
      <c r="E192" s="270">
        <v>9</v>
      </c>
      <c r="F192" s="270">
        <v>159.9</v>
      </c>
      <c r="G192" s="270">
        <f t="shared" si="6"/>
        <v>1439.1</v>
      </c>
      <c r="H192" s="271">
        <f t="shared" si="7"/>
        <v>0.000328697092553048</v>
      </c>
      <c r="I192" s="272">
        <f t="shared" si="8"/>
        <v>0.988493502722161</v>
      </c>
    </row>
    <row r="193" spans="1:9">
      <c r="A193" s="267" t="s">
        <v>1432</v>
      </c>
      <c r="B193" s="268" t="s">
        <v>1020</v>
      </c>
      <c r="C193" s="269" t="s">
        <v>1433</v>
      </c>
      <c r="D193" s="91" t="s">
        <v>839</v>
      </c>
      <c r="E193" s="270">
        <v>93.108679</v>
      </c>
      <c r="F193" s="270">
        <v>15.35</v>
      </c>
      <c r="G193" s="270">
        <f t="shared" si="6"/>
        <v>1429.22</v>
      </c>
      <c r="H193" s="271">
        <f t="shared" si="7"/>
        <v>0.000326440454880597</v>
      </c>
      <c r="I193" s="272">
        <f t="shared" si="8"/>
        <v>0.988819943177041</v>
      </c>
    </row>
    <row r="194" ht="25.5" spans="1:9">
      <c r="A194" s="267" t="s">
        <v>1434</v>
      </c>
      <c r="B194" s="268" t="s">
        <v>1002</v>
      </c>
      <c r="C194" s="269" t="s">
        <v>1435</v>
      </c>
      <c r="D194" s="91" t="s">
        <v>494</v>
      </c>
      <c r="E194" s="270">
        <v>0.022594</v>
      </c>
      <c r="F194" s="270">
        <v>61258.13</v>
      </c>
      <c r="G194" s="270">
        <f t="shared" si="6"/>
        <v>1384.07</v>
      </c>
      <c r="H194" s="271">
        <f t="shared" si="7"/>
        <v>0.000316127986164893</v>
      </c>
      <c r="I194" s="272">
        <f t="shared" si="8"/>
        <v>0.989136071163206</v>
      </c>
    </row>
    <row r="195" spans="1:9">
      <c r="A195" s="267" t="s">
        <v>1436</v>
      </c>
      <c r="B195" s="268" t="s">
        <v>1023</v>
      </c>
      <c r="C195" s="269" t="s">
        <v>1437</v>
      </c>
      <c r="D195" s="91" t="s">
        <v>839</v>
      </c>
      <c r="E195" s="270">
        <v>62.865871</v>
      </c>
      <c r="F195" s="270">
        <v>21.83</v>
      </c>
      <c r="G195" s="270">
        <f t="shared" ref="G195:G258" si="9">ROUND(E195*F195,2)</f>
        <v>1372.36</v>
      </c>
      <c r="H195" s="271">
        <f t="shared" ref="H195:H258" si="10">G195/$K$1</f>
        <v>0.000313453368032868</v>
      </c>
      <c r="I195" s="272">
        <f t="shared" si="8"/>
        <v>0.989449524531239</v>
      </c>
    </row>
    <row r="196" ht="25.5" spans="1:9">
      <c r="A196" s="267" t="s">
        <v>1438</v>
      </c>
      <c r="B196" s="268" t="s">
        <v>1439</v>
      </c>
      <c r="C196" s="269" t="s">
        <v>606</v>
      </c>
      <c r="D196" s="91" t="s">
        <v>494</v>
      </c>
      <c r="E196" s="270">
        <v>5</v>
      </c>
      <c r="F196" s="270">
        <v>259.4</v>
      </c>
      <c r="G196" s="270">
        <f t="shared" si="9"/>
        <v>1297</v>
      </c>
      <c r="H196" s="271">
        <f t="shared" si="10"/>
        <v>0.000296240795664862</v>
      </c>
      <c r="I196" s="272">
        <f t="shared" ref="I196:I259" si="11">H196+I195</f>
        <v>0.989745765326904</v>
      </c>
    </row>
    <row r="197" ht="38.25" spans="1:9">
      <c r="A197" s="267" t="s">
        <v>1440</v>
      </c>
      <c r="B197" s="268" t="s">
        <v>716</v>
      </c>
      <c r="C197" s="269" t="s">
        <v>717</v>
      </c>
      <c r="D197" s="91" t="s">
        <v>466</v>
      </c>
      <c r="E197" s="270">
        <v>2.25</v>
      </c>
      <c r="F197" s="270">
        <v>552.93</v>
      </c>
      <c r="G197" s="270">
        <f t="shared" si="9"/>
        <v>1244.09</v>
      </c>
      <c r="H197" s="271">
        <f t="shared" si="10"/>
        <v>0.000284155907076868</v>
      </c>
      <c r="I197" s="272">
        <f t="shared" si="11"/>
        <v>0.990029921233981</v>
      </c>
    </row>
    <row r="198" spans="1:9">
      <c r="A198" s="267" t="s">
        <v>1441</v>
      </c>
      <c r="B198" s="268" t="s">
        <v>1442</v>
      </c>
      <c r="C198" s="269" t="s">
        <v>1443</v>
      </c>
      <c r="D198" s="91" t="s">
        <v>463</v>
      </c>
      <c r="E198" s="270">
        <v>136.3302</v>
      </c>
      <c r="F198" s="270">
        <v>8.71</v>
      </c>
      <c r="G198" s="270">
        <f t="shared" si="9"/>
        <v>1187.44</v>
      </c>
      <c r="H198" s="271">
        <f t="shared" si="10"/>
        <v>0.00027121678519991</v>
      </c>
      <c r="I198" s="272">
        <f t="shared" si="11"/>
        <v>0.990301138019181</v>
      </c>
    </row>
    <row r="199" spans="1:9">
      <c r="A199" s="267" t="s">
        <v>1444</v>
      </c>
      <c r="B199" s="268" t="s">
        <v>1334</v>
      </c>
      <c r="C199" s="269" t="s">
        <v>1445</v>
      </c>
      <c r="D199" s="91" t="s">
        <v>466</v>
      </c>
      <c r="E199" s="270">
        <v>430.144</v>
      </c>
      <c r="F199" s="270">
        <v>2.76</v>
      </c>
      <c r="G199" s="270">
        <f t="shared" si="9"/>
        <v>1187.2</v>
      </c>
      <c r="H199" s="271">
        <f t="shared" si="10"/>
        <v>0.000271161968090458</v>
      </c>
      <c r="I199" s="272">
        <f t="shared" si="11"/>
        <v>0.990572299987271</v>
      </c>
    </row>
    <row r="200" spans="1:9">
      <c r="A200" s="267" t="s">
        <v>1446</v>
      </c>
      <c r="B200" s="268" t="s">
        <v>1447</v>
      </c>
      <c r="C200" s="269" t="s">
        <v>1448</v>
      </c>
      <c r="D200" s="91" t="s">
        <v>839</v>
      </c>
      <c r="E200" s="270">
        <v>67.529601</v>
      </c>
      <c r="F200" s="270">
        <v>17.58</v>
      </c>
      <c r="G200" s="270">
        <f t="shared" si="9"/>
        <v>1187.17</v>
      </c>
      <c r="H200" s="271">
        <f t="shared" si="10"/>
        <v>0.000271155115951777</v>
      </c>
      <c r="I200" s="272">
        <f t="shared" si="11"/>
        <v>0.990843455103223</v>
      </c>
    </row>
    <row r="201" ht="38.25" spans="1:9">
      <c r="A201" s="267" t="s">
        <v>1449</v>
      </c>
      <c r="B201" s="268" t="s">
        <v>1450</v>
      </c>
      <c r="C201" s="269" t="s">
        <v>1451</v>
      </c>
      <c r="D201" s="91" t="s">
        <v>112</v>
      </c>
      <c r="E201" s="270">
        <v>7.416</v>
      </c>
      <c r="F201" s="270">
        <v>149.05</v>
      </c>
      <c r="G201" s="270">
        <f t="shared" si="9"/>
        <v>1105.35</v>
      </c>
      <c r="H201" s="271">
        <f t="shared" si="10"/>
        <v>0.000252467049721014</v>
      </c>
      <c r="I201" s="272">
        <f t="shared" si="11"/>
        <v>0.991095922152944</v>
      </c>
    </row>
    <row r="202" ht="25.5" spans="1:9">
      <c r="A202" s="267" t="s">
        <v>1452</v>
      </c>
      <c r="B202" s="268" t="s">
        <v>1453</v>
      </c>
      <c r="C202" s="269" t="s">
        <v>1454</v>
      </c>
      <c r="D202" s="91" t="s">
        <v>839</v>
      </c>
      <c r="E202" s="270">
        <v>71.091572</v>
      </c>
      <c r="F202" s="270">
        <v>15.35</v>
      </c>
      <c r="G202" s="270">
        <f t="shared" si="9"/>
        <v>1091.26</v>
      </c>
      <c r="H202" s="271">
        <f t="shared" si="10"/>
        <v>0.000249248828586922</v>
      </c>
      <c r="I202" s="272">
        <f t="shared" si="11"/>
        <v>0.991345170981531</v>
      </c>
    </row>
    <row r="203" spans="1:9">
      <c r="A203" s="267" t="s">
        <v>1455</v>
      </c>
      <c r="B203" s="268" t="s">
        <v>1456</v>
      </c>
      <c r="C203" s="269" t="s">
        <v>1457</v>
      </c>
      <c r="D203" s="91" t="s">
        <v>463</v>
      </c>
      <c r="E203" s="270">
        <v>115.3246</v>
      </c>
      <c r="F203" s="270">
        <v>9.19</v>
      </c>
      <c r="G203" s="270">
        <f t="shared" si="9"/>
        <v>1059.83</v>
      </c>
      <c r="H203" s="271">
        <f t="shared" si="10"/>
        <v>0.000242070071294904</v>
      </c>
      <c r="I203" s="272">
        <f t="shared" si="11"/>
        <v>0.991587241052826</v>
      </c>
    </row>
    <row r="204" ht="51" spans="1:9">
      <c r="A204" s="267" t="s">
        <v>1458</v>
      </c>
      <c r="B204" s="268" t="s">
        <v>1459</v>
      </c>
      <c r="C204" s="269" t="s">
        <v>660</v>
      </c>
      <c r="D204" s="91" t="s">
        <v>494</v>
      </c>
      <c r="E204" s="270">
        <v>14</v>
      </c>
      <c r="F204" s="270">
        <v>75.45</v>
      </c>
      <c r="G204" s="270">
        <f t="shared" si="9"/>
        <v>1056.3</v>
      </c>
      <c r="H204" s="271">
        <f t="shared" si="10"/>
        <v>0.000241263802976711</v>
      </c>
      <c r="I204" s="272">
        <f t="shared" si="11"/>
        <v>0.991828504855803</v>
      </c>
    </row>
    <row r="205" spans="1:9">
      <c r="A205" s="267" t="s">
        <v>1460</v>
      </c>
      <c r="B205" s="268" t="s">
        <v>1461</v>
      </c>
      <c r="C205" s="269" t="s">
        <v>1462</v>
      </c>
      <c r="D205" s="91" t="s">
        <v>839</v>
      </c>
      <c r="E205" s="270">
        <v>72.59832</v>
      </c>
      <c r="F205" s="270">
        <v>14.49</v>
      </c>
      <c r="G205" s="270">
        <f t="shared" si="9"/>
        <v>1051.95</v>
      </c>
      <c r="H205" s="271">
        <f t="shared" si="10"/>
        <v>0.000240270242867889</v>
      </c>
      <c r="I205" s="272">
        <f t="shared" si="11"/>
        <v>0.99206877509867</v>
      </c>
    </row>
    <row r="206" spans="1:9">
      <c r="A206" s="267" t="s">
        <v>1463</v>
      </c>
      <c r="B206" s="268" t="s">
        <v>1464</v>
      </c>
      <c r="C206" s="269" t="s">
        <v>1465</v>
      </c>
      <c r="D206" s="91" t="s">
        <v>839</v>
      </c>
      <c r="E206" s="270">
        <v>65.836435</v>
      </c>
      <c r="F206" s="270">
        <v>15.96</v>
      </c>
      <c r="G206" s="270">
        <f t="shared" si="9"/>
        <v>1050.75</v>
      </c>
      <c r="H206" s="271">
        <f t="shared" si="10"/>
        <v>0.000239996157320627</v>
      </c>
      <c r="I206" s="272">
        <f t="shared" si="11"/>
        <v>0.992308771255991</v>
      </c>
    </row>
    <row r="207" ht="38.25" spans="1:9">
      <c r="A207" s="267" t="s">
        <v>1466</v>
      </c>
      <c r="B207" s="268" t="s">
        <v>1193</v>
      </c>
      <c r="C207" s="269" t="s">
        <v>1467</v>
      </c>
      <c r="D207" s="91" t="s">
        <v>112</v>
      </c>
      <c r="E207" s="270">
        <v>57.0768</v>
      </c>
      <c r="F207" s="270">
        <v>18.37</v>
      </c>
      <c r="G207" s="270">
        <f t="shared" si="9"/>
        <v>1048.5</v>
      </c>
      <c r="H207" s="271">
        <f t="shared" si="10"/>
        <v>0.000239482246919513</v>
      </c>
      <c r="I207" s="272">
        <f t="shared" si="11"/>
        <v>0.992548253502911</v>
      </c>
    </row>
    <row r="208" ht="25.5" spans="1:9">
      <c r="A208" s="267" t="s">
        <v>1468</v>
      </c>
      <c r="B208" s="268" t="s">
        <v>1111</v>
      </c>
      <c r="C208" s="269" t="s">
        <v>1469</v>
      </c>
      <c r="D208" s="91" t="s">
        <v>598</v>
      </c>
      <c r="E208" s="270">
        <v>9</v>
      </c>
      <c r="F208" s="270">
        <v>114.77</v>
      </c>
      <c r="G208" s="270">
        <f t="shared" si="9"/>
        <v>1032.93</v>
      </c>
      <c r="H208" s="271">
        <f t="shared" si="10"/>
        <v>0.000235925986943798</v>
      </c>
      <c r="I208" s="272">
        <f t="shared" si="11"/>
        <v>0.992784179489854</v>
      </c>
    </row>
    <row r="209" ht="25.5" spans="1:9">
      <c r="A209" s="267" t="s">
        <v>1470</v>
      </c>
      <c r="B209" s="268" t="s">
        <v>1471</v>
      </c>
      <c r="C209" s="269" t="s">
        <v>613</v>
      </c>
      <c r="D209" s="91" t="s">
        <v>494</v>
      </c>
      <c r="E209" s="270">
        <v>5</v>
      </c>
      <c r="F209" s="270">
        <v>204.51</v>
      </c>
      <c r="G209" s="270">
        <f t="shared" si="9"/>
        <v>1022.55</v>
      </c>
      <c r="H209" s="271">
        <f t="shared" si="10"/>
        <v>0.000233555146959988</v>
      </c>
      <c r="I209" s="272">
        <f t="shared" si="11"/>
        <v>0.993017734636814</v>
      </c>
    </row>
    <row r="210" spans="1:9">
      <c r="A210" s="267" t="s">
        <v>1472</v>
      </c>
      <c r="B210" s="268" t="s">
        <v>1473</v>
      </c>
      <c r="C210" s="269" t="s">
        <v>1474</v>
      </c>
      <c r="D210" s="91" t="s">
        <v>463</v>
      </c>
      <c r="E210" s="270">
        <v>334.06625</v>
      </c>
      <c r="F210" s="270">
        <v>3.04</v>
      </c>
      <c r="G210" s="270">
        <f t="shared" si="9"/>
        <v>1015.56</v>
      </c>
      <c r="H210" s="271">
        <f t="shared" si="10"/>
        <v>0.000231958598647191</v>
      </c>
      <c r="I210" s="272">
        <f t="shared" si="11"/>
        <v>0.993249693235462</v>
      </c>
    </row>
    <row r="211" spans="1:9">
      <c r="A211" s="267" t="s">
        <v>1475</v>
      </c>
      <c r="B211" s="268" t="s">
        <v>993</v>
      </c>
      <c r="C211" s="269" t="s">
        <v>1476</v>
      </c>
      <c r="D211" s="91" t="s">
        <v>839</v>
      </c>
      <c r="E211" s="270">
        <v>47.652927</v>
      </c>
      <c r="F211" s="270">
        <v>20.54</v>
      </c>
      <c r="G211" s="270">
        <f t="shared" si="9"/>
        <v>978.79</v>
      </c>
      <c r="H211" s="271">
        <f t="shared" si="10"/>
        <v>0.000223560160669861</v>
      </c>
      <c r="I211" s="272">
        <f t="shared" si="11"/>
        <v>0.993473253396131</v>
      </c>
    </row>
    <row r="212" ht="25.5" spans="1:9">
      <c r="A212" s="267" t="s">
        <v>1477</v>
      </c>
      <c r="B212" s="268" t="s">
        <v>1478</v>
      </c>
      <c r="C212" s="269" t="s">
        <v>1479</v>
      </c>
      <c r="D212" s="91" t="s">
        <v>476</v>
      </c>
      <c r="E212" s="270">
        <v>23.88908</v>
      </c>
      <c r="F212" s="270">
        <v>37.35</v>
      </c>
      <c r="G212" s="270">
        <f t="shared" si="9"/>
        <v>892.26</v>
      </c>
      <c r="H212" s="271">
        <f t="shared" si="10"/>
        <v>0.000203796308666099</v>
      </c>
      <c r="I212" s="272">
        <f t="shared" si="11"/>
        <v>0.993677049704797</v>
      </c>
    </row>
    <row r="213" ht="51" spans="1:9">
      <c r="A213" s="267" t="s">
        <v>1480</v>
      </c>
      <c r="B213" s="268" t="s">
        <v>1481</v>
      </c>
      <c r="C213" s="269" t="s">
        <v>689</v>
      </c>
      <c r="D213" s="91" t="s">
        <v>494</v>
      </c>
      <c r="E213" s="270">
        <v>1</v>
      </c>
      <c r="F213" s="270">
        <v>892</v>
      </c>
      <c r="G213" s="270">
        <f t="shared" si="9"/>
        <v>892</v>
      </c>
      <c r="H213" s="271">
        <f t="shared" si="10"/>
        <v>0.000203736923464192</v>
      </c>
      <c r="I213" s="272">
        <f t="shared" si="11"/>
        <v>0.993880786628262</v>
      </c>
    </row>
    <row r="214" ht="25.5" spans="1:9">
      <c r="A214" s="267" t="s">
        <v>1482</v>
      </c>
      <c r="B214" s="268" t="s">
        <v>1483</v>
      </c>
      <c r="C214" s="269" t="s">
        <v>1484</v>
      </c>
      <c r="D214" s="91" t="s">
        <v>112</v>
      </c>
      <c r="E214" s="270">
        <v>12.94125</v>
      </c>
      <c r="F214" s="270">
        <v>63.01</v>
      </c>
      <c r="G214" s="270">
        <f t="shared" si="9"/>
        <v>815.43</v>
      </c>
      <c r="H214" s="271">
        <f t="shared" si="10"/>
        <v>0.000186247981502697</v>
      </c>
      <c r="I214" s="272">
        <f t="shared" si="11"/>
        <v>0.994067034609764</v>
      </c>
    </row>
    <row r="215" spans="1:9">
      <c r="A215" s="267" t="s">
        <v>1485</v>
      </c>
      <c r="B215" s="268" t="s">
        <v>1418</v>
      </c>
      <c r="C215" s="269" t="s">
        <v>1486</v>
      </c>
      <c r="D215" s="91" t="s">
        <v>839</v>
      </c>
      <c r="E215" s="270">
        <v>52.82702</v>
      </c>
      <c r="F215" s="270">
        <v>15.35</v>
      </c>
      <c r="G215" s="270">
        <f t="shared" si="9"/>
        <v>810.89</v>
      </c>
      <c r="H215" s="271">
        <f t="shared" si="10"/>
        <v>0.000185211024515559</v>
      </c>
      <c r="I215" s="272">
        <f t="shared" si="11"/>
        <v>0.99425224563428</v>
      </c>
    </row>
    <row r="216" ht="25.5" spans="1:9">
      <c r="A216" s="267" t="s">
        <v>1487</v>
      </c>
      <c r="B216" s="268" t="s">
        <v>1393</v>
      </c>
      <c r="C216" s="269" t="s">
        <v>1488</v>
      </c>
      <c r="D216" s="91" t="s">
        <v>476</v>
      </c>
      <c r="E216" s="270">
        <v>3.42175</v>
      </c>
      <c r="F216" s="270">
        <v>227.89</v>
      </c>
      <c r="G216" s="270">
        <f t="shared" si="9"/>
        <v>779.78</v>
      </c>
      <c r="H216" s="271">
        <f t="shared" si="10"/>
        <v>0.000178105356702811</v>
      </c>
      <c r="I216" s="272">
        <f t="shared" si="11"/>
        <v>0.994430350990983</v>
      </c>
    </row>
    <row r="217" ht="38.25" spans="1:9">
      <c r="A217" s="267" t="s">
        <v>1489</v>
      </c>
      <c r="B217" s="268" t="s">
        <v>1490</v>
      </c>
      <c r="C217" s="269" t="s">
        <v>1491</v>
      </c>
      <c r="D217" s="91" t="s">
        <v>494</v>
      </c>
      <c r="E217" s="270">
        <v>3503.567531</v>
      </c>
      <c r="F217" s="270">
        <v>0.22</v>
      </c>
      <c r="G217" s="270">
        <f t="shared" si="9"/>
        <v>770.78</v>
      </c>
      <c r="H217" s="271">
        <f t="shared" si="10"/>
        <v>0.000176049715098352</v>
      </c>
      <c r="I217" s="272">
        <f t="shared" si="11"/>
        <v>0.994606400706081</v>
      </c>
    </row>
    <row r="218" spans="1:9">
      <c r="A218" s="267" t="s">
        <v>1492</v>
      </c>
      <c r="B218" s="268" t="s">
        <v>1493</v>
      </c>
      <c r="C218" s="269" t="s">
        <v>1494</v>
      </c>
      <c r="D218" s="91" t="s">
        <v>463</v>
      </c>
      <c r="E218" s="270">
        <v>65.312</v>
      </c>
      <c r="F218" s="270">
        <v>11.79</v>
      </c>
      <c r="G218" s="270">
        <f t="shared" si="9"/>
        <v>770.03</v>
      </c>
      <c r="H218" s="271">
        <f t="shared" si="10"/>
        <v>0.000175878411631314</v>
      </c>
      <c r="I218" s="272">
        <f t="shared" si="11"/>
        <v>0.994782279117712</v>
      </c>
    </row>
    <row r="219" ht="51" spans="1:9">
      <c r="A219" s="267" t="s">
        <v>1495</v>
      </c>
      <c r="B219" s="268" t="s">
        <v>1496</v>
      </c>
      <c r="C219" s="269" t="s">
        <v>628</v>
      </c>
      <c r="D219" s="91" t="s">
        <v>494</v>
      </c>
      <c r="E219" s="270">
        <v>1</v>
      </c>
      <c r="F219" s="270">
        <v>769.62</v>
      </c>
      <c r="G219" s="270">
        <f t="shared" si="9"/>
        <v>769.62</v>
      </c>
      <c r="H219" s="271">
        <f t="shared" si="10"/>
        <v>0.000175784765735999</v>
      </c>
      <c r="I219" s="272">
        <f t="shared" si="11"/>
        <v>0.994958063883448</v>
      </c>
    </row>
    <row r="220" ht="38.25" spans="1:9">
      <c r="A220" s="267" t="s">
        <v>1497</v>
      </c>
      <c r="B220" s="268" t="s">
        <v>1498</v>
      </c>
      <c r="C220" s="269" t="s">
        <v>1499</v>
      </c>
      <c r="D220" s="91" t="s">
        <v>466</v>
      </c>
      <c r="E220" s="270">
        <v>19.949079</v>
      </c>
      <c r="F220" s="270">
        <v>38.04</v>
      </c>
      <c r="G220" s="270">
        <f t="shared" si="9"/>
        <v>758.86</v>
      </c>
      <c r="H220" s="271">
        <f t="shared" si="10"/>
        <v>0.000173327131995557</v>
      </c>
      <c r="I220" s="272">
        <f t="shared" si="11"/>
        <v>0.995131391015444</v>
      </c>
    </row>
    <row r="221" ht="25.5" spans="1:9">
      <c r="A221" s="267" t="s">
        <v>1500</v>
      </c>
      <c r="B221" s="268" t="s">
        <v>1501</v>
      </c>
      <c r="C221" s="269" t="s">
        <v>1502</v>
      </c>
      <c r="D221" s="91" t="s">
        <v>494</v>
      </c>
      <c r="E221" s="270">
        <v>0.006735</v>
      </c>
      <c r="F221" s="270">
        <v>112079</v>
      </c>
      <c r="G221" s="270">
        <f t="shared" si="9"/>
        <v>754.85</v>
      </c>
      <c r="H221" s="271">
        <f t="shared" si="10"/>
        <v>0.000172411229458459</v>
      </c>
      <c r="I221" s="272">
        <f t="shared" si="11"/>
        <v>0.995303802244902</v>
      </c>
    </row>
    <row r="222" ht="25.5" spans="1:9">
      <c r="A222" s="267" t="s">
        <v>1503</v>
      </c>
      <c r="B222" s="268" t="s">
        <v>1143</v>
      </c>
      <c r="C222" s="269" t="s">
        <v>1504</v>
      </c>
      <c r="D222" s="91" t="s">
        <v>598</v>
      </c>
      <c r="E222" s="270">
        <v>48.5</v>
      </c>
      <c r="F222" s="270">
        <v>15.46</v>
      </c>
      <c r="G222" s="270">
        <f t="shared" si="9"/>
        <v>749.81</v>
      </c>
      <c r="H222" s="271">
        <f t="shared" si="10"/>
        <v>0.000171260070159962</v>
      </c>
      <c r="I222" s="272">
        <f t="shared" si="11"/>
        <v>0.995475062315062</v>
      </c>
    </row>
    <row r="223" ht="25.5" spans="1:9">
      <c r="A223" s="267" t="s">
        <v>1505</v>
      </c>
      <c r="B223" s="268" t="s">
        <v>1506</v>
      </c>
      <c r="C223" s="269" t="s">
        <v>1507</v>
      </c>
      <c r="D223" s="91" t="s">
        <v>839</v>
      </c>
      <c r="E223" s="270">
        <v>36.711383</v>
      </c>
      <c r="F223" s="270">
        <v>18</v>
      </c>
      <c r="G223" s="270">
        <f t="shared" si="9"/>
        <v>660.8</v>
      </c>
      <c r="H223" s="271">
        <f t="shared" si="10"/>
        <v>0.000150929774691859</v>
      </c>
      <c r="I223" s="272">
        <f t="shared" si="11"/>
        <v>0.995625992089754</v>
      </c>
    </row>
    <row r="224" ht="51" spans="1:9">
      <c r="A224" s="267" t="s">
        <v>1508</v>
      </c>
      <c r="B224" s="268" t="s">
        <v>1509</v>
      </c>
      <c r="C224" s="269" t="s">
        <v>600</v>
      </c>
      <c r="D224" s="91" t="s">
        <v>601</v>
      </c>
      <c r="E224" s="270">
        <v>23.25</v>
      </c>
      <c r="F224" s="270">
        <v>28.42</v>
      </c>
      <c r="G224" s="270">
        <f t="shared" si="9"/>
        <v>660.77</v>
      </c>
      <c r="H224" s="271">
        <f t="shared" si="10"/>
        <v>0.000150922922553177</v>
      </c>
      <c r="I224" s="272">
        <f t="shared" si="11"/>
        <v>0.995776915012307</v>
      </c>
    </row>
    <row r="225" ht="25.5" spans="1:9">
      <c r="A225" s="267" t="s">
        <v>1510</v>
      </c>
      <c r="B225" s="268" t="s">
        <v>1111</v>
      </c>
      <c r="C225" s="269" t="s">
        <v>1511</v>
      </c>
      <c r="D225" s="91" t="s">
        <v>598</v>
      </c>
      <c r="E225" s="270">
        <v>4.5</v>
      </c>
      <c r="F225" s="270">
        <v>146</v>
      </c>
      <c r="G225" s="270">
        <f t="shared" si="9"/>
        <v>657</v>
      </c>
      <c r="H225" s="271">
        <f t="shared" si="10"/>
        <v>0.000150061837125532</v>
      </c>
      <c r="I225" s="272">
        <f t="shared" si="11"/>
        <v>0.995926976849433</v>
      </c>
    </row>
    <row r="226" ht="51" spans="1:9">
      <c r="A226" s="267" t="s">
        <v>1512</v>
      </c>
      <c r="B226" s="268" t="s">
        <v>1513</v>
      </c>
      <c r="C226" s="269" t="s">
        <v>677</v>
      </c>
      <c r="D226" s="91" t="s">
        <v>494</v>
      </c>
      <c r="E226" s="270">
        <v>2</v>
      </c>
      <c r="F226" s="270">
        <v>326.45</v>
      </c>
      <c r="G226" s="270">
        <f t="shared" si="9"/>
        <v>652.9</v>
      </c>
      <c r="H226" s="271">
        <f t="shared" si="10"/>
        <v>0.000149125378172389</v>
      </c>
      <c r="I226" s="272">
        <f t="shared" si="11"/>
        <v>0.996076102227605</v>
      </c>
    </row>
    <row r="227" ht="63.75" spans="1:9">
      <c r="A227" s="267" t="s">
        <v>1514</v>
      </c>
      <c r="B227" s="268" t="s">
        <v>1002</v>
      </c>
      <c r="C227" s="269" t="s">
        <v>1515</v>
      </c>
      <c r="D227" s="91" t="s">
        <v>494</v>
      </c>
      <c r="E227" s="270">
        <v>0.006716</v>
      </c>
      <c r="F227" s="270">
        <v>85950</v>
      </c>
      <c r="G227" s="270">
        <f t="shared" si="9"/>
        <v>577.24</v>
      </c>
      <c r="H227" s="271">
        <f t="shared" si="10"/>
        <v>0.000131844284417567</v>
      </c>
      <c r="I227" s="272">
        <f t="shared" si="11"/>
        <v>0.996207946512023</v>
      </c>
    </row>
    <row r="228" ht="38.25" spans="1:9">
      <c r="A228" s="267" t="s">
        <v>1516</v>
      </c>
      <c r="B228" s="268" t="s">
        <v>1186</v>
      </c>
      <c r="C228" s="269" t="s">
        <v>1517</v>
      </c>
      <c r="D228" s="91" t="s">
        <v>112</v>
      </c>
      <c r="E228" s="270">
        <v>21.058125</v>
      </c>
      <c r="F228" s="270">
        <v>25.42</v>
      </c>
      <c r="G228" s="270">
        <f t="shared" si="9"/>
        <v>535.3</v>
      </c>
      <c r="H228" s="271">
        <f t="shared" si="10"/>
        <v>0.000122264994540787</v>
      </c>
      <c r="I228" s="272">
        <f t="shared" si="11"/>
        <v>0.996330211506564</v>
      </c>
    </row>
    <row r="229" ht="25.5" spans="1:9">
      <c r="A229" s="267" t="s">
        <v>1518</v>
      </c>
      <c r="B229" s="268" t="s">
        <v>1519</v>
      </c>
      <c r="C229" s="269" t="s">
        <v>1520</v>
      </c>
      <c r="D229" s="91" t="s">
        <v>476</v>
      </c>
      <c r="E229" s="270">
        <v>2.423973</v>
      </c>
      <c r="F229" s="270">
        <v>207.68</v>
      </c>
      <c r="G229" s="270">
        <f t="shared" si="9"/>
        <v>503.41</v>
      </c>
      <c r="H229" s="271">
        <f t="shared" si="10"/>
        <v>0.000114981171122319</v>
      </c>
      <c r="I229" s="272">
        <f t="shared" si="11"/>
        <v>0.996445192677686</v>
      </c>
    </row>
    <row r="230" ht="25.5" spans="1:9">
      <c r="A230" s="267" t="s">
        <v>1521</v>
      </c>
      <c r="B230" s="268" t="s">
        <v>1522</v>
      </c>
      <c r="C230" s="269" t="s">
        <v>1523</v>
      </c>
      <c r="D230" s="91" t="s">
        <v>494</v>
      </c>
      <c r="E230" s="270">
        <v>0.019815</v>
      </c>
      <c r="F230" s="270">
        <v>24832.13</v>
      </c>
      <c r="G230" s="270">
        <f t="shared" si="9"/>
        <v>492.05</v>
      </c>
      <c r="H230" s="271">
        <f t="shared" si="10"/>
        <v>0.000112386494608246</v>
      </c>
      <c r="I230" s="272">
        <f t="shared" si="11"/>
        <v>0.996557579172294</v>
      </c>
    </row>
    <row r="231" ht="89.25" spans="1:9">
      <c r="A231" s="267" t="s">
        <v>1524</v>
      </c>
      <c r="B231" s="268" t="s">
        <v>1525</v>
      </c>
      <c r="C231" s="269" t="s">
        <v>661</v>
      </c>
      <c r="D231" s="91" t="s">
        <v>494</v>
      </c>
      <c r="E231" s="270">
        <v>80</v>
      </c>
      <c r="F231" s="270">
        <v>6.11</v>
      </c>
      <c r="G231" s="270">
        <f t="shared" si="9"/>
        <v>488.8</v>
      </c>
      <c r="H231" s="271">
        <f t="shared" si="10"/>
        <v>0.000111644179584414</v>
      </c>
      <c r="I231" s="272">
        <f t="shared" si="11"/>
        <v>0.996669223351879</v>
      </c>
    </row>
    <row r="232" ht="38.25" spans="1:9">
      <c r="A232" s="267" t="s">
        <v>1526</v>
      </c>
      <c r="B232" s="268" t="s">
        <v>1527</v>
      </c>
      <c r="C232" s="269" t="s">
        <v>1528</v>
      </c>
      <c r="D232" s="91" t="s">
        <v>463</v>
      </c>
      <c r="E232" s="270">
        <v>100.683</v>
      </c>
      <c r="F232" s="270">
        <v>4.76</v>
      </c>
      <c r="G232" s="270">
        <f t="shared" si="9"/>
        <v>479.25</v>
      </c>
      <c r="H232" s="271">
        <f t="shared" si="10"/>
        <v>0.00010946291543746</v>
      </c>
      <c r="I232" s="272">
        <f t="shared" si="11"/>
        <v>0.996778686267316</v>
      </c>
    </row>
    <row r="233" ht="38.25" spans="1:9">
      <c r="A233" s="267" t="s">
        <v>1529</v>
      </c>
      <c r="B233" s="268" t="s">
        <v>1337</v>
      </c>
      <c r="C233" s="269" t="s">
        <v>1530</v>
      </c>
      <c r="D233" s="91" t="s">
        <v>494</v>
      </c>
      <c r="E233" s="270">
        <v>0.00033</v>
      </c>
      <c r="F233" s="270">
        <v>1400000</v>
      </c>
      <c r="G233" s="270">
        <f t="shared" si="9"/>
        <v>462</v>
      </c>
      <c r="H233" s="271">
        <f t="shared" si="10"/>
        <v>0.000105522935695579</v>
      </c>
      <c r="I233" s="272">
        <f t="shared" si="11"/>
        <v>0.996884209203012</v>
      </c>
    </row>
    <row r="234" ht="51" spans="1:9">
      <c r="A234" s="267" t="s">
        <v>1531</v>
      </c>
      <c r="B234" s="268" t="s">
        <v>1532</v>
      </c>
      <c r="C234" s="269" t="s">
        <v>645</v>
      </c>
      <c r="D234" s="91" t="s">
        <v>494</v>
      </c>
      <c r="E234" s="270">
        <v>2</v>
      </c>
      <c r="F234" s="270">
        <v>227.51</v>
      </c>
      <c r="G234" s="270">
        <f t="shared" si="9"/>
        <v>455.02</v>
      </c>
      <c r="H234" s="271">
        <f t="shared" si="10"/>
        <v>0.00010392867142901</v>
      </c>
      <c r="I234" s="272">
        <f t="shared" si="11"/>
        <v>0.996988137874441</v>
      </c>
    </row>
    <row r="235" ht="25.5" spans="1:9">
      <c r="A235" s="267" t="s">
        <v>1533</v>
      </c>
      <c r="B235" s="268" t="s">
        <v>1534</v>
      </c>
      <c r="C235" s="269" t="s">
        <v>1535</v>
      </c>
      <c r="D235" s="91" t="s">
        <v>1536</v>
      </c>
      <c r="E235" s="270">
        <v>2.0888</v>
      </c>
      <c r="F235" s="270">
        <v>214.19</v>
      </c>
      <c r="G235" s="270">
        <f t="shared" si="9"/>
        <v>447.4</v>
      </c>
      <c r="H235" s="271">
        <f t="shared" si="10"/>
        <v>0.000102188228203901</v>
      </c>
      <c r="I235" s="272">
        <f t="shared" si="11"/>
        <v>0.997090326102644</v>
      </c>
    </row>
    <row r="236" ht="38.25" spans="1:9">
      <c r="A236" s="267" t="s">
        <v>1537</v>
      </c>
      <c r="B236" s="268" t="s">
        <v>1538</v>
      </c>
      <c r="C236" s="269" t="s">
        <v>1539</v>
      </c>
      <c r="D236" s="91" t="s">
        <v>494</v>
      </c>
      <c r="E236" s="270">
        <v>0.000174</v>
      </c>
      <c r="F236" s="270">
        <v>2485831.6</v>
      </c>
      <c r="G236" s="270">
        <f t="shared" si="9"/>
        <v>432.53</v>
      </c>
      <c r="H236" s="271">
        <f t="shared" si="10"/>
        <v>9.87918514640885e-5</v>
      </c>
      <c r="I236" s="272">
        <f t="shared" si="11"/>
        <v>0.997189117954109</v>
      </c>
    </row>
    <row r="237" ht="38.25" spans="1:9">
      <c r="A237" s="267" t="s">
        <v>1540</v>
      </c>
      <c r="B237" s="268" t="s">
        <v>1541</v>
      </c>
      <c r="C237" s="269" t="s">
        <v>1542</v>
      </c>
      <c r="D237" s="91" t="s">
        <v>494</v>
      </c>
      <c r="E237" s="270">
        <v>0.020071</v>
      </c>
      <c r="F237" s="270">
        <v>21449.64</v>
      </c>
      <c r="G237" s="270">
        <f t="shared" si="9"/>
        <v>430.52</v>
      </c>
      <c r="H237" s="271">
        <f t="shared" si="10"/>
        <v>9.83327581724259e-5</v>
      </c>
      <c r="I237" s="272">
        <f t="shared" si="11"/>
        <v>0.997287450712281</v>
      </c>
    </row>
    <row r="238" ht="51" spans="1:9">
      <c r="A238" s="267" t="s">
        <v>1543</v>
      </c>
      <c r="B238" s="268" t="s">
        <v>1544</v>
      </c>
      <c r="C238" s="269" t="s">
        <v>1545</v>
      </c>
      <c r="D238" s="91" t="s">
        <v>494</v>
      </c>
      <c r="E238" s="270">
        <v>0.158775</v>
      </c>
      <c r="F238" s="270">
        <v>2704.81</v>
      </c>
      <c r="G238" s="270">
        <f t="shared" si="9"/>
        <v>429.46</v>
      </c>
      <c r="H238" s="271">
        <f t="shared" si="10"/>
        <v>9.80906492723451e-5</v>
      </c>
      <c r="I238" s="272">
        <f t="shared" si="11"/>
        <v>0.997385541361553</v>
      </c>
    </row>
    <row r="239" spans="1:9">
      <c r="A239" s="267" t="s">
        <v>1546</v>
      </c>
      <c r="B239" s="268" t="s">
        <v>1493</v>
      </c>
      <c r="C239" s="269" t="s">
        <v>1547</v>
      </c>
      <c r="D239" s="91" t="s">
        <v>494</v>
      </c>
      <c r="E239" s="270">
        <v>0.973338</v>
      </c>
      <c r="F239" s="270">
        <v>421.37</v>
      </c>
      <c r="G239" s="270">
        <f t="shared" si="9"/>
        <v>410.14</v>
      </c>
      <c r="H239" s="271">
        <f t="shared" si="10"/>
        <v>9.36778719614391e-5</v>
      </c>
      <c r="I239" s="272">
        <f t="shared" si="11"/>
        <v>0.997479219233515</v>
      </c>
    </row>
    <row r="240" spans="1:9">
      <c r="A240" s="267" t="s">
        <v>1548</v>
      </c>
      <c r="B240" s="268" t="s">
        <v>1549</v>
      </c>
      <c r="C240" s="269" t="s">
        <v>1550</v>
      </c>
      <c r="D240" s="91" t="s">
        <v>839</v>
      </c>
      <c r="E240" s="270">
        <v>25.727936</v>
      </c>
      <c r="F240" s="270">
        <v>15.27</v>
      </c>
      <c r="G240" s="270">
        <f t="shared" si="9"/>
        <v>392.87</v>
      </c>
      <c r="H240" s="271">
        <f t="shared" si="10"/>
        <v>8.97333241271044e-5</v>
      </c>
      <c r="I240" s="272">
        <f t="shared" si="11"/>
        <v>0.997568952557642</v>
      </c>
    </row>
    <row r="241" spans="1:9">
      <c r="A241" s="267" t="s">
        <v>1551</v>
      </c>
      <c r="B241" s="268" t="s">
        <v>1405</v>
      </c>
      <c r="C241" s="269" t="s">
        <v>1552</v>
      </c>
      <c r="D241" s="91" t="s">
        <v>839</v>
      </c>
      <c r="E241" s="270">
        <v>16.903238</v>
      </c>
      <c r="F241" s="270">
        <v>21.55</v>
      </c>
      <c r="G241" s="270">
        <f t="shared" si="9"/>
        <v>364.26</v>
      </c>
      <c r="H241" s="271">
        <f t="shared" si="10"/>
        <v>8.31986678711509e-5</v>
      </c>
      <c r="I241" s="272">
        <f t="shared" si="11"/>
        <v>0.997652151225513</v>
      </c>
    </row>
    <row r="242" ht="25.5" spans="1:9">
      <c r="A242" s="267" t="s">
        <v>1553</v>
      </c>
      <c r="B242" s="268" t="s">
        <v>1111</v>
      </c>
      <c r="C242" s="269" t="s">
        <v>1554</v>
      </c>
      <c r="D242" s="91" t="s">
        <v>839</v>
      </c>
      <c r="E242" s="270">
        <v>469.852895</v>
      </c>
      <c r="F242" s="270">
        <v>0.74</v>
      </c>
      <c r="G242" s="270">
        <f t="shared" si="9"/>
        <v>347.69</v>
      </c>
      <c r="H242" s="271">
        <f t="shared" si="10"/>
        <v>7.94140032727185e-5</v>
      </c>
      <c r="I242" s="272">
        <f t="shared" si="11"/>
        <v>0.997731565228786</v>
      </c>
    </row>
    <row r="243" ht="38.25" spans="1:9">
      <c r="A243" s="267" t="s">
        <v>1555</v>
      </c>
      <c r="B243" s="268" t="s">
        <v>1556</v>
      </c>
      <c r="C243" s="269" t="s">
        <v>1557</v>
      </c>
      <c r="D243" s="91" t="s">
        <v>112</v>
      </c>
      <c r="E243" s="270">
        <v>10.0734</v>
      </c>
      <c r="F243" s="270">
        <v>34.35</v>
      </c>
      <c r="G243" s="270">
        <f t="shared" si="9"/>
        <v>346.02</v>
      </c>
      <c r="H243" s="271">
        <f t="shared" si="10"/>
        <v>7.90325675527799e-5</v>
      </c>
      <c r="I243" s="272">
        <f t="shared" si="11"/>
        <v>0.997810597796339</v>
      </c>
    </row>
    <row r="244" ht="25.5" spans="1:9">
      <c r="A244" s="267" t="s">
        <v>1558</v>
      </c>
      <c r="B244" s="268" t="s">
        <v>1111</v>
      </c>
      <c r="C244" s="269" t="s">
        <v>1559</v>
      </c>
      <c r="D244" s="91" t="s">
        <v>839</v>
      </c>
      <c r="E244" s="270">
        <v>301.17782</v>
      </c>
      <c r="F244" s="270">
        <v>1.13</v>
      </c>
      <c r="G244" s="270">
        <f t="shared" si="9"/>
        <v>340.33</v>
      </c>
      <c r="H244" s="271">
        <f t="shared" si="10"/>
        <v>7.77329452495162e-5</v>
      </c>
      <c r="I244" s="272">
        <f t="shared" si="11"/>
        <v>0.997888330741588</v>
      </c>
    </row>
    <row r="245" ht="38.25" spans="1:9">
      <c r="A245" s="267" t="s">
        <v>1560</v>
      </c>
      <c r="B245" s="268" t="s">
        <v>1561</v>
      </c>
      <c r="C245" s="269" t="s">
        <v>1562</v>
      </c>
      <c r="D245" s="91" t="s">
        <v>494</v>
      </c>
      <c r="E245" s="270">
        <v>0.000408</v>
      </c>
      <c r="F245" s="270">
        <v>778642.87</v>
      </c>
      <c r="G245" s="270">
        <f t="shared" si="9"/>
        <v>317.69</v>
      </c>
      <c r="H245" s="271">
        <f t="shared" si="10"/>
        <v>7.25618645911874e-5</v>
      </c>
      <c r="I245" s="272">
        <f t="shared" si="11"/>
        <v>0.997960892606179</v>
      </c>
    </row>
    <row r="246" spans="1:9">
      <c r="A246" s="267" t="s">
        <v>1563</v>
      </c>
      <c r="B246" s="268" t="s">
        <v>1564</v>
      </c>
      <c r="C246" s="269" t="s">
        <v>1565</v>
      </c>
      <c r="D246" s="91" t="s">
        <v>463</v>
      </c>
      <c r="E246" s="270">
        <v>34.714112</v>
      </c>
      <c r="F246" s="270">
        <v>9.05</v>
      </c>
      <c r="G246" s="270">
        <f t="shared" si="9"/>
        <v>314.16</v>
      </c>
      <c r="H246" s="271">
        <f t="shared" si="10"/>
        <v>7.17555962729939e-5</v>
      </c>
      <c r="I246" s="272">
        <f t="shared" si="11"/>
        <v>0.998032648202452</v>
      </c>
    </row>
    <row r="247" ht="25.5" spans="1:9">
      <c r="A247" s="267" t="s">
        <v>1566</v>
      </c>
      <c r="B247" s="268" t="s">
        <v>1567</v>
      </c>
      <c r="C247" s="269" t="s">
        <v>1568</v>
      </c>
      <c r="D247" s="91" t="s">
        <v>494</v>
      </c>
      <c r="E247" s="270">
        <v>100.8634</v>
      </c>
      <c r="F247" s="270">
        <v>2.92</v>
      </c>
      <c r="G247" s="270">
        <f t="shared" si="9"/>
        <v>294.52</v>
      </c>
      <c r="H247" s="271">
        <f t="shared" si="10"/>
        <v>6.72697294828182e-5</v>
      </c>
      <c r="I247" s="272">
        <f t="shared" si="11"/>
        <v>0.998099917931935</v>
      </c>
    </row>
    <row r="248" ht="25.5" spans="1:9">
      <c r="A248" s="267" t="s">
        <v>1569</v>
      </c>
      <c r="B248" s="268" t="s">
        <v>1111</v>
      </c>
      <c r="C248" s="269" t="s">
        <v>1570</v>
      </c>
      <c r="D248" s="91" t="s">
        <v>598</v>
      </c>
      <c r="E248" s="270">
        <v>26</v>
      </c>
      <c r="F248" s="270">
        <v>11.14</v>
      </c>
      <c r="G248" s="270">
        <f t="shared" si="9"/>
        <v>289.64</v>
      </c>
      <c r="H248" s="271">
        <f t="shared" si="10"/>
        <v>6.61551149239558e-5</v>
      </c>
      <c r="I248" s="272">
        <f t="shared" si="11"/>
        <v>0.998166073046859</v>
      </c>
    </row>
    <row r="249" ht="38.25" spans="1:9">
      <c r="A249" s="267" t="s">
        <v>1571</v>
      </c>
      <c r="B249" s="268" t="s">
        <v>1572</v>
      </c>
      <c r="C249" s="269" t="s">
        <v>1573</v>
      </c>
      <c r="D249" s="91" t="s">
        <v>494</v>
      </c>
      <c r="E249" s="270">
        <v>1</v>
      </c>
      <c r="F249" s="270">
        <v>281.67</v>
      </c>
      <c r="G249" s="270">
        <f t="shared" si="9"/>
        <v>281.67</v>
      </c>
      <c r="H249" s="271">
        <f t="shared" si="10"/>
        <v>6.43347300808957e-5</v>
      </c>
      <c r="I249" s="272">
        <f t="shared" si="11"/>
        <v>0.99823040777694</v>
      </c>
    </row>
    <row r="250" spans="1:9">
      <c r="A250" s="267" t="s">
        <v>1574</v>
      </c>
      <c r="B250" s="268" t="s">
        <v>1575</v>
      </c>
      <c r="C250" s="269" t="s">
        <v>1576</v>
      </c>
      <c r="D250" s="91" t="s">
        <v>494</v>
      </c>
      <c r="E250" s="270">
        <v>1.0851</v>
      </c>
      <c r="F250" s="270">
        <v>256.5</v>
      </c>
      <c r="G250" s="270">
        <f t="shared" si="9"/>
        <v>278.33</v>
      </c>
      <c r="H250" s="271">
        <f t="shared" si="10"/>
        <v>6.35718586410185e-5</v>
      </c>
      <c r="I250" s="272">
        <f t="shared" si="11"/>
        <v>0.998293979635581</v>
      </c>
    </row>
    <row r="251" ht="38.25" spans="1:9">
      <c r="A251" s="267" t="s">
        <v>1577</v>
      </c>
      <c r="B251" s="268" t="s">
        <v>1578</v>
      </c>
      <c r="C251" s="269" t="s">
        <v>1579</v>
      </c>
      <c r="D251" s="91" t="s">
        <v>494</v>
      </c>
      <c r="E251" s="270">
        <v>0.000236</v>
      </c>
      <c r="F251" s="270">
        <v>1150000</v>
      </c>
      <c r="G251" s="270">
        <f t="shared" si="9"/>
        <v>271.4</v>
      </c>
      <c r="H251" s="271">
        <f t="shared" si="10"/>
        <v>6.19890146055849e-5</v>
      </c>
      <c r="I251" s="272">
        <f t="shared" si="11"/>
        <v>0.998355968650186</v>
      </c>
    </row>
    <row r="252" ht="38.25" spans="1:9">
      <c r="A252" s="267" t="s">
        <v>1580</v>
      </c>
      <c r="B252" s="268" t="s">
        <v>1581</v>
      </c>
      <c r="C252" s="269" t="s">
        <v>1582</v>
      </c>
      <c r="D252" s="91" t="s">
        <v>112</v>
      </c>
      <c r="E252" s="270">
        <v>38.006725</v>
      </c>
      <c r="F252" s="270">
        <v>7.07</v>
      </c>
      <c r="G252" s="270">
        <f t="shared" si="9"/>
        <v>268.71</v>
      </c>
      <c r="H252" s="271">
        <f t="shared" si="10"/>
        <v>6.13746061704742e-5</v>
      </c>
      <c r="I252" s="272">
        <f t="shared" si="11"/>
        <v>0.998417343256357</v>
      </c>
    </row>
    <row r="253" ht="38.25" spans="1:9">
      <c r="A253" s="267" t="s">
        <v>1583</v>
      </c>
      <c r="B253" s="268" t="s">
        <v>1584</v>
      </c>
      <c r="C253" s="269" t="s">
        <v>650</v>
      </c>
      <c r="D253" s="91" t="s">
        <v>112</v>
      </c>
      <c r="E253" s="270">
        <v>15</v>
      </c>
      <c r="F253" s="270">
        <v>17.06</v>
      </c>
      <c r="G253" s="270">
        <f t="shared" si="9"/>
        <v>255.9</v>
      </c>
      <c r="H253" s="271">
        <f t="shared" si="10"/>
        <v>5.84487429534605e-5</v>
      </c>
      <c r="I253" s="272">
        <f t="shared" si="11"/>
        <v>0.99847579199931</v>
      </c>
    </row>
    <row r="254" ht="25.5" spans="1:9">
      <c r="A254" s="267" t="s">
        <v>1585</v>
      </c>
      <c r="B254" s="268" t="s">
        <v>1586</v>
      </c>
      <c r="C254" s="269" t="s">
        <v>1587</v>
      </c>
      <c r="D254" s="91" t="s">
        <v>215</v>
      </c>
      <c r="E254" s="270">
        <v>34.847499</v>
      </c>
      <c r="F254" s="270">
        <v>7.16</v>
      </c>
      <c r="G254" s="270">
        <f t="shared" si="9"/>
        <v>249.51</v>
      </c>
      <c r="H254" s="271">
        <f t="shared" si="10"/>
        <v>5.69892374142943e-5</v>
      </c>
      <c r="I254" s="272">
        <f t="shared" si="11"/>
        <v>0.998532781236725</v>
      </c>
    </row>
    <row r="255" ht="25.5" spans="1:9">
      <c r="A255" s="267" t="s">
        <v>1588</v>
      </c>
      <c r="B255" s="268" t="s">
        <v>1589</v>
      </c>
      <c r="C255" s="269" t="s">
        <v>1590</v>
      </c>
      <c r="D255" s="91" t="s">
        <v>112</v>
      </c>
      <c r="E255" s="270">
        <v>28.0775</v>
      </c>
      <c r="F255" s="270">
        <v>8.79</v>
      </c>
      <c r="G255" s="270">
        <f t="shared" si="9"/>
        <v>246.8</v>
      </c>
      <c r="H255" s="271">
        <f t="shared" si="10"/>
        <v>5.63702608867293e-5</v>
      </c>
      <c r="I255" s="272">
        <f t="shared" si="11"/>
        <v>0.998589151497612</v>
      </c>
    </row>
    <row r="256" ht="38.25" spans="1:9">
      <c r="A256" s="267" t="s">
        <v>1591</v>
      </c>
      <c r="B256" s="268" t="s">
        <v>1592</v>
      </c>
      <c r="C256" s="269" t="s">
        <v>1593</v>
      </c>
      <c r="D256" s="91" t="s">
        <v>494</v>
      </c>
      <c r="E256" s="270">
        <v>2</v>
      </c>
      <c r="F256" s="270">
        <v>122.65</v>
      </c>
      <c r="G256" s="270">
        <f t="shared" si="9"/>
        <v>245.3</v>
      </c>
      <c r="H256" s="271">
        <f t="shared" si="10"/>
        <v>5.60276539526528e-5</v>
      </c>
      <c r="I256" s="272">
        <f t="shared" si="11"/>
        <v>0.998645179151564</v>
      </c>
    </row>
    <row r="257" ht="51" spans="1:9">
      <c r="A257" s="267" t="s">
        <v>1594</v>
      </c>
      <c r="B257" s="268" t="s">
        <v>1595</v>
      </c>
      <c r="C257" s="269" t="s">
        <v>631</v>
      </c>
      <c r="D257" s="91" t="s">
        <v>494</v>
      </c>
      <c r="E257" s="270">
        <v>2</v>
      </c>
      <c r="F257" s="270">
        <v>96.2</v>
      </c>
      <c r="G257" s="270">
        <f t="shared" si="9"/>
        <v>192.4</v>
      </c>
      <c r="H257" s="271">
        <f t="shared" si="10"/>
        <v>4.39450494108863e-5</v>
      </c>
      <c r="I257" s="272">
        <f t="shared" si="11"/>
        <v>0.998689124200975</v>
      </c>
    </row>
    <row r="258" spans="1:9">
      <c r="A258" s="267" t="s">
        <v>1596</v>
      </c>
      <c r="B258" s="268" t="s">
        <v>1251</v>
      </c>
      <c r="C258" s="269" t="s">
        <v>1597</v>
      </c>
      <c r="D258" s="91" t="s">
        <v>463</v>
      </c>
      <c r="E258" s="270">
        <v>9.86359</v>
      </c>
      <c r="F258" s="270">
        <v>18.72</v>
      </c>
      <c r="G258" s="270">
        <f t="shared" si="9"/>
        <v>184.65</v>
      </c>
      <c r="H258" s="271">
        <f t="shared" si="10"/>
        <v>4.2174913584824e-5</v>
      </c>
      <c r="I258" s="272">
        <f t="shared" si="11"/>
        <v>0.99873129911456</v>
      </c>
    </row>
    <row r="259" spans="1:9">
      <c r="A259" s="267" t="s">
        <v>1598</v>
      </c>
      <c r="B259" s="268" t="s">
        <v>1599</v>
      </c>
      <c r="C259" s="269" t="s">
        <v>1600</v>
      </c>
      <c r="D259" s="91" t="s">
        <v>494</v>
      </c>
      <c r="E259" s="270">
        <v>0.271275</v>
      </c>
      <c r="F259" s="270">
        <v>666.25</v>
      </c>
      <c r="G259" s="270">
        <f t="shared" ref="G259:G322" si="12">ROUND(E259*F259,2)</f>
        <v>180.74</v>
      </c>
      <c r="H259" s="271">
        <f t="shared" ref="H259:H322" si="13">G259/$K$1</f>
        <v>4.12818515099978e-5</v>
      </c>
      <c r="I259" s="272">
        <f t="shared" si="11"/>
        <v>0.99877258096607</v>
      </c>
    </row>
    <row r="260" ht="25.5" spans="1:9">
      <c r="A260" s="267" t="s">
        <v>1601</v>
      </c>
      <c r="B260" s="268" t="s">
        <v>1602</v>
      </c>
      <c r="C260" s="269" t="s">
        <v>1603</v>
      </c>
      <c r="D260" s="91" t="s">
        <v>112</v>
      </c>
      <c r="E260" s="270">
        <v>66.270726</v>
      </c>
      <c r="F260" s="270">
        <v>2.72</v>
      </c>
      <c r="G260" s="270">
        <f t="shared" si="12"/>
        <v>180.26</v>
      </c>
      <c r="H260" s="271">
        <f t="shared" si="13"/>
        <v>4.11722172910933e-5</v>
      </c>
      <c r="I260" s="272">
        <f t="shared" ref="I260:I323" si="14">H260+I259</f>
        <v>0.998813753183361</v>
      </c>
    </row>
    <row r="261" spans="1:9">
      <c r="A261" s="267" t="s">
        <v>1604</v>
      </c>
      <c r="B261" s="268" t="s">
        <v>1605</v>
      </c>
      <c r="C261" s="269" t="s">
        <v>1606</v>
      </c>
      <c r="D261" s="91" t="s">
        <v>494</v>
      </c>
      <c r="E261" s="270">
        <v>9.9e-5</v>
      </c>
      <c r="F261" s="270">
        <v>1707216.73</v>
      </c>
      <c r="G261" s="270">
        <f t="shared" si="12"/>
        <v>169.01</v>
      </c>
      <c r="H261" s="271">
        <f t="shared" si="13"/>
        <v>3.86026652855191e-5</v>
      </c>
      <c r="I261" s="272">
        <f t="shared" si="14"/>
        <v>0.998852355848646</v>
      </c>
    </row>
    <row r="262" ht="25.5" spans="1:9">
      <c r="A262" s="267" t="s">
        <v>1607</v>
      </c>
      <c r="B262" s="268" t="s">
        <v>1608</v>
      </c>
      <c r="C262" s="269" t="s">
        <v>1609</v>
      </c>
      <c r="D262" s="91" t="s">
        <v>494</v>
      </c>
      <c r="E262" s="270">
        <v>0.000842</v>
      </c>
      <c r="F262" s="270">
        <v>198933.33</v>
      </c>
      <c r="G262" s="270">
        <f t="shared" si="12"/>
        <v>167.5</v>
      </c>
      <c r="H262" s="271">
        <f t="shared" si="13"/>
        <v>3.82577743052154e-5</v>
      </c>
      <c r="I262" s="272">
        <f t="shared" si="14"/>
        <v>0.998890613622952</v>
      </c>
    </row>
    <row r="263" ht="51" spans="1:9">
      <c r="A263" s="267" t="s">
        <v>1610</v>
      </c>
      <c r="B263" s="268" t="s">
        <v>1611</v>
      </c>
      <c r="C263" s="269" t="s">
        <v>657</v>
      </c>
      <c r="D263" s="91" t="s">
        <v>494</v>
      </c>
      <c r="E263" s="270">
        <v>2</v>
      </c>
      <c r="F263" s="270">
        <v>83.24</v>
      </c>
      <c r="G263" s="270">
        <f t="shared" si="12"/>
        <v>166.48</v>
      </c>
      <c r="H263" s="271">
        <f t="shared" si="13"/>
        <v>3.80248015900434e-5</v>
      </c>
      <c r="I263" s="272">
        <f t="shared" si="14"/>
        <v>0.998928638424542</v>
      </c>
    </row>
    <row r="264" ht="25.5" spans="1:9">
      <c r="A264" s="267" t="s">
        <v>1612</v>
      </c>
      <c r="B264" s="268" t="s">
        <v>1111</v>
      </c>
      <c r="C264" s="269" t="s">
        <v>1613</v>
      </c>
      <c r="D264" s="91" t="s">
        <v>839</v>
      </c>
      <c r="E264" s="270">
        <v>131.48</v>
      </c>
      <c r="F264" s="270">
        <v>1.26</v>
      </c>
      <c r="G264" s="270">
        <f t="shared" si="12"/>
        <v>165.66</v>
      </c>
      <c r="H264" s="271">
        <f t="shared" si="13"/>
        <v>3.78375097994148e-5</v>
      </c>
      <c r="I264" s="272">
        <f t="shared" si="14"/>
        <v>0.998966475934341</v>
      </c>
    </row>
    <row r="265" ht="25.5" spans="1:9">
      <c r="A265" s="267" t="s">
        <v>1614</v>
      </c>
      <c r="B265" s="268" t="s">
        <v>1364</v>
      </c>
      <c r="C265" s="269" t="s">
        <v>1615</v>
      </c>
      <c r="D265" s="91" t="s">
        <v>112</v>
      </c>
      <c r="E265" s="270">
        <v>19.946688</v>
      </c>
      <c r="F265" s="270">
        <v>8.28</v>
      </c>
      <c r="G265" s="270">
        <f t="shared" si="12"/>
        <v>165.16</v>
      </c>
      <c r="H265" s="271">
        <f t="shared" si="13"/>
        <v>3.7723307488056e-5</v>
      </c>
      <c r="I265" s="272">
        <f t="shared" si="14"/>
        <v>0.999004199241829</v>
      </c>
    </row>
    <row r="266" ht="25.5" spans="1:9">
      <c r="A266" s="267" t="s">
        <v>1616</v>
      </c>
      <c r="B266" s="268" t="s">
        <v>1617</v>
      </c>
      <c r="C266" s="269" t="s">
        <v>1618</v>
      </c>
      <c r="D266" s="91" t="s">
        <v>494</v>
      </c>
      <c r="E266" s="270">
        <v>121.5126</v>
      </c>
      <c r="F266" s="270">
        <v>1.35</v>
      </c>
      <c r="G266" s="270">
        <f t="shared" si="12"/>
        <v>164.04</v>
      </c>
      <c r="H266" s="271">
        <f t="shared" si="13"/>
        <v>3.74674943106122e-5</v>
      </c>
      <c r="I266" s="272">
        <f t="shared" si="14"/>
        <v>0.99904166673614</v>
      </c>
    </row>
    <row r="267" spans="1:9">
      <c r="A267" s="267" t="s">
        <v>1619</v>
      </c>
      <c r="B267" s="268" t="s">
        <v>1620</v>
      </c>
      <c r="C267" s="269" t="s">
        <v>1621</v>
      </c>
      <c r="D267" s="91" t="s">
        <v>839</v>
      </c>
      <c r="E267" s="270">
        <v>6.552337</v>
      </c>
      <c r="F267" s="270">
        <v>21.83</v>
      </c>
      <c r="G267" s="270">
        <f t="shared" si="12"/>
        <v>143.04</v>
      </c>
      <c r="H267" s="271">
        <f t="shared" si="13"/>
        <v>3.26709972335404e-5</v>
      </c>
      <c r="I267" s="272">
        <f t="shared" si="14"/>
        <v>0.999074337733374</v>
      </c>
    </row>
    <row r="268" spans="1:9">
      <c r="A268" s="267" t="s">
        <v>1622</v>
      </c>
      <c r="B268" s="268" t="s">
        <v>1623</v>
      </c>
      <c r="C268" s="269" t="s">
        <v>1624</v>
      </c>
      <c r="D268" s="91" t="s">
        <v>494</v>
      </c>
      <c r="E268" s="270">
        <v>0.54255</v>
      </c>
      <c r="F268" s="270">
        <v>262.2</v>
      </c>
      <c r="G268" s="270">
        <f t="shared" si="12"/>
        <v>142.26</v>
      </c>
      <c r="H268" s="271">
        <f t="shared" si="13"/>
        <v>3.24928416278206e-5</v>
      </c>
      <c r="I268" s="272">
        <f t="shared" si="14"/>
        <v>0.999106830575001</v>
      </c>
    </row>
    <row r="269" ht="25.5" spans="1:9">
      <c r="A269" s="267" t="s">
        <v>1625</v>
      </c>
      <c r="B269" s="268" t="s">
        <v>1625</v>
      </c>
      <c r="C269" s="269" t="s">
        <v>1626</v>
      </c>
      <c r="D269" s="91" t="s">
        <v>215</v>
      </c>
      <c r="E269" s="270">
        <v>1.525772</v>
      </c>
      <c r="F269" s="270">
        <v>92.22</v>
      </c>
      <c r="G269" s="270">
        <f t="shared" si="12"/>
        <v>140.71</v>
      </c>
      <c r="H269" s="271">
        <f t="shared" si="13"/>
        <v>3.21388144626081e-5</v>
      </c>
      <c r="I269" s="272">
        <f t="shared" si="14"/>
        <v>0.999138969389464</v>
      </c>
    </row>
    <row r="270" ht="38.25" spans="1:9">
      <c r="A270" s="267" t="s">
        <v>1627</v>
      </c>
      <c r="B270" s="268" t="s">
        <v>1111</v>
      </c>
      <c r="C270" s="269" t="s">
        <v>1628</v>
      </c>
      <c r="D270" s="91" t="s">
        <v>598</v>
      </c>
      <c r="E270" s="270">
        <v>9</v>
      </c>
      <c r="F270" s="270">
        <v>15.46</v>
      </c>
      <c r="G270" s="270">
        <f t="shared" si="12"/>
        <v>139.14</v>
      </c>
      <c r="H270" s="271">
        <f t="shared" si="13"/>
        <v>3.17802192049413e-5</v>
      </c>
      <c r="I270" s="272">
        <f t="shared" si="14"/>
        <v>0.999170749608669</v>
      </c>
    </row>
    <row r="271" ht="38.25" spans="1:9">
      <c r="A271" s="267" t="s">
        <v>1629</v>
      </c>
      <c r="B271" s="268" t="s">
        <v>1367</v>
      </c>
      <c r="C271" s="269" t="s">
        <v>1630</v>
      </c>
      <c r="D271" s="91" t="s">
        <v>494</v>
      </c>
      <c r="E271" s="270">
        <v>1</v>
      </c>
      <c r="F271" s="270">
        <v>131.36</v>
      </c>
      <c r="G271" s="270">
        <f t="shared" si="12"/>
        <v>131.36</v>
      </c>
      <c r="H271" s="271">
        <f t="shared" si="13"/>
        <v>3.00032312401976e-5</v>
      </c>
      <c r="I271" s="272">
        <f t="shared" si="14"/>
        <v>0.999200752839909</v>
      </c>
    </row>
    <row r="272" ht="25.5" spans="1:9">
      <c r="A272" s="267" t="s">
        <v>1631</v>
      </c>
      <c r="B272" s="268" t="s">
        <v>1632</v>
      </c>
      <c r="C272" s="269" t="s">
        <v>625</v>
      </c>
      <c r="D272" s="91" t="s">
        <v>494</v>
      </c>
      <c r="E272" s="270">
        <v>1</v>
      </c>
      <c r="F272" s="270">
        <v>129.9</v>
      </c>
      <c r="G272" s="270">
        <f t="shared" si="12"/>
        <v>129.9</v>
      </c>
      <c r="H272" s="271">
        <f t="shared" si="13"/>
        <v>2.96697604910297e-5</v>
      </c>
      <c r="I272" s="272">
        <f t="shared" si="14"/>
        <v>0.9992304226004</v>
      </c>
    </row>
    <row r="273" ht="38.25" spans="1:9">
      <c r="A273" s="267" t="s">
        <v>1633</v>
      </c>
      <c r="B273" s="268" t="s">
        <v>1634</v>
      </c>
      <c r="C273" s="269" t="s">
        <v>1635</v>
      </c>
      <c r="D273" s="91" t="s">
        <v>494</v>
      </c>
      <c r="E273" s="270">
        <v>0.037305</v>
      </c>
      <c r="F273" s="270">
        <v>3390.99</v>
      </c>
      <c r="G273" s="270">
        <f t="shared" si="12"/>
        <v>126.5</v>
      </c>
      <c r="H273" s="271">
        <f t="shared" si="13"/>
        <v>2.88931847737896e-5</v>
      </c>
      <c r="I273" s="272">
        <f t="shared" si="14"/>
        <v>0.999259315785174</v>
      </c>
    </row>
    <row r="274" ht="25.5" spans="1:9">
      <c r="A274" s="267" t="s">
        <v>1636</v>
      </c>
      <c r="B274" s="268" t="s">
        <v>1637</v>
      </c>
      <c r="C274" s="269" t="s">
        <v>1638</v>
      </c>
      <c r="D274" s="91" t="s">
        <v>494</v>
      </c>
      <c r="E274" s="270">
        <v>1</v>
      </c>
      <c r="F274" s="270">
        <v>123.7</v>
      </c>
      <c r="G274" s="270">
        <f t="shared" si="12"/>
        <v>123.7</v>
      </c>
      <c r="H274" s="271">
        <f t="shared" si="13"/>
        <v>2.825365183018e-5</v>
      </c>
      <c r="I274" s="272">
        <f t="shared" si="14"/>
        <v>0.999287569437004</v>
      </c>
    </row>
    <row r="275" ht="25.5" spans="1:9">
      <c r="A275" s="267" t="s">
        <v>1639</v>
      </c>
      <c r="B275" s="268" t="s">
        <v>1640</v>
      </c>
      <c r="C275" s="269" t="s">
        <v>1641</v>
      </c>
      <c r="D275" s="91" t="s">
        <v>839</v>
      </c>
      <c r="E275" s="270">
        <v>52.391645</v>
      </c>
      <c r="F275" s="270">
        <v>2.36</v>
      </c>
      <c r="G275" s="270">
        <f t="shared" si="12"/>
        <v>123.64</v>
      </c>
      <c r="H275" s="271">
        <f t="shared" si="13"/>
        <v>2.82399475528169e-5</v>
      </c>
      <c r="I275" s="272">
        <f t="shared" si="14"/>
        <v>0.999315809384557</v>
      </c>
    </row>
    <row r="276" ht="25.5" spans="1:9">
      <c r="A276" s="267" t="s">
        <v>1642</v>
      </c>
      <c r="B276" s="268" t="s">
        <v>1643</v>
      </c>
      <c r="C276" s="269" t="s">
        <v>1644</v>
      </c>
      <c r="D276" s="91" t="s">
        <v>839</v>
      </c>
      <c r="E276" s="270">
        <v>52.391645</v>
      </c>
      <c r="F276" s="270">
        <v>2.36</v>
      </c>
      <c r="G276" s="270">
        <f t="shared" si="12"/>
        <v>123.64</v>
      </c>
      <c r="H276" s="271">
        <f t="shared" si="13"/>
        <v>2.82399475528169e-5</v>
      </c>
      <c r="I276" s="272">
        <f t="shared" si="14"/>
        <v>0.99934404933211</v>
      </c>
    </row>
    <row r="277" spans="1:9">
      <c r="A277" s="267" t="s">
        <v>1645</v>
      </c>
      <c r="B277" s="268" t="s">
        <v>1646</v>
      </c>
      <c r="C277" s="269" t="s">
        <v>1647</v>
      </c>
      <c r="D277" s="91" t="s">
        <v>215</v>
      </c>
      <c r="E277" s="270">
        <v>9.36</v>
      </c>
      <c r="F277" s="270">
        <v>13.1</v>
      </c>
      <c r="G277" s="270">
        <f t="shared" si="12"/>
        <v>122.62</v>
      </c>
      <c r="H277" s="271">
        <f t="shared" si="13"/>
        <v>2.80069748376449e-5</v>
      </c>
      <c r="I277" s="272">
        <f t="shared" si="14"/>
        <v>0.999372056306948</v>
      </c>
    </row>
    <row r="278" ht="38.25" spans="1:9">
      <c r="A278" s="267" t="s">
        <v>1648</v>
      </c>
      <c r="B278" s="268" t="s">
        <v>1649</v>
      </c>
      <c r="C278" s="269" t="s">
        <v>1650</v>
      </c>
      <c r="D278" s="91" t="s">
        <v>494</v>
      </c>
      <c r="E278" s="270">
        <v>1</v>
      </c>
      <c r="F278" s="270">
        <v>120.69</v>
      </c>
      <c r="G278" s="270">
        <f t="shared" si="12"/>
        <v>120.69</v>
      </c>
      <c r="H278" s="271">
        <f t="shared" si="13"/>
        <v>2.75661539157997e-5</v>
      </c>
      <c r="I278" s="272">
        <f t="shared" si="14"/>
        <v>0.999399622460863</v>
      </c>
    </row>
    <row r="279" ht="51" spans="1:9">
      <c r="A279" s="267" t="s">
        <v>1651</v>
      </c>
      <c r="B279" s="268" t="s">
        <v>1652</v>
      </c>
      <c r="C279" s="269" t="s">
        <v>642</v>
      </c>
      <c r="D279" s="91" t="s">
        <v>494</v>
      </c>
      <c r="E279" s="270">
        <v>2</v>
      </c>
      <c r="F279" s="270">
        <v>57.8</v>
      </c>
      <c r="G279" s="270">
        <f t="shared" si="12"/>
        <v>115.6</v>
      </c>
      <c r="H279" s="271">
        <f t="shared" si="13"/>
        <v>2.64035743861666e-5</v>
      </c>
      <c r="I279" s="272">
        <f t="shared" si="14"/>
        <v>0.99942602603525</v>
      </c>
    </row>
    <row r="280" spans="1:9">
      <c r="A280" s="267" t="s">
        <v>1653</v>
      </c>
      <c r="B280" s="268" t="s">
        <v>1654</v>
      </c>
      <c r="C280" s="269" t="s">
        <v>1655</v>
      </c>
      <c r="D280" s="91" t="s">
        <v>215</v>
      </c>
      <c r="E280" s="270">
        <v>4.07125</v>
      </c>
      <c r="F280" s="270">
        <v>27.95</v>
      </c>
      <c r="G280" s="270">
        <f t="shared" si="12"/>
        <v>113.79</v>
      </c>
      <c r="H280" s="271">
        <f t="shared" si="13"/>
        <v>2.59901620190475e-5</v>
      </c>
      <c r="I280" s="272">
        <f t="shared" si="14"/>
        <v>0.999452016197269</v>
      </c>
    </row>
    <row r="281" ht="25.5" spans="1:9">
      <c r="A281" s="267" t="s">
        <v>1656</v>
      </c>
      <c r="B281" s="268" t="s">
        <v>1111</v>
      </c>
      <c r="C281" s="269" t="s">
        <v>1657</v>
      </c>
      <c r="D281" s="91" t="s">
        <v>839</v>
      </c>
      <c r="E281" s="270">
        <v>131.48</v>
      </c>
      <c r="F281" s="270">
        <v>0.86</v>
      </c>
      <c r="G281" s="270">
        <f t="shared" si="12"/>
        <v>113.07</v>
      </c>
      <c r="H281" s="271">
        <f t="shared" si="13"/>
        <v>2.58257106906908e-5</v>
      </c>
      <c r="I281" s="272">
        <f t="shared" si="14"/>
        <v>0.999477841907959</v>
      </c>
    </row>
    <row r="282" spans="1:9">
      <c r="A282" s="267" t="s">
        <v>1658</v>
      </c>
      <c r="B282" s="268" t="s">
        <v>1108</v>
      </c>
      <c r="C282" s="269" t="s">
        <v>1659</v>
      </c>
      <c r="D282" s="91" t="s">
        <v>839</v>
      </c>
      <c r="E282" s="270">
        <v>3.270613</v>
      </c>
      <c r="F282" s="270">
        <v>32.06</v>
      </c>
      <c r="G282" s="270">
        <f t="shared" si="12"/>
        <v>104.86</v>
      </c>
      <c r="H282" s="271">
        <f t="shared" si="13"/>
        <v>2.39505087381784e-5</v>
      </c>
      <c r="I282" s="272">
        <f t="shared" si="14"/>
        <v>0.999501792416697</v>
      </c>
    </row>
    <row r="283" ht="25.5" spans="1:9">
      <c r="A283" s="267" t="s">
        <v>1660</v>
      </c>
      <c r="B283" s="268" t="s">
        <v>1661</v>
      </c>
      <c r="C283" s="269" t="s">
        <v>1662</v>
      </c>
      <c r="D283" s="91" t="s">
        <v>494</v>
      </c>
      <c r="E283" s="270">
        <v>0.000311</v>
      </c>
      <c r="F283" s="270">
        <v>335529.82</v>
      </c>
      <c r="G283" s="270">
        <f t="shared" si="12"/>
        <v>104.35</v>
      </c>
      <c r="H283" s="271">
        <f t="shared" si="13"/>
        <v>2.38340223805924e-5</v>
      </c>
      <c r="I283" s="272">
        <f t="shared" si="14"/>
        <v>0.999525626439078</v>
      </c>
    </row>
    <row r="284" ht="25.5" spans="1:9">
      <c r="A284" s="267" t="s">
        <v>1663</v>
      </c>
      <c r="B284" s="268" t="s">
        <v>1664</v>
      </c>
      <c r="C284" s="269" t="s">
        <v>1665</v>
      </c>
      <c r="D284" s="91" t="s">
        <v>112</v>
      </c>
      <c r="E284" s="270">
        <v>6.1909</v>
      </c>
      <c r="F284" s="270">
        <v>16.58</v>
      </c>
      <c r="G284" s="270">
        <f t="shared" si="12"/>
        <v>102.65</v>
      </c>
      <c r="H284" s="271">
        <f t="shared" si="13"/>
        <v>2.34457345219723e-5</v>
      </c>
      <c r="I284" s="272">
        <f t="shared" si="14"/>
        <v>0.9995490721736</v>
      </c>
    </row>
    <row r="285" ht="51" spans="1:9">
      <c r="A285" s="267" t="s">
        <v>1666</v>
      </c>
      <c r="B285" s="268" t="s">
        <v>1667</v>
      </c>
      <c r="C285" s="269" t="s">
        <v>1668</v>
      </c>
      <c r="D285" s="91" t="s">
        <v>494</v>
      </c>
      <c r="E285" s="270">
        <v>9.6e-5</v>
      </c>
      <c r="F285" s="270">
        <v>1066631.84</v>
      </c>
      <c r="G285" s="270">
        <f t="shared" si="12"/>
        <v>102.4</v>
      </c>
      <c r="H285" s="271">
        <f t="shared" si="13"/>
        <v>2.33886333662929e-5</v>
      </c>
      <c r="I285" s="272">
        <f t="shared" si="14"/>
        <v>0.999572460806966</v>
      </c>
    </row>
    <row r="286" spans="1:9">
      <c r="A286" s="267" t="s">
        <v>1669</v>
      </c>
      <c r="B286" s="268" t="s">
        <v>1316</v>
      </c>
      <c r="C286" s="269" t="s">
        <v>1670</v>
      </c>
      <c r="D286" s="91" t="s">
        <v>839</v>
      </c>
      <c r="E286" s="270">
        <v>5.550112</v>
      </c>
      <c r="F286" s="270">
        <v>18</v>
      </c>
      <c r="G286" s="270">
        <f t="shared" si="12"/>
        <v>99.9</v>
      </c>
      <c r="H286" s="271">
        <f t="shared" si="13"/>
        <v>2.28176218094986e-5</v>
      </c>
      <c r="I286" s="272">
        <f t="shared" si="14"/>
        <v>0.999595278428776</v>
      </c>
    </row>
    <row r="287" ht="25.5" spans="1:9">
      <c r="A287" s="267" t="s">
        <v>1671</v>
      </c>
      <c r="B287" s="268" t="s">
        <v>1672</v>
      </c>
      <c r="C287" s="269" t="s">
        <v>1673</v>
      </c>
      <c r="D287" s="91" t="s">
        <v>476</v>
      </c>
      <c r="E287" s="270">
        <v>0.221909</v>
      </c>
      <c r="F287" s="270">
        <v>439.92</v>
      </c>
      <c r="G287" s="270">
        <f t="shared" si="12"/>
        <v>97.62</v>
      </c>
      <c r="H287" s="271">
        <f t="shared" si="13"/>
        <v>2.22968592697023e-5</v>
      </c>
      <c r="I287" s="272">
        <f t="shared" si="14"/>
        <v>0.999617575288045</v>
      </c>
    </row>
    <row r="288" ht="25.5" spans="1:9">
      <c r="A288" s="267" t="s">
        <v>1674</v>
      </c>
      <c r="B288" s="268" t="s">
        <v>1111</v>
      </c>
      <c r="C288" s="269" t="s">
        <v>1675</v>
      </c>
      <c r="D288" s="91" t="s">
        <v>839</v>
      </c>
      <c r="E288" s="270">
        <v>301.17782</v>
      </c>
      <c r="F288" s="270">
        <v>0.31</v>
      </c>
      <c r="G288" s="270">
        <f t="shared" si="12"/>
        <v>93.37</v>
      </c>
      <c r="H288" s="271">
        <f t="shared" si="13"/>
        <v>2.1326139623152e-5</v>
      </c>
      <c r="I288" s="272">
        <f t="shared" si="14"/>
        <v>0.999638901427669</v>
      </c>
    </row>
    <row r="289" ht="51" spans="1:9">
      <c r="A289" s="267" t="s">
        <v>1676</v>
      </c>
      <c r="B289" s="268" t="s">
        <v>1002</v>
      </c>
      <c r="C289" s="269" t="s">
        <v>1677</v>
      </c>
      <c r="D289" s="91" t="s">
        <v>494</v>
      </c>
      <c r="E289" s="270">
        <v>0.000151</v>
      </c>
      <c r="F289" s="270">
        <v>518770.52</v>
      </c>
      <c r="G289" s="270">
        <f t="shared" si="12"/>
        <v>78.33</v>
      </c>
      <c r="H289" s="271">
        <f t="shared" si="13"/>
        <v>1.78909340974778e-5</v>
      </c>
      <c r="I289" s="272">
        <f t="shared" si="14"/>
        <v>0.999656792361766</v>
      </c>
    </row>
    <row r="290" ht="38.25" spans="1:9">
      <c r="A290" s="267" t="s">
        <v>1678</v>
      </c>
      <c r="B290" s="268" t="s">
        <v>1679</v>
      </c>
      <c r="C290" s="269" t="s">
        <v>1680</v>
      </c>
      <c r="D290" s="91" t="s">
        <v>494</v>
      </c>
      <c r="E290" s="270">
        <v>0.012662</v>
      </c>
      <c r="F290" s="270">
        <v>6083.43</v>
      </c>
      <c r="G290" s="270">
        <f t="shared" si="12"/>
        <v>77.03</v>
      </c>
      <c r="H290" s="271">
        <f t="shared" si="13"/>
        <v>1.75940080879447e-5</v>
      </c>
      <c r="I290" s="272">
        <f t="shared" si="14"/>
        <v>0.999674386369854</v>
      </c>
    </row>
    <row r="291" ht="25.5" spans="1:9">
      <c r="A291" s="267" t="s">
        <v>1681</v>
      </c>
      <c r="B291" s="268" t="s">
        <v>1682</v>
      </c>
      <c r="C291" s="269" t="s">
        <v>1683</v>
      </c>
      <c r="D291" s="91" t="s">
        <v>839</v>
      </c>
      <c r="E291" s="270">
        <v>2.187387</v>
      </c>
      <c r="F291" s="270">
        <v>33.46</v>
      </c>
      <c r="G291" s="270">
        <f t="shared" si="12"/>
        <v>73.19</v>
      </c>
      <c r="H291" s="271">
        <f t="shared" si="13"/>
        <v>1.67169343367088e-5</v>
      </c>
      <c r="I291" s="272">
        <f t="shared" si="14"/>
        <v>0.999691103304191</v>
      </c>
    </row>
    <row r="292" ht="25.5" spans="1:9">
      <c r="A292" s="267" t="s">
        <v>1684</v>
      </c>
      <c r="B292" s="268" t="s">
        <v>1685</v>
      </c>
      <c r="C292" s="269" t="s">
        <v>1686</v>
      </c>
      <c r="D292" s="91" t="s">
        <v>463</v>
      </c>
      <c r="E292" s="270">
        <v>3.440306</v>
      </c>
      <c r="F292" s="270">
        <v>20.72</v>
      </c>
      <c r="G292" s="270">
        <f t="shared" si="12"/>
        <v>71.28</v>
      </c>
      <c r="H292" s="271">
        <f t="shared" si="13"/>
        <v>1.62806815073179e-5</v>
      </c>
      <c r="I292" s="272">
        <f t="shared" si="14"/>
        <v>0.999707383985698</v>
      </c>
    </row>
    <row r="293" spans="1:9">
      <c r="A293" s="267" t="s">
        <v>1687</v>
      </c>
      <c r="B293" s="268" t="s">
        <v>1020</v>
      </c>
      <c r="C293" s="269" t="s">
        <v>1688</v>
      </c>
      <c r="D293" s="91" t="s">
        <v>839</v>
      </c>
      <c r="E293" s="270">
        <v>3.236928</v>
      </c>
      <c r="F293" s="270">
        <v>21.83</v>
      </c>
      <c r="G293" s="270">
        <f t="shared" si="12"/>
        <v>70.66</v>
      </c>
      <c r="H293" s="271">
        <f t="shared" si="13"/>
        <v>1.6139070641233e-5</v>
      </c>
      <c r="I293" s="272">
        <f t="shared" si="14"/>
        <v>0.999723523056339</v>
      </c>
    </row>
    <row r="294" ht="25.5" spans="1:9">
      <c r="A294" s="267" t="s">
        <v>1689</v>
      </c>
      <c r="B294" s="268" t="s">
        <v>1690</v>
      </c>
      <c r="C294" s="269" t="s">
        <v>1691</v>
      </c>
      <c r="D294" s="91" t="s">
        <v>494</v>
      </c>
      <c r="E294" s="270">
        <v>0.000236</v>
      </c>
      <c r="F294" s="270">
        <v>265000</v>
      </c>
      <c r="G294" s="270">
        <f t="shared" si="12"/>
        <v>62.54</v>
      </c>
      <c r="H294" s="271">
        <f t="shared" si="13"/>
        <v>1.42844251047652e-5</v>
      </c>
      <c r="I294" s="272">
        <f t="shared" si="14"/>
        <v>0.999737807481444</v>
      </c>
    </row>
    <row r="295" ht="25.5" spans="1:9">
      <c r="A295" s="267" t="s">
        <v>1692</v>
      </c>
      <c r="B295" s="268" t="s">
        <v>1693</v>
      </c>
      <c r="C295" s="269" t="s">
        <v>1694</v>
      </c>
      <c r="D295" s="91" t="s">
        <v>1695</v>
      </c>
      <c r="E295" s="270">
        <v>81.596131</v>
      </c>
      <c r="F295" s="270">
        <v>0.72</v>
      </c>
      <c r="G295" s="270">
        <f t="shared" si="12"/>
        <v>58.75</v>
      </c>
      <c r="H295" s="271">
        <f t="shared" si="13"/>
        <v>1.34187715846651e-5</v>
      </c>
      <c r="I295" s="272">
        <f t="shared" si="14"/>
        <v>0.999751226253029</v>
      </c>
    </row>
    <row r="296" ht="51" spans="1:9">
      <c r="A296" s="267" t="s">
        <v>1696</v>
      </c>
      <c r="B296" s="268" t="s">
        <v>1697</v>
      </c>
      <c r="C296" s="269" t="s">
        <v>1698</v>
      </c>
      <c r="D296" s="91" t="s">
        <v>494</v>
      </c>
      <c r="E296" s="270">
        <v>0.000119</v>
      </c>
      <c r="F296" s="270">
        <v>450240</v>
      </c>
      <c r="G296" s="270">
        <f t="shared" si="12"/>
        <v>53.58</v>
      </c>
      <c r="H296" s="271">
        <f t="shared" si="13"/>
        <v>1.22379196852146e-5</v>
      </c>
      <c r="I296" s="272">
        <f t="shared" si="14"/>
        <v>0.999763464172714</v>
      </c>
    </row>
    <row r="297" spans="1:9">
      <c r="A297" s="267" t="s">
        <v>1699</v>
      </c>
      <c r="B297" s="268" t="s">
        <v>1700</v>
      </c>
      <c r="C297" s="269" t="s">
        <v>1701</v>
      </c>
      <c r="D297" s="91" t="s">
        <v>463</v>
      </c>
      <c r="E297" s="270">
        <v>0.7168</v>
      </c>
      <c r="F297" s="270">
        <v>69.44</v>
      </c>
      <c r="G297" s="270">
        <f t="shared" si="12"/>
        <v>49.77</v>
      </c>
      <c r="H297" s="271">
        <f t="shared" si="13"/>
        <v>1.13676980726601e-5</v>
      </c>
      <c r="I297" s="272">
        <f t="shared" si="14"/>
        <v>0.999774831870786</v>
      </c>
    </row>
    <row r="298" spans="1:9">
      <c r="A298" s="267" t="s">
        <v>1702</v>
      </c>
      <c r="B298" s="268" t="s">
        <v>1316</v>
      </c>
      <c r="C298" s="269" t="s">
        <v>1703</v>
      </c>
      <c r="D298" s="91" t="s">
        <v>839</v>
      </c>
      <c r="E298" s="270">
        <v>2.667463</v>
      </c>
      <c r="F298" s="270">
        <v>18</v>
      </c>
      <c r="G298" s="270">
        <f t="shared" si="12"/>
        <v>48.01</v>
      </c>
      <c r="H298" s="271">
        <f t="shared" si="13"/>
        <v>1.0965705936677e-5</v>
      </c>
      <c r="I298" s="272">
        <f t="shared" si="14"/>
        <v>0.999785797576723</v>
      </c>
    </row>
    <row r="299" ht="38.25" spans="1:9">
      <c r="A299" s="267" t="s">
        <v>1704</v>
      </c>
      <c r="B299" s="268" t="s">
        <v>1705</v>
      </c>
      <c r="C299" s="269" t="s">
        <v>1706</v>
      </c>
      <c r="D299" s="91" t="s">
        <v>1695</v>
      </c>
      <c r="E299" s="270">
        <v>61.7956</v>
      </c>
      <c r="F299" s="270">
        <v>0.74</v>
      </c>
      <c r="G299" s="270">
        <f t="shared" si="12"/>
        <v>45.73</v>
      </c>
      <c r="H299" s="271">
        <f t="shared" si="13"/>
        <v>1.04449433968806e-5</v>
      </c>
      <c r="I299" s="272">
        <f t="shared" si="14"/>
        <v>0.99979624252012</v>
      </c>
    </row>
    <row r="300" ht="38.25" spans="1:9">
      <c r="A300" s="267" t="s">
        <v>1707</v>
      </c>
      <c r="B300" s="268" t="s">
        <v>1111</v>
      </c>
      <c r="C300" s="269" t="s">
        <v>1708</v>
      </c>
      <c r="D300" s="91" t="s">
        <v>839</v>
      </c>
      <c r="E300" s="270">
        <v>4432.040896</v>
      </c>
      <c r="F300" s="270">
        <v>0.01</v>
      </c>
      <c r="G300" s="270">
        <f t="shared" si="12"/>
        <v>44.32</v>
      </c>
      <c r="H300" s="271">
        <f t="shared" si="13"/>
        <v>1.01228928788486e-5</v>
      </c>
      <c r="I300" s="272">
        <f t="shared" si="14"/>
        <v>0.999806365412999</v>
      </c>
    </row>
    <row r="301" spans="1:9">
      <c r="A301" s="267" t="s">
        <v>1709</v>
      </c>
      <c r="B301" s="268" t="s">
        <v>1710</v>
      </c>
      <c r="C301" s="269" t="s">
        <v>1711</v>
      </c>
      <c r="D301" s="91" t="s">
        <v>215</v>
      </c>
      <c r="E301" s="270">
        <v>1.30688</v>
      </c>
      <c r="F301" s="270">
        <v>31.4</v>
      </c>
      <c r="G301" s="270">
        <f t="shared" si="12"/>
        <v>41.04</v>
      </c>
      <c r="H301" s="271">
        <f t="shared" si="13"/>
        <v>9.37372571633457e-6</v>
      </c>
      <c r="I301" s="272">
        <f t="shared" si="14"/>
        <v>0.999815739138715</v>
      </c>
    </row>
    <row r="302" ht="38.25" spans="1:9">
      <c r="A302" s="267" t="s">
        <v>1712</v>
      </c>
      <c r="B302" s="268" t="s">
        <v>1713</v>
      </c>
      <c r="C302" s="269" t="s">
        <v>637</v>
      </c>
      <c r="D302" s="91" t="s">
        <v>494</v>
      </c>
      <c r="E302" s="270">
        <v>1</v>
      </c>
      <c r="F302" s="270">
        <v>39.56</v>
      </c>
      <c r="G302" s="270">
        <f t="shared" si="12"/>
        <v>39.56</v>
      </c>
      <c r="H302" s="271">
        <f t="shared" si="13"/>
        <v>9.03568687471237e-6</v>
      </c>
      <c r="I302" s="272">
        <f t="shared" si="14"/>
        <v>0.99982477482559</v>
      </c>
    </row>
    <row r="303" ht="25.5" spans="1:9">
      <c r="A303" s="267" t="s">
        <v>1714</v>
      </c>
      <c r="B303" s="268" t="s">
        <v>1715</v>
      </c>
      <c r="C303" s="269" t="s">
        <v>1716</v>
      </c>
      <c r="D303" s="91" t="s">
        <v>494</v>
      </c>
      <c r="E303" s="270">
        <v>1</v>
      </c>
      <c r="F303" s="270">
        <v>38.45</v>
      </c>
      <c r="G303" s="270">
        <f t="shared" si="12"/>
        <v>38.45</v>
      </c>
      <c r="H303" s="271">
        <f t="shared" si="13"/>
        <v>8.78215774349572e-6</v>
      </c>
      <c r="I303" s="272">
        <f t="shared" si="14"/>
        <v>0.999833556983333</v>
      </c>
    </row>
    <row r="304" ht="63.75" spans="1:9">
      <c r="A304" s="267" t="s">
        <v>1717</v>
      </c>
      <c r="B304" s="268" t="s">
        <v>1718</v>
      </c>
      <c r="C304" s="269" t="s">
        <v>1719</v>
      </c>
      <c r="D304" s="91" t="s">
        <v>494</v>
      </c>
      <c r="E304" s="270">
        <v>0.002725</v>
      </c>
      <c r="F304" s="270">
        <v>12782.95</v>
      </c>
      <c r="G304" s="270">
        <f t="shared" si="12"/>
        <v>34.83</v>
      </c>
      <c r="H304" s="271">
        <f t="shared" si="13"/>
        <v>7.95533300925763e-6</v>
      </c>
      <c r="I304" s="272">
        <f t="shared" si="14"/>
        <v>0.999841512316343</v>
      </c>
    </row>
    <row r="305" ht="25.5" spans="1:9">
      <c r="A305" s="267" t="s">
        <v>1720</v>
      </c>
      <c r="B305" s="268" t="s">
        <v>1721</v>
      </c>
      <c r="C305" s="269" t="s">
        <v>1722</v>
      </c>
      <c r="D305" s="91" t="s">
        <v>494</v>
      </c>
      <c r="E305" s="270">
        <v>0.000361</v>
      </c>
      <c r="F305" s="270">
        <v>95619.8</v>
      </c>
      <c r="G305" s="270">
        <f t="shared" si="12"/>
        <v>34.52</v>
      </c>
      <c r="H305" s="271">
        <f t="shared" si="13"/>
        <v>7.88452757621514e-6</v>
      </c>
      <c r="I305" s="272">
        <f t="shared" si="14"/>
        <v>0.999849396843919</v>
      </c>
    </row>
    <row r="306" ht="38.25" spans="1:9">
      <c r="A306" s="267" t="s">
        <v>1723</v>
      </c>
      <c r="B306" s="268" t="s">
        <v>1605</v>
      </c>
      <c r="C306" s="269" t="s">
        <v>1724</v>
      </c>
      <c r="D306" s="91" t="s">
        <v>494</v>
      </c>
      <c r="E306" s="270">
        <v>0.001099</v>
      </c>
      <c r="F306" s="270">
        <v>29585.59</v>
      </c>
      <c r="G306" s="270">
        <f t="shared" si="12"/>
        <v>32.51</v>
      </c>
      <c r="H306" s="271">
        <f t="shared" si="13"/>
        <v>7.42543428455256e-6</v>
      </c>
      <c r="I306" s="272">
        <f t="shared" si="14"/>
        <v>0.999856822278203</v>
      </c>
    </row>
    <row r="307" ht="51" spans="1:9">
      <c r="A307" s="267" t="s">
        <v>1725</v>
      </c>
      <c r="B307" s="268" t="s">
        <v>1726</v>
      </c>
      <c r="C307" s="269" t="s">
        <v>1727</v>
      </c>
      <c r="D307" s="91" t="s">
        <v>494</v>
      </c>
      <c r="E307" s="270">
        <v>0.000128</v>
      </c>
      <c r="F307" s="270">
        <v>246246.87</v>
      </c>
      <c r="G307" s="270">
        <f t="shared" si="12"/>
        <v>31.52</v>
      </c>
      <c r="H307" s="271">
        <f t="shared" si="13"/>
        <v>7.19931370806203e-6</v>
      </c>
      <c r="I307" s="272">
        <f t="shared" si="14"/>
        <v>0.999864021591911</v>
      </c>
    </row>
    <row r="308" ht="51" spans="1:9">
      <c r="A308" s="267" t="s">
        <v>1728</v>
      </c>
      <c r="B308" s="268" t="s">
        <v>1718</v>
      </c>
      <c r="C308" s="269" t="s">
        <v>1729</v>
      </c>
      <c r="D308" s="91" t="s">
        <v>494</v>
      </c>
      <c r="E308" s="270">
        <v>0.002184</v>
      </c>
      <c r="F308" s="270">
        <v>13815.56</v>
      </c>
      <c r="G308" s="270">
        <f t="shared" si="12"/>
        <v>30.17</v>
      </c>
      <c r="H308" s="271">
        <f t="shared" si="13"/>
        <v>6.89096746739313e-6</v>
      </c>
      <c r="I308" s="272">
        <f t="shared" si="14"/>
        <v>0.999870912559379</v>
      </c>
    </row>
    <row r="309" ht="51" spans="1:9">
      <c r="A309" s="267" t="s">
        <v>1730</v>
      </c>
      <c r="B309" s="268" t="s">
        <v>1731</v>
      </c>
      <c r="C309" s="269" t="s">
        <v>1732</v>
      </c>
      <c r="D309" s="91" t="s">
        <v>494</v>
      </c>
      <c r="E309" s="270">
        <v>0.001411</v>
      </c>
      <c r="F309" s="270">
        <v>20338.98</v>
      </c>
      <c r="G309" s="270">
        <f t="shared" si="12"/>
        <v>28.7</v>
      </c>
      <c r="H309" s="271">
        <f t="shared" si="13"/>
        <v>6.5552126719981e-6</v>
      </c>
      <c r="I309" s="272">
        <f t="shared" si="14"/>
        <v>0.999877467772051</v>
      </c>
    </row>
    <row r="310" ht="38.25" spans="1:9">
      <c r="A310" s="267" t="s">
        <v>1733</v>
      </c>
      <c r="B310" s="268" t="s">
        <v>1734</v>
      </c>
      <c r="C310" s="269" t="s">
        <v>1735</v>
      </c>
      <c r="D310" s="91" t="s">
        <v>494</v>
      </c>
      <c r="E310" s="270">
        <v>5.5e-5</v>
      </c>
      <c r="F310" s="270">
        <v>506818.4</v>
      </c>
      <c r="G310" s="270">
        <f t="shared" si="12"/>
        <v>27.88</v>
      </c>
      <c r="H310" s="271">
        <f t="shared" si="13"/>
        <v>6.36792088136959e-6</v>
      </c>
      <c r="I310" s="272">
        <f t="shared" si="14"/>
        <v>0.999883835692932</v>
      </c>
    </row>
    <row r="311" ht="38.25" spans="1:9">
      <c r="A311" s="267" t="s">
        <v>1736</v>
      </c>
      <c r="B311" s="268" t="s">
        <v>1737</v>
      </c>
      <c r="C311" s="269" t="s">
        <v>1738</v>
      </c>
      <c r="D311" s="91" t="s">
        <v>1348</v>
      </c>
      <c r="E311" s="270">
        <v>12.8</v>
      </c>
      <c r="F311" s="270">
        <v>2.09</v>
      </c>
      <c r="G311" s="270">
        <f t="shared" si="12"/>
        <v>26.75</v>
      </c>
      <c r="H311" s="271">
        <f t="shared" si="13"/>
        <v>6.10982365769858e-6</v>
      </c>
      <c r="I311" s="272">
        <f t="shared" si="14"/>
        <v>0.99988994551659</v>
      </c>
    </row>
    <row r="312" spans="1:9">
      <c r="A312" s="267" t="s">
        <v>1739</v>
      </c>
      <c r="B312" s="268" t="s">
        <v>1023</v>
      </c>
      <c r="C312" s="269" t="s">
        <v>1740</v>
      </c>
      <c r="D312" s="91" t="s">
        <v>839</v>
      </c>
      <c r="E312" s="270">
        <v>0.978255</v>
      </c>
      <c r="F312" s="270">
        <v>27.14</v>
      </c>
      <c r="G312" s="270">
        <f t="shared" si="12"/>
        <v>26.55</v>
      </c>
      <c r="H312" s="271">
        <f t="shared" si="13"/>
        <v>6.06414273315504e-6</v>
      </c>
      <c r="I312" s="272">
        <f t="shared" si="14"/>
        <v>0.999896009659323</v>
      </c>
    </row>
    <row r="313" ht="63.75" spans="1:9">
      <c r="A313" s="267" t="s">
        <v>1741</v>
      </c>
      <c r="B313" s="268" t="s">
        <v>1002</v>
      </c>
      <c r="C313" s="269" t="s">
        <v>1742</v>
      </c>
      <c r="D313" s="91" t="s">
        <v>494</v>
      </c>
      <c r="E313" s="270">
        <v>3.3e-5</v>
      </c>
      <c r="F313" s="270">
        <v>765159.12</v>
      </c>
      <c r="G313" s="270">
        <f t="shared" si="12"/>
        <v>25.25</v>
      </c>
      <c r="H313" s="271">
        <f t="shared" si="13"/>
        <v>5.76721672362203e-6</v>
      </c>
      <c r="I313" s="272">
        <f t="shared" si="14"/>
        <v>0.999901776876047</v>
      </c>
    </row>
    <row r="314" ht="25.5" spans="1:9">
      <c r="A314" s="267" t="s">
        <v>1743</v>
      </c>
      <c r="B314" s="268" t="s">
        <v>1111</v>
      </c>
      <c r="C314" s="269" t="s">
        <v>1744</v>
      </c>
      <c r="D314" s="91" t="s">
        <v>839</v>
      </c>
      <c r="E314" s="270">
        <v>32</v>
      </c>
      <c r="F314" s="270">
        <v>0.77</v>
      </c>
      <c r="G314" s="270">
        <f t="shared" si="12"/>
        <v>24.64</v>
      </c>
      <c r="H314" s="271">
        <f t="shared" si="13"/>
        <v>5.62788990376423e-6</v>
      </c>
      <c r="I314" s="272">
        <f t="shared" si="14"/>
        <v>0.99990740476595</v>
      </c>
    </row>
    <row r="315" ht="25.5" spans="1:9">
      <c r="A315" s="267" t="s">
        <v>1745</v>
      </c>
      <c r="B315" s="268" t="s">
        <v>1111</v>
      </c>
      <c r="C315" s="269" t="s">
        <v>1746</v>
      </c>
      <c r="D315" s="91" t="s">
        <v>839</v>
      </c>
      <c r="E315" s="270">
        <v>469.852895</v>
      </c>
      <c r="F315" s="270">
        <v>0.05</v>
      </c>
      <c r="G315" s="270">
        <f t="shared" si="12"/>
        <v>23.49</v>
      </c>
      <c r="H315" s="271">
        <f t="shared" si="13"/>
        <v>5.36522458763887e-6</v>
      </c>
      <c r="I315" s="272">
        <f t="shared" si="14"/>
        <v>0.999912769990538</v>
      </c>
    </row>
    <row r="316" spans="1:9">
      <c r="A316" s="267" t="s">
        <v>1747</v>
      </c>
      <c r="B316" s="268" t="s">
        <v>1493</v>
      </c>
      <c r="C316" s="269" t="s">
        <v>1748</v>
      </c>
      <c r="D316" s="91" t="s">
        <v>463</v>
      </c>
      <c r="E316" s="270">
        <v>0.60704</v>
      </c>
      <c r="F316" s="270">
        <v>34.86</v>
      </c>
      <c r="G316" s="270">
        <f t="shared" si="12"/>
        <v>21.16</v>
      </c>
      <c r="H316" s="271">
        <f t="shared" si="13"/>
        <v>4.83304181670662e-6</v>
      </c>
      <c r="I316" s="272">
        <f t="shared" si="14"/>
        <v>0.999917603032355</v>
      </c>
    </row>
    <row r="317" spans="1:9">
      <c r="A317" s="267" t="s">
        <v>1749</v>
      </c>
      <c r="B317" s="268" t="s">
        <v>1750</v>
      </c>
      <c r="C317" s="269" t="s">
        <v>1751</v>
      </c>
      <c r="D317" s="91" t="s">
        <v>494</v>
      </c>
      <c r="E317" s="270">
        <v>0.000289</v>
      </c>
      <c r="F317" s="270">
        <v>72890</v>
      </c>
      <c r="G317" s="270">
        <f t="shared" si="12"/>
        <v>21.07</v>
      </c>
      <c r="H317" s="271">
        <f t="shared" si="13"/>
        <v>4.81248540066202e-6</v>
      </c>
      <c r="I317" s="272">
        <f t="shared" si="14"/>
        <v>0.999922415517755</v>
      </c>
    </row>
    <row r="318" ht="38.25" spans="1:9">
      <c r="A318" s="267" t="s">
        <v>1752</v>
      </c>
      <c r="B318" s="268" t="s">
        <v>1385</v>
      </c>
      <c r="C318" s="269" t="s">
        <v>1753</v>
      </c>
      <c r="D318" s="91" t="s">
        <v>466</v>
      </c>
      <c r="E318" s="270">
        <v>0.401983</v>
      </c>
      <c r="F318" s="270">
        <v>47.2</v>
      </c>
      <c r="G318" s="270">
        <f t="shared" si="12"/>
        <v>18.97</v>
      </c>
      <c r="H318" s="271">
        <f t="shared" si="13"/>
        <v>4.33283569295484e-6</v>
      </c>
      <c r="I318" s="272">
        <f t="shared" si="14"/>
        <v>0.999926748353448</v>
      </c>
    </row>
    <row r="319" spans="1:9">
      <c r="A319" s="267" t="s">
        <v>1754</v>
      </c>
      <c r="B319" s="268" t="s">
        <v>1700</v>
      </c>
      <c r="C319" s="269" t="s">
        <v>1755</v>
      </c>
      <c r="D319" s="91" t="s">
        <v>463</v>
      </c>
      <c r="E319" s="270">
        <v>2.07904</v>
      </c>
      <c r="F319" s="270">
        <v>8.96</v>
      </c>
      <c r="G319" s="270">
        <f t="shared" si="12"/>
        <v>18.63</v>
      </c>
      <c r="H319" s="271">
        <f t="shared" si="13"/>
        <v>4.25517812123083e-6</v>
      </c>
      <c r="I319" s="272">
        <f t="shared" si="14"/>
        <v>0.999931003531569</v>
      </c>
    </row>
    <row r="320" ht="25.5" spans="1:9">
      <c r="A320" s="267" t="s">
        <v>1756</v>
      </c>
      <c r="B320" s="268" t="s">
        <v>1605</v>
      </c>
      <c r="C320" s="269" t="s">
        <v>1757</v>
      </c>
      <c r="D320" s="91" t="s">
        <v>494</v>
      </c>
      <c r="E320" s="270">
        <v>0.000182</v>
      </c>
      <c r="F320" s="270">
        <v>94215.19</v>
      </c>
      <c r="G320" s="270">
        <f t="shared" si="12"/>
        <v>17.15</v>
      </c>
      <c r="H320" s="271">
        <f t="shared" si="13"/>
        <v>3.91713927960862e-6</v>
      </c>
      <c r="I320" s="272">
        <f t="shared" si="14"/>
        <v>0.999934920670849</v>
      </c>
    </row>
    <row r="321" ht="25.5" spans="1:9">
      <c r="A321" s="267" t="s">
        <v>1758</v>
      </c>
      <c r="B321" s="268" t="s">
        <v>1661</v>
      </c>
      <c r="C321" s="269" t="s">
        <v>1759</v>
      </c>
      <c r="D321" s="91" t="s">
        <v>494</v>
      </c>
      <c r="E321" s="270">
        <v>0.000158</v>
      </c>
      <c r="F321" s="270">
        <v>106392.69</v>
      </c>
      <c r="G321" s="270">
        <f t="shared" si="12"/>
        <v>16.81</v>
      </c>
      <c r="H321" s="271">
        <f t="shared" si="13"/>
        <v>3.8394817078846e-6</v>
      </c>
      <c r="I321" s="272">
        <f t="shared" si="14"/>
        <v>0.999938760152557</v>
      </c>
    </row>
    <row r="322" ht="25.5" spans="1:9">
      <c r="A322" s="267" t="s">
        <v>1760</v>
      </c>
      <c r="B322" s="268" t="s">
        <v>1761</v>
      </c>
      <c r="C322" s="269" t="s">
        <v>1762</v>
      </c>
      <c r="D322" s="91" t="s">
        <v>494</v>
      </c>
      <c r="E322" s="270">
        <v>0.000223</v>
      </c>
      <c r="F322" s="270">
        <v>70306.12</v>
      </c>
      <c r="G322" s="270">
        <f t="shared" si="12"/>
        <v>15.68</v>
      </c>
      <c r="H322" s="271">
        <f t="shared" si="13"/>
        <v>3.5813844842136e-6</v>
      </c>
      <c r="I322" s="272">
        <f t="shared" si="14"/>
        <v>0.999942341537041</v>
      </c>
    </row>
    <row r="323" spans="1:9">
      <c r="A323" s="267" t="s">
        <v>1763</v>
      </c>
      <c r="B323" s="268" t="s">
        <v>1764</v>
      </c>
      <c r="C323" s="269" t="s">
        <v>1765</v>
      </c>
      <c r="D323" s="91" t="s">
        <v>839</v>
      </c>
      <c r="E323" s="270">
        <v>0.695012</v>
      </c>
      <c r="F323" s="270">
        <v>21.83</v>
      </c>
      <c r="G323" s="270">
        <f t="shared" ref="G323:G385" si="15">ROUND(E323*F323,2)</f>
        <v>15.17</v>
      </c>
      <c r="H323" s="271">
        <f t="shared" ref="H323:H385" si="16">G323/$K$1</f>
        <v>3.46489812662757e-6</v>
      </c>
      <c r="I323" s="272">
        <f t="shared" si="14"/>
        <v>0.999945806435168</v>
      </c>
    </row>
    <row r="324" ht="25.5" spans="1:9">
      <c r="A324" s="267" t="s">
        <v>1766</v>
      </c>
      <c r="B324" s="268" t="s">
        <v>1767</v>
      </c>
      <c r="C324" s="269" t="s">
        <v>1768</v>
      </c>
      <c r="D324" s="91" t="s">
        <v>112</v>
      </c>
      <c r="E324" s="270">
        <v>2.9905</v>
      </c>
      <c r="F324" s="270">
        <v>4.46</v>
      </c>
      <c r="G324" s="270">
        <f t="shared" si="15"/>
        <v>13.34</v>
      </c>
      <c r="H324" s="271">
        <f t="shared" si="16"/>
        <v>3.04691766705417e-6</v>
      </c>
      <c r="I324" s="272">
        <f t="shared" ref="I324:I385" si="17">H324+I323</f>
        <v>0.999948853352835</v>
      </c>
    </row>
    <row r="325" ht="38.25" spans="1:9">
      <c r="A325" s="267" t="s">
        <v>1769</v>
      </c>
      <c r="B325" s="268" t="s">
        <v>1002</v>
      </c>
      <c r="C325" s="269" t="s">
        <v>1770</v>
      </c>
      <c r="D325" s="91" t="s">
        <v>494</v>
      </c>
      <c r="E325" s="270">
        <v>4.7e-5</v>
      </c>
      <c r="F325" s="270">
        <v>279656.7</v>
      </c>
      <c r="G325" s="270">
        <f t="shared" si="15"/>
        <v>13.14</v>
      </c>
      <c r="H325" s="271">
        <f t="shared" si="16"/>
        <v>3.00123674251063e-6</v>
      </c>
      <c r="I325" s="272">
        <f t="shared" si="17"/>
        <v>0.999951854589577</v>
      </c>
    </row>
    <row r="326" ht="25.5" spans="1:9">
      <c r="A326" s="267" t="s">
        <v>1771</v>
      </c>
      <c r="B326" s="268" t="s">
        <v>1111</v>
      </c>
      <c r="C326" s="269" t="s">
        <v>1772</v>
      </c>
      <c r="D326" s="91" t="s">
        <v>839</v>
      </c>
      <c r="E326" s="270">
        <v>6.457031</v>
      </c>
      <c r="F326" s="270">
        <v>2.05</v>
      </c>
      <c r="G326" s="270">
        <f t="shared" si="15"/>
        <v>13.24</v>
      </c>
      <c r="H326" s="271">
        <f t="shared" si="16"/>
        <v>3.0240772047824e-6</v>
      </c>
      <c r="I326" s="272">
        <f t="shared" si="17"/>
        <v>0.999954878666782</v>
      </c>
    </row>
    <row r="327" ht="25.5" spans="1:9">
      <c r="A327" s="267" t="s">
        <v>1773</v>
      </c>
      <c r="B327" s="268" t="s">
        <v>1111</v>
      </c>
      <c r="C327" s="269" t="s">
        <v>1774</v>
      </c>
      <c r="D327" s="91" t="s">
        <v>839</v>
      </c>
      <c r="E327" s="270">
        <v>6.457031</v>
      </c>
      <c r="F327" s="270">
        <v>1.85</v>
      </c>
      <c r="G327" s="270">
        <f t="shared" si="15"/>
        <v>11.95</v>
      </c>
      <c r="H327" s="271">
        <f t="shared" si="16"/>
        <v>2.72943524147656e-6</v>
      </c>
      <c r="I327" s="272">
        <f t="shared" si="17"/>
        <v>0.999957608102024</v>
      </c>
    </row>
    <row r="328" ht="38.25" spans="1:9">
      <c r="A328" s="267" t="s">
        <v>1775</v>
      </c>
      <c r="B328" s="268" t="s">
        <v>1776</v>
      </c>
      <c r="C328" s="269" t="s">
        <v>1777</v>
      </c>
      <c r="D328" s="91" t="s">
        <v>494</v>
      </c>
      <c r="E328" s="270">
        <v>0.002336</v>
      </c>
      <c r="F328" s="270">
        <v>5000</v>
      </c>
      <c r="G328" s="270">
        <f t="shared" si="15"/>
        <v>11.68</v>
      </c>
      <c r="H328" s="271">
        <f t="shared" si="16"/>
        <v>2.66776599334278e-6</v>
      </c>
      <c r="I328" s="272">
        <f t="shared" si="17"/>
        <v>0.999960275868017</v>
      </c>
    </row>
    <row r="329" ht="76.5" spans="1:9">
      <c r="A329" s="267" t="s">
        <v>1778</v>
      </c>
      <c r="B329" s="268" t="s">
        <v>1779</v>
      </c>
      <c r="C329" s="269" t="s">
        <v>1780</v>
      </c>
      <c r="D329" s="91" t="s">
        <v>494</v>
      </c>
      <c r="E329" s="270">
        <v>0.00107</v>
      </c>
      <c r="F329" s="270">
        <v>10731.19</v>
      </c>
      <c r="G329" s="270">
        <f t="shared" si="15"/>
        <v>11.48</v>
      </c>
      <c r="H329" s="271">
        <f t="shared" si="16"/>
        <v>2.62208506879924e-6</v>
      </c>
      <c r="I329" s="272">
        <f t="shared" si="17"/>
        <v>0.999962897953086</v>
      </c>
    </row>
    <row r="330" ht="25.5" spans="1:9">
      <c r="A330" s="267" t="s">
        <v>1781</v>
      </c>
      <c r="B330" s="268" t="s">
        <v>1782</v>
      </c>
      <c r="C330" s="269" t="s">
        <v>1783</v>
      </c>
      <c r="D330" s="91" t="s">
        <v>494</v>
      </c>
      <c r="E330" s="270">
        <v>2</v>
      </c>
      <c r="F330" s="270">
        <v>5.36</v>
      </c>
      <c r="G330" s="270">
        <f t="shared" si="15"/>
        <v>10.72</v>
      </c>
      <c r="H330" s="271">
        <f t="shared" si="16"/>
        <v>2.44849755553379e-6</v>
      </c>
      <c r="I330" s="272">
        <f t="shared" si="17"/>
        <v>0.999965346450641</v>
      </c>
    </row>
    <row r="331" ht="25.5" spans="1:9">
      <c r="A331" s="267" t="s">
        <v>1784</v>
      </c>
      <c r="B331" s="268" t="s">
        <v>1779</v>
      </c>
      <c r="C331" s="269" t="s">
        <v>1785</v>
      </c>
      <c r="D331" s="91" t="s">
        <v>494</v>
      </c>
      <c r="E331" s="270">
        <v>7.3e-5</v>
      </c>
      <c r="F331" s="270">
        <v>147034.86</v>
      </c>
      <c r="G331" s="270">
        <f t="shared" si="15"/>
        <v>10.73</v>
      </c>
      <c r="H331" s="271">
        <f t="shared" si="16"/>
        <v>2.45078160176096e-6</v>
      </c>
      <c r="I331" s="272">
        <f t="shared" si="17"/>
        <v>0.999967797232243</v>
      </c>
    </row>
    <row r="332" ht="38.25" spans="1:9">
      <c r="A332" s="267" t="s">
        <v>1786</v>
      </c>
      <c r="B332" s="268" t="s">
        <v>1111</v>
      </c>
      <c r="C332" s="269" t="s">
        <v>1787</v>
      </c>
      <c r="D332" s="91" t="s">
        <v>598</v>
      </c>
      <c r="E332" s="270">
        <v>4.5</v>
      </c>
      <c r="F332" s="270">
        <v>2.35</v>
      </c>
      <c r="G332" s="270">
        <f t="shared" si="15"/>
        <v>10.58</v>
      </c>
      <c r="H332" s="271">
        <f t="shared" si="16"/>
        <v>2.41652090835331e-6</v>
      </c>
      <c r="I332" s="272">
        <f t="shared" si="17"/>
        <v>0.999970213753151</v>
      </c>
    </row>
    <row r="333" spans="1:9">
      <c r="A333" s="267" t="s">
        <v>1788</v>
      </c>
      <c r="B333" s="268" t="s">
        <v>1251</v>
      </c>
      <c r="C333" s="269" t="s">
        <v>1789</v>
      </c>
      <c r="D333" s="91" t="s">
        <v>463</v>
      </c>
      <c r="E333" s="270">
        <v>0.2825</v>
      </c>
      <c r="F333" s="270">
        <v>35.6</v>
      </c>
      <c r="G333" s="270">
        <f t="shared" si="15"/>
        <v>10.06</v>
      </c>
      <c r="H333" s="271">
        <f t="shared" si="16"/>
        <v>2.2977505045401e-6</v>
      </c>
      <c r="I333" s="272">
        <f t="shared" si="17"/>
        <v>0.999972511503656</v>
      </c>
    </row>
    <row r="334" spans="1:9">
      <c r="A334" s="267" t="s">
        <v>1790</v>
      </c>
      <c r="B334" s="268" t="s">
        <v>1791</v>
      </c>
      <c r="C334" s="269" t="s">
        <v>1792</v>
      </c>
      <c r="D334" s="91" t="s">
        <v>476</v>
      </c>
      <c r="E334" s="270">
        <v>0.552464</v>
      </c>
      <c r="F334" s="270">
        <v>16.62</v>
      </c>
      <c r="G334" s="270">
        <f t="shared" si="15"/>
        <v>9.18</v>
      </c>
      <c r="H334" s="271">
        <f t="shared" si="16"/>
        <v>2.09675443654852e-6</v>
      </c>
      <c r="I334" s="272">
        <f t="shared" si="17"/>
        <v>0.999974608258092</v>
      </c>
    </row>
    <row r="335" spans="1:9">
      <c r="A335" s="267" t="s">
        <v>1793</v>
      </c>
      <c r="B335" s="268" t="s">
        <v>1661</v>
      </c>
      <c r="C335" s="269" t="s">
        <v>1794</v>
      </c>
      <c r="D335" s="91" t="s">
        <v>494</v>
      </c>
      <c r="E335" s="270">
        <v>6.6e-5</v>
      </c>
      <c r="F335" s="270">
        <v>125853.85</v>
      </c>
      <c r="G335" s="270">
        <f t="shared" si="15"/>
        <v>8.31</v>
      </c>
      <c r="H335" s="271">
        <f t="shared" si="16"/>
        <v>1.89804241478412e-6</v>
      </c>
      <c r="I335" s="272">
        <f t="shared" si="17"/>
        <v>0.999976506300507</v>
      </c>
    </row>
    <row r="336" ht="38.25" spans="1:9">
      <c r="A336" s="267" t="s">
        <v>1795</v>
      </c>
      <c r="B336" s="268" t="s">
        <v>1737</v>
      </c>
      <c r="C336" s="269" t="s">
        <v>1796</v>
      </c>
      <c r="D336" s="91" t="s">
        <v>1348</v>
      </c>
      <c r="E336" s="270">
        <v>12.8</v>
      </c>
      <c r="F336" s="270">
        <v>0.62</v>
      </c>
      <c r="G336" s="270">
        <f t="shared" si="15"/>
        <v>7.94</v>
      </c>
      <c r="H336" s="271">
        <f t="shared" si="16"/>
        <v>1.81353270437857e-6</v>
      </c>
      <c r="I336" s="272">
        <f t="shared" si="17"/>
        <v>0.999978319833212</v>
      </c>
    </row>
    <row r="337" spans="1:9">
      <c r="A337" s="267" t="s">
        <v>1797</v>
      </c>
      <c r="B337" s="268" t="s">
        <v>1791</v>
      </c>
      <c r="C337" s="269" t="s">
        <v>1798</v>
      </c>
      <c r="D337" s="91" t="s">
        <v>463</v>
      </c>
      <c r="E337" s="270">
        <v>0.092272</v>
      </c>
      <c r="F337" s="270">
        <v>84.6</v>
      </c>
      <c r="G337" s="270">
        <f t="shared" si="15"/>
        <v>7.81</v>
      </c>
      <c r="H337" s="271">
        <f t="shared" si="16"/>
        <v>1.78384010342527e-6</v>
      </c>
      <c r="I337" s="272">
        <f t="shared" si="17"/>
        <v>0.999980103673315</v>
      </c>
    </row>
    <row r="338" ht="25.5" spans="1:9">
      <c r="A338" s="267" t="s">
        <v>1799</v>
      </c>
      <c r="B338" s="268" t="s">
        <v>1800</v>
      </c>
      <c r="C338" s="269" t="s">
        <v>1801</v>
      </c>
      <c r="D338" s="91" t="s">
        <v>494</v>
      </c>
      <c r="E338" s="270">
        <v>0.091</v>
      </c>
      <c r="F338" s="270">
        <v>82.55</v>
      </c>
      <c r="G338" s="270">
        <f t="shared" si="15"/>
        <v>7.51</v>
      </c>
      <c r="H338" s="271">
        <f t="shared" si="16"/>
        <v>1.71531871660996e-6</v>
      </c>
      <c r="I338" s="272">
        <f t="shared" si="17"/>
        <v>0.999981818992032</v>
      </c>
    </row>
    <row r="339" ht="25.5" spans="1:9">
      <c r="A339" s="267" t="s">
        <v>1802</v>
      </c>
      <c r="B339" s="268" t="s">
        <v>1251</v>
      </c>
      <c r="C339" s="269" t="s">
        <v>1803</v>
      </c>
      <c r="D339" s="91" t="s">
        <v>463</v>
      </c>
      <c r="E339" s="270">
        <v>0.33</v>
      </c>
      <c r="F339" s="270">
        <v>19.08</v>
      </c>
      <c r="G339" s="270">
        <f t="shared" si="15"/>
        <v>6.3</v>
      </c>
      <c r="H339" s="271">
        <f t="shared" si="16"/>
        <v>1.43894912312154e-6</v>
      </c>
      <c r="I339" s="272">
        <f t="shared" si="17"/>
        <v>0.999983257941155</v>
      </c>
    </row>
    <row r="340" ht="25.5" spans="1:9">
      <c r="A340" s="267" t="s">
        <v>1804</v>
      </c>
      <c r="B340" s="268" t="s">
        <v>1750</v>
      </c>
      <c r="C340" s="269" t="s">
        <v>1805</v>
      </c>
      <c r="D340" s="91" t="s">
        <v>494</v>
      </c>
      <c r="E340" s="270">
        <v>3.4e-5</v>
      </c>
      <c r="F340" s="270">
        <v>161392.72</v>
      </c>
      <c r="G340" s="270">
        <f t="shared" si="15"/>
        <v>5.49</v>
      </c>
      <c r="H340" s="271">
        <f t="shared" si="16"/>
        <v>1.25394137872019e-6</v>
      </c>
      <c r="I340" s="272">
        <f t="shared" si="17"/>
        <v>0.999984511882533</v>
      </c>
    </row>
    <row r="341" spans="1:9">
      <c r="A341" s="267" t="s">
        <v>1806</v>
      </c>
      <c r="B341" s="268" t="s">
        <v>1734</v>
      </c>
      <c r="C341" s="269" t="s">
        <v>1807</v>
      </c>
      <c r="D341" s="91" t="s">
        <v>494</v>
      </c>
      <c r="E341" s="270">
        <v>7.5e-5</v>
      </c>
      <c r="F341" s="270">
        <v>72035.46</v>
      </c>
      <c r="G341" s="270">
        <f t="shared" si="15"/>
        <v>5.4</v>
      </c>
      <c r="H341" s="271">
        <f t="shared" si="16"/>
        <v>1.2333849626756e-6</v>
      </c>
      <c r="I341" s="272">
        <f t="shared" si="17"/>
        <v>0.999985745267496</v>
      </c>
    </row>
    <row r="342" spans="1:9">
      <c r="A342" s="267" t="s">
        <v>1808</v>
      </c>
      <c r="B342" s="268" t="s">
        <v>1809</v>
      </c>
      <c r="C342" s="269" t="s">
        <v>1810</v>
      </c>
      <c r="D342" s="91" t="s">
        <v>494</v>
      </c>
      <c r="E342" s="270">
        <v>0.0729</v>
      </c>
      <c r="F342" s="270">
        <v>72.86</v>
      </c>
      <c r="G342" s="270">
        <f t="shared" si="15"/>
        <v>5.31</v>
      </c>
      <c r="H342" s="271">
        <f t="shared" si="16"/>
        <v>1.21282854663101e-6</v>
      </c>
      <c r="I342" s="272">
        <f t="shared" si="17"/>
        <v>0.999986958096043</v>
      </c>
    </row>
    <row r="343" ht="38.25" spans="1:9">
      <c r="A343" s="267" t="s">
        <v>1811</v>
      </c>
      <c r="B343" s="268" t="s">
        <v>1812</v>
      </c>
      <c r="C343" s="269" t="s">
        <v>1813</v>
      </c>
      <c r="D343" s="91" t="s">
        <v>494</v>
      </c>
      <c r="E343" s="270">
        <v>0.003463</v>
      </c>
      <c r="F343" s="270">
        <v>1504.72</v>
      </c>
      <c r="G343" s="270">
        <f t="shared" si="15"/>
        <v>5.21</v>
      </c>
      <c r="H343" s="271">
        <f t="shared" si="16"/>
        <v>1.18998808435924e-6</v>
      </c>
      <c r="I343" s="272">
        <f t="shared" si="17"/>
        <v>0.999988148084127</v>
      </c>
    </row>
    <row r="344" ht="38.25" spans="1:9">
      <c r="A344" s="267" t="s">
        <v>1814</v>
      </c>
      <c r="B344" s="268" t="s">
        <v>1800</v>
      </c>
      <c r="C344" s="269" t="s">
        <v>1815</v>
      </c>
      <c r="D344" s="91" t="s">
        <v>494</v>
      </c>
      <c r="E344" s="270">
        <v>0.1542</v>
      </c>
      <c r="F344" s="270">
        <v>30.07</v>
      </c>
      <c r="G344" s="270">
        <f t="shared" si="15"/>
        <v>4.64</v>
      </c>
      <c r="H344" s="271">
        <f t="shared" si="16"/>
        <v>1.05979744941015e-6</v>
      </c>
      <c r="I344" s="272">
        <f t="shared" si="17"/>
        <v>0.999989207881577</v>
      </c>
    </row>
    <row r="345" ht="25.5" spans="1:9">
      <c r="A345" s="267" t="s">
        <v>1816</v>
      </c>
      <c r="B345" s="268" t="s">
        <v>1817</v>
      </c>
      <c r="C345" s="269" t="s">
        <v>1818</v>
      </c>
      <c r="D345" s="91" t="s">
        <v>494</v>
      </c>
      <c r="E345" s="270">
        <v>1</v>
      </c>
      <c r="F345" s="270">
        <v>4.55</v>
      </c>
      <c r="G345" s="270">
        <f t="shared" si="15"/>
        <v>4.55</v>
      </c>
      <c r="H345" s="271">
        <f t="shared" si="16"/>
        <v>1.03924103336555e-6</v>
      </c>
      <c r="I345" s="272">
        <f t="shared" si="17"/>
        <v>0.99999024712261</v>
      </c>
    </row>
    <row r="346" ht="38.25" spans="1:9">
      <c r="A346" s="267" t="s">
        <v>1819</v>
      </c>
      <c r="B346" s="268" t="s">
        <v>1385</v>
      </c>
      <c r="C346" s="269" t="s">
        <v>1820</v>
      </c>
      <c r="D346" s="91" t="s">
        <v>466</v>
      </c>
      <c r="E346" s="270">
        <v>0.304634</v>
      </c>
      <c r="F346" s="270">
        <v>14.47</v>
      </c>
      <c r="G346" s="270">
        <f t="shared" si="15"/>
        <v>4.41</v>
      </c>
      <c r="H346" s="271">
        <f t="shared" si="16"/>
        <v>1.00726438618507e-6</v>
      </c>
      <c r="I346" s="272">
        <f t="shared" si="17"/>
        <v>0.999991254386996</v>
      </c>
    </row>
    <row r="347" ht="38.25" spans="1:9">
      <c r="A347" s="267" t="s">
        <v>1821</v>
      </c>
      <c r="B347" s="268" t="s">
        <v>1734</v>
      </c>
      <c r="C347" s="269" t="s">
        <v>1822</v>
      </c>
      <c r="D347" s="91" t="s">
        <v>494</v>
      </c>
      <c r="E347" s="270">
        <v>8e-6</v>
      </c>
      <c r="F347" s="270">
        <v>523066.43</v>
      </c>
      <c r="G347" s="270">
        <f t="shared" si="15"/>
        <v>4.18</v>
      </c>
      <c r="H347" s="271">
        <f t="shared" si="16"/>
        <v>9.54731322960003e-7</v>
      </c>
      <c r="I347" s="272">
        <f t="shared" si="17"/>
        <v>0.999992209118319</v>
      </c>
    </row>
    <row r="348" ht="25.5" spans="1:9">
      <c r="A348" s="267" t="s">
        <v>1823</v>
      </c>
      <c r="B348" s="268" t="s">
        <v>1103</v>
      </c>
      <c r="C348" s="269" t="s">
        <v>1824</v>
      </c>
      <c r="D348" s="91" t="s">
        <v>494</v>
      </c>
      <c r="E348" s="270">
        <v>0.000454</v>
      </c>
      <c r="F348" s="270">
        <v>8337.53</v>
      </c>
      <c r="G348" s="270">
        <f t="shared" si="15"/>
        <v>3.79</v>
      </c>
      <c r="H348" s="271">
        <f t="shared" si="16"/>
        <v>8.65653520100098e-7</v>
      </c>
      <c r="I348" s="272">
        <f t="shared" si="17"/>
        <v>0.999993074771839</v>
      </c>
    </row>
    <row r="349" ht="38.25" spans="1:9">
      <c r="A349" s="267" t="s">
        <v>1825</v>
      </c>
      <c r="B349" s="268" t="s">
        <v>1826</v>
      </c>
      <c r="C349" s="269" t="s">
        <v>1827</v>
      </c>
      <c r="D349" s="91" t="s">
        <v>215</v>
      </c>
      <c r="E349" s="270">
        <v>0.433512</v>
      </c>
      <c r="F349" s="270">
        <v>7.45</v>
      </c>
      <c r="G349" s="270">
        <f t="shared" si="15"/>
        <v>3.23</v>
      </c>
      <c r="H349" s="271">
        <f t="shared" si="16"/>
        <v>7.37746931378184e-7</v>
      </c>
      <c r="I349" s="272">
        <f t="shared" si="17"/>
        <v>0.999993812518771</v>
      </c>
    </row>
    <row r="350" ht="25.5" spans="1:9">
      <c r="A350" s="267" t="s">
        <v>1828</v>
      </c>
      <c r="B350" s="268" t="s">
        <v>1829</v>
      </c>
      <c r="C350" s="269" t="s">
        <v>1830</v>
      </c>
      <c r="D350" s="91" t="s">
        <v>463</v>
      </c>
      <c r="E350" s="270">
        <v>0.167043</v>
      </c>
      <c r="F350" s="270">
        <v>19.08</v>
      </c>
      <c r="G350" s="270">
        <f t="shared" si="15"/>
        <v>3.19</v>
      </c>
      <c r="H350" s="271">
        <f t="shared" si="16"/>
        <v>7.28610746469476e-7</v>
      </c>
      <c r="I350" s="272">
        <f t="shared" si="17"/>
        <v>0.999994541129517</v>
      </c>
    </row>
    <row r="351" ht="38.25" spans="1:9">
      <c r="A351" s="267" t="s">
        <v>1831</v>
      </c>
      <c r="B351" s="268" t="s">
        <v>1832</v>
      </c>
      <c r="C351" s="269" t="s">
        <v>1833</v>
      </c>
      <c r="D351" s="91" t="s">
        <v>839</v>
      </c>
      <c r="E351" s="270">
        <v>1.908333</v>
      </c>
      <c r="F351" s="270">
        <v>1.36</v>
      </c>
      <c r="G351" s="270">
        <f t="shared" si="15"/>
        <v>2.6</v>
      </c>
      <c r="H351" s="271">
        <f t="shared" si="16"/>
        <v>5.9385201906603e-7</v>
      </c>
      <c r="I351" s="272">
        <f t="shared" si="17"/>
        <v>0.999995134981536</v>
      </c>
    </row>
    <row r="352" ht="25.5" spans="1:9">
      <c r="A352" s="267" t="s">
        <v>1834</v>
      </c>
      <c r="B352" s="268" t="s">
        <v>1726</v>
      </c>
      <c r="C352" s="269" t="s">
        <v>1835</v>
      </c>
      <c r="D352" s="91" t="s">
        <v>494</v>
      </c>
      <c r="E352" s="270">
        <v>0.000568</v>
      </c>
      <c r="F352" s="270">
        <v>4363.58</v>
      </c>
      <c r="G352" s="270">
        <f t="shared" si="15"/>
        <v>2.48</v>
      </c>
      <c r="H352" s="271">
        <f t="shared" si="16"/>
        <v>5.66443464339906e-7</v>
      </c>
      <c r="I352" s="272">
        <f t="shared" si="17"/>
        <v>0.999995701425001</v>
      </c>
    </row>
    <row r="353" ht="25.5" spans="1:9">
      <c r="A353" s="267" t="s">
        <v>1836</v>
      </c>
      <c r="B353" s="268" t="s">
        <v>1837</v>
      </c>
      <c r="C353" s="269" t="s">
        <v>1838</v>
      </c>
      <c r="D353" s="91" t="s">
        <v>494</v>
      </c>
      <c r="E353" s="270">
        <v>2</v>
      </c>
      <c r="F353" s="270">
        <v>0.96</v>
      </c>
      <c r="G353" s="270">
        <f t="shared" si="15"/>
        <v>1.92</v>
      </c>
      <c r="H353" s="271">
        <f t="shared" si="16"/>
        <v>4.38536875617992e-7</v>
      </c>
      <c r="I353" s="272">
        <f t="shared" si="17"/>
        <v>0.999996139961876</v>
      </c>
    </row>
    <row r="354" ht="25.5" spans="1:9">
      <c r="A354" s="267" t="s">
        <v>1839</v>
      </c>
      <c r="B354" s="268" t="s">
        <v>1840</v>
      </c>
      <c r="C354" s="269" t="s">
        <v>1841</v>
      </c>
      <c r="D354" s="91" t="s">
        <v>494</v>
      </c>
      <c r="E354" s="270">
        <v>0.000172</v>
      </c>
      <c r="F354" s="270">
        <v>9163.25</v>
      </c>
      <c r="G354" s="270">
        <f t="shared" si="15"/>
        <v>1.58</v>
      </c>
      <c r="H354" s="271">
        <f t="shared" si="16"/>
        <v>3.60879303893972e-7</v>
      </c>
      <c r="I354" s="272">
        <f t="shared" si="17"/>
        <v>0.99999650084118</v>
      </c>
    </row>
    <row r="355" ht="25.5" spans="1:9">
      <c r="A355" s="267" t="s">
        <v>1842</v>
      </c>
      <c r="B355" s="268" t="s">
        <v>1843</v>
      </c>
      <c r="C355" s="269" t="s">
        <v>1844</v>
      </c>
      <c r="D355" s="91" t="s">
        <v>494</v>
      </c>
      <c r="E355" s="270">
        <v>2</v>
      </c>
      <c r="F355" s="270">
        <v>0.78</v>
      </c>
      <c r="G355" s="270">
        <f t="shared" si="15"/>
        <v>1.56</v>
      </c>
      <c r="H355" s="271">
        <f t="shared" si="16"/>
        <v>3.56311211439618e-7</v>
      </c>
      <c r="I355" s="272">
        <f t="shared" si="17"/>
        <v>0.999996857152392</v>
      </c>
    </row>
    <row r="356" ht="51" spans="1:9">
      <c r="A356" s="267" t="s">
        <v>1845</v>
      </c>
      <c r="B356" s="268" t="s">
        <v>1490</v>
      </c>
      <c r="C356" s="269" t="s">
        <v>1846</v>
      </c>
      <c r="D356" s="91" t="s">
        <v>463</v>
      </c>
      <c r="E356" s="270">
        <v>0.1848</v>
      </c>
      <c r="F356" s="270">
        <v>8.38</v>
      </c>
      <c r="G356" s="270">
        <f t="shared" si="15"/>
        <v>1.55</v>
      </c>
      <c r="H356" s="271">
        <f t="shared" si="16"/>
        <v>3.54027165212441e-7</v>
      </c>
      <c r="I356" s="272">
        <f t="shared" si="17"/>
        <v>0.999997211179557</v>
      </c>
    </row>
    <row r="357" spans="1:9">
      <c r="A357" s="267" t="s">
        <v>1847</v>
      </c>
      <c r="B357" s="268" t="s">
        <v>1848</v>
      </c>
      <c r="C357" s="269" t="s">
        <v>1849</v>
      </c>
      <c r="D357" s="91" t="s">
        <v>494</v>
      </c>
      <c r="E357" s="270">
        <v>0.50035</v>
      </c>
      <c r="F357" s="270">
        <v>2.57</v>
      </c>
      <c r="G357" s="270">
        <f t="shared" si="15"/>
        <v>1.29</v>
      </c>
      <c r="H357" s="271">
        <f t="shared" si="16"/>
        <v>2.94641963305838e-7</v>
      </c>
      <c r="I357" s="272">
        <f t="shared" si="17"/>
        <v>0.99999750582152</v>
      </c>
    </row>
    <row r="358" ht="25.5" spans="1:9">
      <c r="A358" s="267" t="s">
        <v>1850</v>
      </c>
      <c r="B358" s="268" t="s">
        <v>1111</v>
      </c>
      <c r="C358" s="269" t="s">
        <v>1851</v>
      </c>
      <c r="D358" s="91" t="s">
        <v>839</v>
      </c>
      <c r="E358" s="270">
        <v>0.687083</v>
      </c>
      <c r="F358" s="270">
        <v>1.82</v>
      </c>
      <c r="G358" s="270">
        <f t="shared" si="15"/>
        <v>1.25</v>
      </c>
      <c r="H358" s="271">
        <f t="shared" si="16"/>
        <v>2.8550577839713e-7</v>
      </c>
      <c r="I358" s="272">
        <f t="shared" si="17"/>
        <v>0.999997791327298</v>
      </c>
    </row>
    <row r="359" ht="25.5" spans="1:9">
      <c r="A359" s="267" t="s">
        <v>1852</v>
      </c>
      <c r="B359" s="268" t="s">
        <v>1750</v>
      </c>
      <c r="C359" s="269" t="s">
        <v>1853</v>
      </c>
      <c r="D359" s="91" t="s">
        <v>494</v>
      </c>
      <c r="E359" s="270">
        <v>0.002564</v>
      </c>
      <c r="F359" s="270">
        <v>445.49</v>
      </c>
      <c r="G359" s="270">
        <f t="shared" si="15"/>
        <v>1.14</v>
      </c>
      <c r="H359" s="271">
        <f t="shared" si="16"/>
        <v>2.60381269898183e-7</v>
      </c>
      <c r="I359" s="272">
        <f t="shared" si="17"/>
        <v>0.999998051708568</v>
      </c>
    </row>
    <row r="360" ht="38.25" spans="1:9">
      <c r="A360" s="267" t="s">
        <v>1854</v>
      </c>
      <c r="B360" s="268" t="s">
        <v>1734</v>
      </c>
      <c r="C360" s="269" t="s">
        <v>1855</v>
      </c>
      <c r="D360" s="91" t="s">
        <v>494</v>
      </c>
      <c r="E360" s="270">
        <v>2e-6</v>
      </c>
      <c r="F360" s="270">
        <v>570622.72</v>
      </c>
      <c r="G360" s="270">
        <f t="shared" si="15"/>
        <v>1.14</v>
      </c>
      <c r="H360" s="271">
        <f t="shared" si="16"/>
        <v>2.60381269898183e-7</v>
      </c>
      <c r="I360" s="272">
        <f t="shared" si="17"/>
        <v>0.999998312089838</v>
      </c>
    </row>
    <row r="361" ht="38.25" spans="1:9">
      <c r="A361" s="267" t="s">
        <v>1856</v>
      </c>
      <c r="B361" s="268" t="s">
        <v>1857</v>
      </c>
      <c r="C361" s="269" t="s">
        <v>1858</v>
      </c>
      <c r="D361" s="91" t="s">
        <v>839</v>
      </c>
      <c r="E361" s="270">
        <v>0.5</v>
      </c>
      <c r="F361" s="270">
        <v>1.71</v>
      </c>
      <c r="G361" s="270">
        <f t="shared" si="15"/>
        <v>0.86</v>
      </c>
      <c r="H361" s="271">
        <f t="shared" si="16"/>
        <v>1.96427975537225e-7</v>
      </c>
      <c r="I361" s="272">
        <f t="shared" si="17"/>
        <v>0.999998508517814</v>
      </c>
    </row>
    <row r="362" ht="25.5" spans="1:9">
      <c r="A362" s="267" t="s">
        <v>1859</v>
      </c>
      <c r="B362" s="268" t="s">
        <v>1111</v>
      </c>
      <c r="C362" s="269" t="s">
        <v>1860</v>
      </c>
      <c r="D362" s="91" t="s">
        <v>839</v>
      </c>
      <c r="E362" s="270">
        <v>0.687083</v>
      </c>
      <c r="F362" s="270">
        <v>1.21</v>
      </c>
      <c r="G362" s="270">
        <f t="shared" si="15"/>
        <v>0.83</v>
      </c>
      <c r="H362" s="271">
        <f t="shared" si="16"/>
        <v>1.89575836855694e-7</v>
      </c>
      <c r="I362" s="272">
        <f t="shared" si="17"/>
        <v>0.99999869809365</v>
      </c>
    </row>
    <row r="363" ht="38.25" spans="1:9">
      <c r="A363" s="267" t="s">
        <v>1861</v>
      </c>
      <c r="B363" s="268" t="s">
        <v>1862</v>
      </c>
      <c r="C363" s="269" t="s">
        <v>1863</v>
      </c>
      <c r="D363" s="91" t="s">
        <v>494</v>
      </c>
      <c r="E363" s="270">
        <v>0.001885</v>
      </c>
      <c r="F363" s="270">
        <v>411.72</v>
      </c>
      <c r="G363" s="270">
        <f t="shared" si="15"/>
        <v>0.78</v>
      </c>
      <c r="H363" s="271">
        <f t="shared" si="16"/>
        <v>1.78155605719809e-7</v>
      </c>
      <c r="I363" s="272">
        <f t="shared" si="17"/>
        <v>0.999998876249256</v>
      </c>
    </row>
    <row r="364" ht="25.5" spans="1:9">
      <c r="A364" s="267" t="s">
        <v>1864</v>
      </c>
      <c r="B364" s="268" t="s">
        <v>1865</v>
      </c>
      <c r="C364" s="269" t="s">
        <v>1866</v>
      </c>
      <c r="D364" s="91" t="s">
        <v>494</v>
      </c>
      <c r="E364" s="270">
        <v>0.000122</v>
      </c>
      <c r="F364" s="270">
        <v>5400.9</v>
      </c>
      <c r="G364" s="270">
        <f t="shared" si="15"/>
        <v>0.66</v>
      </c>
      <c r="H364" s="271">
        <f t="shared" si="16"/>
        <v>1.50747050993685e-7</v>
      </c>
      <c r="I364" s="272">
        <f t="shared" si="17"/>
        <v>0.999999026996307</v>
      </c>
    </row>
    <row r="365" ht="38.25" spans="1:9">
      <c r="A365" s="267" t="s">
        <v>1867</v>
      </c>
      <c r="B365" s="268" t="s">
        <v>1734</v>
      </c>
      <c r="C365" s="269" t="s">
        <v>1868</v>
      </c>
      <c r="D365" s="91" t="s">
        <v>494</v>
      </c>
      <c r="E365" s="270">
        <v>1e-6</v>
      </c>
      <c r="F365" s="270">
        <v>523066.43</v>
      </c>
      <c r="G365" s="270">
        <f t="shared" si="15"/>
        <v>0.52</v>
      </c>
      <c r="H365" s="271">
        <f t="shared" si="16"/>
        <v>1.18770403813206e-7</v>
      </c>
      <c r="I365" s="272">
        <f t="shared" si="17"/>
        <v>0.999999145766711</v>
      </c>
    </row>
    <row r="366" ht="51" spans="1:9">
      <c r="A366" s="267" t="s">
        <v>1869</v>
      </c>
      <c r="B366" s="268" t="s">
        <v>1002</v>
      </c>
      <c r="C366" s="269" t="s">
        <v>1870</v>
      </c>
      <c r="D366" s="91" t="s">
        <v>494</v>
      </c>
      <c r="E366" s="270">
        <v>1.7e-5</v>
      </c>
      <c r="F366" s="270">
        <v>32227.1</v>
      </c>
      <c r="G366" s="270">
        <f t="shared" si="15"/>
        <v>0.55</v>
      </c>
      <c r="H366" s="271">
        <f t="shared" si="16"/>
        <v>1.25622542494737e-7</v>
      </c>
      <c r="I366" s="272">
        <f t="shared" si="17"/>
        <v>0.999999271389253</v>
      </c>
    </row>
    <row r="367" ht="25.5" spans="1:9">
      <c r="A367" s="267" t="s">
        <v>1871</v>
      </c>
      <c r="B367" s="268" t="s">
        <v>1872</v>
      </c>
      <c r="C367" s="269" t="s">
        <v>1873</v>
      </c>
      <c r="D367" s="91" t="s">
        <v>494</v>
      </c>
      <c r="E367" s="270">
        <v>0.0334</v>
      </c>
      <c r="F367" s="270">
        <v>14.38</v>
      </c>
      <c r="G367" s="270">
        <f t="shared" si="15"/>
        <v>0.48</v>
      </c>
      <c r="H367" s="271">
        <f t="shared" si="16"/>
        <v>1.09634218904498e-7</v>
      </c>
      <c r="I367" s="272">
        <f t="shared" si="17"/>
        <v>0.999999381023472</v>
      </c>
    </row>
    <row r="368" ht="38.25" spans="1:9">
      <c r="A368" s="267" t="s">
        <v>1874</v>
      </c>
      <c r="B368" s="268" t="s">
        <v>1111</v>
      </c>
      <c r="C368" s="269" t="s">
        <v>1875</v>
      </c>
      <c r="D368" s="91" t="s">
        <v>839</v>
      </c>
      <c r="E368" s="270">
        <v>32</v>
      </c>
      <c r="F368" s="270">
        <v>0.01</v>
      </c>
      <c r="G368" s="270">
        <f t="shared" si="15"/>
        <v>0.32</v>
      </c>
      <c r="H368" s="271">
        <f t="shared" si="16"/>
        <v>7.30894792696653e-8</v>
      </c>
      <c r="I368" s="272">
        <f t="shared" si="17"/>
        <v>0.999999454112952</v>
      </c>
    </row>
    <row r="369" spans="1:9">
      <c r="A369" s="267" t="s">
        <v>1876</v>
      </c>
      <c r="B369" s="268" t="s">
        <v>1734</v>
      </c>
      <c r="C369" s="269" t="s">
        <v>1877</v>
      </c>
      <c r="D369" s="91" t="s">
        <v>494</v>
      </c>
      <c r="E369" s="270">
        <v>9e-6</v>
      </c>
      <c r="F369" s="270">
        <v>36108</v>
      </c>
      <c r="G369" s="270">
        <f t="shared" si="15"/>
        <v>0.32</v>
      </c>
      <c r="H369" s="271">
        <f t="shared" si="16"/>
        <v>7.30894792696653e-8</v>
      </c>
      <c r="I369" s="272">
        <f t="shared" si="17"/>
        <v>0.999999527202431</v>
      </c>
    </row>
    <row r="370" ht="25.5" spans="1:9">
      <c r="A370" s="267" t="s">
        <v>1878</v>
      </c>
      <c r="B370" s="268" t="s">
        <v>1393</v>
      </c>
      <c r="C370" s="269" t="s">
        <v>1879</v>
      </c>
      <c r="D370" s="91" t="s">
        <v>476</v>
      </c>
      <c r="E370" s="270">
        <v>0.001666</v>
      </c>
      <c r="F370" s="270">
        <v>186.45</v>
      </c>
      <c r="G370" s="270">
        <f t="shared" si="15"/>
        <v>0.31</v>
      </c>
      <c r="H370" s="271">
        <f t="shared" si="16"/>
        <v>7.08054330424882e-8</v>
      </c>
      <c r="I370" s="272">
        <f t="shared" si="17"/>
        <v>0.999999598007864</v>
      </c>
    </row>
    <row r="371" ht="38.25" spans="1:9">
      <c r="A371" s="267" t="s">
        <v>1880</v>
      </c>
      <c r="B371" s="268" t="s">
        <v>1881</v>
      </c>
      <c r="C371" s="269" t="s">
        <v>1882</v>
      </c>
      <c r="D371" s="91" t="s">
        <v>839</v>
      </c>
      <c r="E371" s="270">
        <v>1.908333</v>
      </c>
      <c r="F371" s="270">
        <v>0.16</v>
      </c>
      <c r="G371" s="270">
        <f t="shared" si="15"/>
        <v>0.31</v>
      </c>
      <c r="H371" s="271">
        <f t="shared" si="16"/>
        <v>7.08054330424882e-8</v>
      </c>
      <c r="I371" s="272">
        <f t="shared" si="17"/>
        <v>0.999999668813297</v>
      </c>
    </row>
    <row r="372" spans="1:9">
      <c r="A372" s="267" t="s">
        <v>1883</v>
      </c>
      <c r="B372" s="268" t="s">
        <v>1884</v>
      </c>
      <c r="C372" s="269" t="s">
        <v>1885</v>
      </c>
      <c r="D372" s="91" t="s">
        <v>494</v>
      </c>
      <c r="E372" s="270">
        <v>3.3e-5</v>
      </c>
      <c r="F372" s="270">
        <v>8835.36</v>
      </c>
      <c r="G372" s="270">
        <f t="shared" si="15"/>
        <v>0.29</v>
      </c>
      <c r="H372" s="271">
        <f t="shared" si="16"/>
        <v>6.62373405881342e-8</v>
      </c>
      <c r="I372" s="272">
        <f t="shared" si="17"/>
        <v>0.999999735050638</v>
      </c>
    </row>
    <row r="373" ht="25.5" spans="1:9">
      <c r="A373" s="267" t="s">
        <v>1886</v>
      </c>
      <c r="B373" s="268" t="s">
        <v>1734</v>
      </c>
      <c r="C373" s="269" t="s">
        <v>1887</v>
      </c>
      <c r="D373" s="91" t="s">
        <v>494</v>
      </c>
      <c r="E373" s="270">
        <v>1e-6</v>
      </c>
      <c r="F373" s="270">
        <v>220660</v>
      </c>
      <c r="G373" s="270">
        <f t="shared" si="15"/>
        <v>0.22</v>
      </c>
      <c r="H373" s="271">
        <f t="shared" si="16"/>
        <v>5.02490169978949e-8</v>
      </c>
      <c r="I373" s="272">
        <f t="shared" si="17"/>
        <v>0.999999785299655</v>
      </c>
    </row>
    <row r="374" spans="1:9">
      <c r="A374" s="267" t="s">
        <v>1888</v>
      </c>
      <c r="B374" s="268" t="s">
        <v>1884</v>
      </c>
      <c r="C374" s="269" t="s">
        <v>1889</v>
      </c>
      <c r="D374" s="91" t="s">
        <v>494</v>
      </c>
      <c r="E374" s="270">
        <v>1.8e-5</v>
      </c>
      <c r="F374" s="270">
        <v>9869.81</v>
      </c>
      <c r="G374" s="270">
        <f t="shared" si="15"/>
        <v>0.18</v>
      </c>
      <c r="H374" s="271">
        <f t="shared" si="16"/>
        <v>4.11128320891867e-8</v>
      </c>
      <c r="I374" s="272">
        <f t="shared" si="17"/>
        <v>0.999999826412487</v>
      </c>
    </row>
    <row r="375" ht="25.5" spans="1:9">
      <c r="A375" s="267" t="s">
        <v>1890</v>
      </c>
      <c r="B375" s="268" t="s">
        <v>1661</v>
      </c>
      <c r="C375" s="269" t="s">
        <v>1891</v>
      </c>
      <c r="D375" s="91" t="s">
        <v>494</v>
      </c>
      <c r="E375" s="270">
        <v>3.7e-5</v>
      </c>
      <c r="F375" s="270">
        <v>2887.29</v>
      </c>
      <c r="G375" s="270">
        <f t="shared" si="15"/>
        <v>0.11</v>
      </c>
      <c r="H375" s="271">
        <f t="shared" si="16"/>
        <v>2.51245084989474e-8</v>
      </c>
      <c r="I375" s="272">
        <f t="shared" si="17"/>
        <v>0.999999851536995</v>
      </c>
    </row>
    <row r="376" ht="25.5" spans="1:9">
      <c r="A376" s="267" t="s">
        <v>1892</v>
      </c>
      <c r="B376" s="268" t="s">
        <v>1884</v>
      </c>
      <c r="C376" s="269" t="s">
        <v>1893</v>
      </c>
      <c r="D376" s="91" t="s">
        <v>494</v>
      </c>
      <c r="E376" s="270">
        <v>1.8e-5</v>
      </c>
      <c r="F376" s="270">
        <v>5619.73</v>
      </c>
      <c r="G376" s="270">
        <f t="shared" si="15"/>
        <v>0.1</v>
      </c>
      <c r="H376" s="271">
        <f t="shared" si="16"/>
        <v>2.28404622717704e-8</v>
      </c>
      <c r="I376" s="272">
        <f t="shared" si="17"/>
        <v>0.999999874377458</v>
      </c>
    </row>
    <row r="377" spans="1:9">
      <c r="A377" s="267" t="s">
        <v>1894</v>
      </c>
      <c r="B377" s="268" t="s">
        <v>1734</v>
      </c>
      <c r="C377" s="269" t="s">
        <v>1895</v>
      </c>
      <c r="D377" s="91" t="s">
        <v>494</v>
      </c>
      <c r="E377" s="270">
        <v>2e-6</v>
      </c>
      <c r="F377" s="270">
        <v>47943.4</v>
      </c>
      <c r="G377" s="270">
        <f t="shared" si="15"/>
        <v>0.1</v>
      </c>
      <c r="H377" s="271">
        <f t="shared" si="16"/>
        <v>2.28404622717704e-8</v>
      </c>
      <c r="I377" s="272">
        <f t="shared" si="17"/>
        <v>0.99999989721792</v>
      </c>
    </row>
    <row r="378" ht="25.5" spans="1:9">
      <c r="A378" s="267" t="s">
        <v>1896</v>
      </c>
      <c r="B378" s="268" t="s">
        <v>1872</v>
      </c>
      <c r="C378" s="269" t="s">
        <v>1897</v>
      </c>
      <c r="D378" s="91" t="s">
        <v>494</v>
      </c>
      <c r="E378" s="270">
        <v>0.024</v>
      </c>
      <c r="F378" s="270">
        <v>3.9</v>
      </c>
      <c r="G378" s="270">
        <f t="shared" si="15"/>
        <v>0.09</v>
      </c>
      <c r="H378" s="271">
        <f t="shared" si="16"/>
        <v>2.05564160445934e-8</v>
      </c>
      <c r="I378" s="272">
        <f t="shared" si="17"/>
        <v>0.999999917774336</v>
      </c>
    </row>
    <row r="379" spans="1:9">
      <c r="A379" s="267" t="s">
        <v>1898</v>
      </c>
      <c r="B379" s="268" t="s">
        <v>1605</v>
      </c>
      <c r="C379" s="269" t="s">
        <v>1899</v>
      </c>
      <c r="D379" s="91" t="s">
        <v>494</v>
      </c>
      <c r="E379" s="270">
        <v>6e-5</v>
      </c>
      <c r="F379" s="270">
        <v>1451.18</v>
      </c>
      <c r="G379" s="270">
        <f t="shared" si="15"/>
        <v>0.09</v>
      </c>
      <c r="H379" s="271">
        <f t="shared" si="16"/>
        <v>2.05564160445934e-8</v>
      </c>
      <c r="I379" s="272">
        <f t="shared" si="17"/>
        <v>0.999999938330752</v>
      </c>
    </row>
    <row r="380" ht="25.5" spans="1:9">
      <c r="A380" s="267" t="s">
        <v>1900</v>
      </c>
      <c r="B380" s="268" t="s">
        <v>1605</v>
      </c>
      <c r="C380" s="269" t="s">
        <v>1901</v>
      </c>
      <c r="D380" s="91" t="s">
        <v>494</v>
      </c>
      <c r="E380" s="270">
        <v>6.2e-5</v>
      </c>
      <c r="F380" s="270">
        <v>1248.71</v>
      </c>
      <c r="G380" s="270">
        <f t="shared" si="15"/>
        <v>0.08</v>
      </c>
      <c r="H380" s="271">
        <f t="shared" si="16"/>
        <v>1.82723698174163e-8</v>
      </c>
      <c r="I380" s="272">
        <f t="shared" si="17"/>
        <v>0.999999956603122</v>
      </c>
    </row>
    <row r="381" ht="25.5" spans="1:9">
      <c r="A381" s="267" t="s">
        <v>1902</v>
      </c>
      <c r="B381" s="268" t="s">
        <v>1884</v>
      </c>
      <c r="C381" s="269" t="s">
        <v>1903</v>
      </c>
      <c r="D381" s="91" t="s">
        <v>494</v>
      </c>
      <c r="E381" s="270">
        <v>1.6e-5</v>
      </c>
      <c r="F381" s="270">
        <v>4178.24</v>
      </c>
      <c r="G381" s="270">
        <f t="shared" si="15"/>
        <v>0.07</v>
      </c>
      <c r="H381" s="271">
        <f t="shared" si="16"/>
        <v>1.59883235902393e-8</v>
      </c>
      <c r="I381" s="272">
        <f t="shared" si="17"/>
        <v>0.999999972591445</v>
      </c>
    </row>
    <row r="382" ht="25.5" spans="1:9">
      <c r="A382" s="267" t="s">
        <v>1904</v>
      </c>
      <c r="B382" s="268" t="s">
        <v>1905</v>
      </c>
      <c r="C382" s="269" t="s">
        <v>1906</v>
      </c>
      <c r="D382" s="91" t="s">
        <v>463</v>
      </c>
      <c r="E382" s="270">
        <v>0.0018</v>
      </c>
      <c r="F382" s="270">
        <v>23.1</v>
      </c>
      <c r="G382" s="270">
        <f t="shared" si="15"/>
        <v>0.04</v>
      </c>
      <c r="H382" s="271">
        <f t="shared" si="16"/>
        <v>9.13618490870816e-9</v>
      </c>
      <c r="I382" s="272">
        <f t="shared" si="17"/>
        <v>0.99999998172763</v>
      </c>
    </row>
    <row r="383" ht="25.5" spans="1:9">
      <c r="A383" s="267" t="s">
        <v>1907</v>
      </c>
      <c r="B383" s="268" t="s">
        <v>1884</v>
      </c>
      <c r="C383" s="269" t="s">
        <v>1908</v>
      </c>
      <c r="D383" s="91" t="s">
        <v>494</v>
      </c>
      <c r="E383" s="270">
        <v>1.7e-5</v>
      </c>
      <c r="F383" s="270">
        <v>2251.35</v>
      </c>
      <c r="G383" s="270">
        <f t="shared" si="15"/>
        <v>0.04</v>
      </c>
      <c r="H383" s="271">
        <f t="shared" si="16"/>
        <v>9.13618490870816e-9</v>
      </c>
      <c r="I383" s="272">
        <f t="shared" si="17"/>
        <v>0.999999990863815</v>
      </c>
    </row>
    <row r="384" spans="1:9">
      <c r="A384" s="267" t="s">
        <v>1909</v>
      </c>
      <c r="B384" s="268" t="s">
        <v>1734</v>
      </c>
      <c r="C384" s="269" t="s">
        <v>1910</v>
      </c>
      <c r="D384" s="91" t="s">
        <v>494</v>
      </c>
      <c r="E384" s="270">
        <v>1e-6</v>
      </c>
      <c r="F384" s="270">
        <v>28585</v>
      </c>
      <c r="G384" s="270">
        <f t="shared" si="15"/>
        <v>0.03</v>
      </c>
      <c r="H384" s="271">
        <f t="shared" si="16"/>
        <v>6.85213868153112e-9</v>
      </c>
      <c r="I384" s="272">
        <f t="shared" si="17"/>
        <v>0.999999997715954</v>
      </c>
    </row>
    <row r="385" ht="25.5" spans="1:9">
      <c r="A385" s="267" t="s">
        <v>1911</v>
      </c>
      <c r="B385" s="268" t="s">
        <v>1911</v>
      </c>
      <c r="C385" s="269" t="s">
        <v>1912</v>
      </c>
      <c r="D385" s="91" t="s">
        <v>112</v>
      </c>
      <c r="E385" s="270">
        <v>0.000183</v>
      </c>
      <c r="F385" s="270">
        <v>32.88</v>
      </c>
      <c r="G385" s="270">
        <f t="shared" si="15"/>
        <v>0.01</v>
      </c>
      <c r="H385" s="271">
        <f t="shared" si="16"/>
        <v>2.28404622717704e-9</v>
      </c>
      <c r="I385" s="272">
        <f t="shared" si="17"/>
        <v>1</v>
      </c>
    </row>
  </sheetData>
  <pageMargins left="0.393700787401575" right="0.393700787401575" top="0.393700787401575" bottom="0.393700787401575" header="0" footer="0"/>
  <pageSetup paperSize="9" fitToHeight="0" orientation="landscape"/>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rgb="FFCCCCFF"/>
    <pageSetUpPr fitToPage="1"/>
  </sheetPr>
  <dimension ref="A1:R570"/>
  <sheetViews>
    <sheetView tabSelected="1" view="pageBreakPreview" zoomScaleNormal="100" workbookViewId="0">
      <selection activeCell="C3" sqref="C3"/>
    </sheetView>
  </sheetViews>
  <sheetFormatPr defaultColWidth="9" defaultRowHeight="15"/>
  <cols>
    <col min="1" max="1" width="8.21904761904762" style="240" customWidth="1"/>
    <col min="2" max="2" width="19.2190476190476" style="240" customWidth="1"/>
    <col min="3" max="3" width="51.1047619047619" style="240" customWidth="1"/>
    <col min="4" max="4" width="9.78095238095238" style="241" customWidth="1"/>
    <col min="5" max="5" width="10.4380952380952" style="241" customWidth="1"/>
    <col min="6" max="6" width="13.6666666666667" style="241" customWidth="1"/>
    <col min="7" max="7" width="14" style="241" customWidth="1"/>
    <col min="8" max="8" width="7.21904761904762" style="241" customWidth="1"/>
    <col min="9" max="9" width="7.88571428571429" style="241" customWidth="1"/>
    <col min="10" max="10" width="11.7809523809524" style="242" customWidth="1"/>
    <col min="11" max="12" width="13.1047619047619" style="242" customWidth="1"/>
    <col min="13" max="13" width="8.88571428571429" style="242"/>
    <col min="14" max="14" width="10.4380952380952" style="241" customWidth="1"/>
    <col min="15" max="15" width="13.6666666666667" style="241" customWidth="1"/>
    <col min="16" max="16" width="14" style="241" customWidth="1"/>
    <col min="17" max="17" width="7.21904761904762" style="241" customWidth="1"/>
    <col min="18" max="18" width="7.88571428571429" style="241" customWidth="1"/>
    <col min="19" max="16384" width="8.88571428571429" style="242"/>
  </cols>
  <sheetData>
    <row r="1" spans="1:18">
      <c r="J1" s="243">
        <f>K2-L2</f>
        <v>-301647.76</v>
      </c>
      <c r="K1" s="244" t="s">
        <v>1913</v>
      </c>
      <c r="L1" s="244" t="s">
        <v>1914</v>
      </c>
    </row>
    <row r="2" spans="1:18">
      <c r="A2" s="169" t="s">
        <v>115</v>
      </c>
      <c r="B2" s="245" t="s">
        <v>980</v>
      </c>
      <c r="C2" s="169" t="s">
        <v>27</v>
      </c>
      <c r="D2" s="82" t="s">
        <v>135</v>
      </c>
      <c r="E2" s="82" t="s">
        <v>981</v>
      </c>
      <c r="F2" s="82" t="s">
        <v>137</v>
      </c>
      <c r="G2" s="82" t="s">
        <v>982</v>
      </c>
      <c r="H2" s="82" t="s">
        <v>278</v>
      </c>
      <c r="I2" s="82" t="s">
        <v>983</v>
      </c>
      <c r="K2" s="246">
        <f>SUBTOTAL(9,G:G)</f>
        <v>2364254.2</v>
      </c>
      <c r="L2" s="246">
        <f>SUBTOTAL(9,P:P)</f>
        <v>2665901.96</v>
      </c>
      <c r="N2" s="82" t="s">
        <v>981</v>
      </c>
      <c r="O2" s="82" t="s">
        <v>137</v>
      </c>
      <c r="P2" s="82" t="s">
        <v>982</v>
      </c>
      <c r="Q2" s="82" t="s">
        <v>278</v>
      </c>
      <c r="R2" s="82" t="s">
        <v>983</v>
      </c>
    </row>
    <row r="3" s="225" customFormat="1" ht="51" spans="1:18">
      <c r="A3" s="247" t="s">
        <v>987</v>
      </c>
      <c r="B3" s="248" t="s">
        <v>988</v>
      </c>
      <c r="C3" s="179" t="s">
        <v>644</v>
      </c>
      <c r="D3" s="180" t="s">
        <v>494</v>
      </c>
      <c r="E3" s="181">
        <v>26</v>
      </c>
      <c r="F3" s="181">
        <v>8080.55</v>
      </c>
      <c r="G3" s="181">
        <f t="shared" ref="G3:G66" si="0">ROUND(E3*F3,2)</f>
        <v>210094.3</v>
      </c>
      <c r="H3" s="249">
        <v>0.104190493186779</v>
      </c>
      <c r="I3" s="183">
        <v>0.104190493186779</v>
      </c>
      <c r="J3" s="250" t="s">
        <v>1915</v>
      </c>
      <c r="K3" s="251">
        <f>G3-P3</f>
        <v>-67667.34</v>
      </c>
      <c r="N3" s="181">
        <v>26</v>
      </c>
      <c r="O3" s="181">
        <v>10683.14</v>
      </c>
      <c r="P3" s="181">
        <f t="shared" ref="P3:P66" si="1">ROUND(N3*O3,2)</f>
        <v>277761.64</v>
      </c>
      <c r="Q3" s="249">
        <v>0.104190493186779</v>
      </c>
      <c r="R3" s="183">
        <v>0.104190493186779</v>
      </c>
    </row>
    <row r="4" s="226" customFormat="1" ht="25.5" spans="1:18">
      <c r="A4" s="252" t="s">
        <v>989</v>
      </c>
      <c r="B4" s="253" t="s">
        <v>990</v>
      </c>
      <c r="C4" s="184" t="s">
        <v>991</v>
      </c>
      <c r="D4" s="185" t="s">
        <v>476</v>
      </c>
      <c r="E4" s="186">
        <v>2544.728691</v>
      </c>
      <c r="F4" s="186">
        <v>80</v>
      </c>
      <c r="G4" s="186">
        <f t="shared" si="0"/>
        <v>203578.3</v>
      </c>
      <c r="H4" s="254">
        <v>0.0978410661433327</v>
      </c>
      <c r="I4" s="188">
        <v>0.202031559330111</v>
      </c>
      <c r="J4" s="226" t="s">
        <v>1916</v>
      </c>
      <c r="K4" s="251">
        <f t="shared" ref="K4:K67" si="2">G4-P4</f>
        <v>-57256.39</v>
      </c>
      <c r="N4" s="186">
        <v>2544.728691</v>
      </c>
      <c r="O4" s="186">
        <v>102.5</v>
      </c>
      <c r="P4" s="186">
        <f t="shared" si="1"/>
        <v>260834.69</v>
      </c>
      <c r="Q4" s="254">
        <v>0.0978410661433327</v>
      </c>
      <c r="R4" s="188">
        <v>0.202031559330111</v>
      </c>
    </row>
    <row r="5" s="227" customFormat="1" ht="63.75" spans="1:18">
      <c r="A5" s="194" t="s">
        <v>1004</v>
      </c>
      <c r="B5" s="255" t="s">
        <v>1005</v>
      </c>
      <c r="C5" s="189" t="s">
        <v>615</v>
      </c>
      <c r="D5" s="190" t="s">
        <v>494</v>
      </c>
      <c r="E5" s="191">
        <v>4</v>
      </c>
      <c r="F5" s="191">
        <f>COTAÇÃO!I70</f>
        <v>12840</v>
      </c>
      <c r="G5" s="191">
        <f t="shared" si="0"/>
        <v>51360</v>
      </c>
      <c r="H5" s="256">
        <v>0.0396507154374124</v>
      </c>
      <c r="I5" s="193">
        <v>0.241682274767524</v>
      </c>
      <c r="J5" s="227" t="str">
        <f>COTAÇÃO!$I$68</f>
        <v>AVK</v>
      </c>
      <c r="K5" s="251">
        <f t="shared" si="2"/>
        <v>-54344.92</v>
      </c>
      <c r="N5" s="191">
        <v>4</v>
      </c>
      <c r="O5" s="191">
        <v>26426.23</v>
      </c>
      <c r="P5" s="191">
        <f t="shared" si="1"/>
        <v>105704.92</v>
      </c>
      <c r="Q5" s="256">
        <v>0.0396507154374124</v>
      </c>
      <c r="R5" s="193">
        <v>0.241682274767524</v>
      </c>
    </row>
    <row r="6" s="228" customFormat="1" ht="25.5" spans="1:18">
      <c r="A6" s="252" t="s">
        <v>1009</v>
      </c>
      <c r="B6" s="253" t="s">
        <v>1010</v>
      </c>
      <c r="C6" s="184" t="s">
        <v>1011</v>
      </c>
      <c r="D6" s="185" t="s">
        <v>476</v>
      </c>
      <c r="E6" s="186">
        <v>491.395343</v>
      </c>
      <c r="F6" s="186">
        <f>COTAÇÃO!I60</f>
        <v>140</v>
      </c>
      <c r="G6" s="186">
        <f t="shared" si="0"/>
        <v>68795.35</v>
      </c>
      <c r="H6" s="254">
        <v>0.0377868546973873</v>
      </c>
      <c r="I6" s="188">
        <v>0.279469129464911</v>
      </c>
      <c r="K6" s="251">
        <f t="shared" si="2"/>
        <v>-31940.7</v>
      </c>
      <c r="N6" s="186">
        <v>491.395343</v>
      </c>
      <c r="O6" s="186">
        <v>205</v>
      </c>
      <c r="P6" s="186">
        <f t="shared" si="1"/>
        <v>100736.05</v>
      </c>
      <c r="Q6" s="254">
        <v>0.0377868546973873</v>
      </c>
      <c r="R6" s="188">
        <v>0.279469129464911</v>
      </c>
    </row>
    <row r="7" s="229" customFormat="1" ht="63.75" spans="1:18">
      <c r="A7" s="194" t="s">
        <v>1012</v>
      </c>
      <c r="B7" s="255" t="s">
        <v>1013</v>
      </c>
      <c r="C7" s="189" t="s">
        <v>619</v>
      </c>
      <c r="D7" s="190" t="s">
        <v>494</v>
      </c>
      <c r="E7" s="191">
        <v>1</v>
      </c>
      <c r="F7" s="191">
        <f>COTAÇÃO!I71</f>
        <v>113820</v>
      </c>
      <c r="G7" s="191">
        <f t="shared" si="0"/>
        <v>113820</v>
      </c>
      <c r="H7" s="256">
        <v>0.0364672075187642</v>
      </c>
      <c r="I7" s="193">
        <v>0.315936336983675</v>
      </c>
      <c r="J7" s="227" t="str">
        <f>COTAÇÃO!$I$68</f>
        <v>AVK</v>
      </c>
      <c r="K7" s="251">
        <f t="shared" si="2"/>
        <v>16602</v>
      </c>
      <c r="N7" s="191">
        <v>1</v>
      </c>
      <c r="O7" s="191">
        <v>97218</v>
      </c>
      <c r="P7" s="191">
        <f t="shared" si="1"/>
        <v>97218</v>
      </c>
      <c r="Q7" s="256">
        <v>0.0364672075187642</v>
      </c>
      <c r="R7" s="193">
        <v>0.315936336983675</v>
      </c>
    </row>
    <row r="8" s="230" customFormat="1" ht="63.75" spans="1:18">
      <c r="A8" s="194" t="s">
        <v>1014</v>
      </c>
      <c r="B8" s="255" t="s">
        <v>1015</v>
      </c>
      <c r="C8" s="189" t="s">
        <v>618</v>
      </c>
      <c r="D8" s="190" t="s">
        <v>494</v>
      </c>
      <c r="E8" s="191">
        <v>1</v>
      </c>
      <c r="F8" s="191">
        <f>COTAÇÃO!I72</f>
        <v>113820</v>
      </c>
      <c r="G8" s="191">
        <f t="shared" si="0"/>
        <v>113820</v>
      </c>
      <c r="H8" s="256">
        <v>0.0364672075187642</v>
      </c>
      <c r="I8" s="193">
        <v>0.35240354450244</v>
      </c>
      <c r="J8" s="227" t="str">
        <f>COTAÇÃO!$I$68</f>
        <v>AVK</v>
      </c>
      <c r="K8" s="251">
        <f t="shared" si="2"/>
        <v>16602</v>
      </c>
      <c r="N8" s="191">
        <v>1</v>
      </c>
      <c r="O8" s="191">
        <v>97218</v>
      </c>
      <c r="P8" s="191">
        <f t="shared" si="1"/>
        <v>97218</v>
      </c>
      <c r="Q8" s="256">
        <v>0.0364672075187642</v>
      </c>
      <c r="R8" s="193">
        <v>0.35240354450244</v>
      </c>
    </row>
    <row r="9" s="226" customFormat="1" ht="51" spans="1:18">
      <c r="A9" s="257" t="s">
        <v>1016</v>
      </c>
      <c r="B9" s="258" t="s">
        <v>966</v>
      </c>
      <c r="C9" s="210" t="s">
        <v>1917</v>
      </c>
      <c r="D9" s="211" t="s">
        <v>598</v>
      </c>
      <c r="E9" s="212">
        <v>81</v>
      </c>
      <c r="F9" s="212">
        <v>1250</v>
      </c>
      <c r="G9" s="212">
        <f t="shared" si="0"/>
        <v>101250</v>
      </c>
      <c r="H9" s="259">
        <v>0.0356057617362643</v>
      </c>
      <c r="I9" s="214">
        <v>0.388009306238704</v>
      </c>
      <c r="J9" s="226" t="s">
        <v>1918</v>
      </c>
      <c r="K9" s="251">
        <f t="shared" si="2"/>
        <v>6328.53</v>
      </c>
      <c r="N9" s="212">
        <v>81</v>
      </c>
      <c r="O9" s="212">
        <v>1171.87</v>
      </c>
      <c r="P9" s="212">
        <f t="shared" si="1"/>
        <v>94921.47</v>
      </c>
      <c r="Q9" s="259">
        <v>0.0356057617362643</v>
      </c>
      <c r="R9" s="214">
        <v>0.388009306238704</v>
      </c>
    </row>
    <row r="10" s="231" customFormat="1" ht="51" spans="1:18">
      <c r="A10" s="260" t="s">
        <v>1017</v>
      </c>
      <c r="B10" s="261" t="s">
        <v>1018</v>
      </c>
      <c r="C10" s="215" t="s">
        <v>602</v>
      </c>
      <c r="D10" s="216" t="s">
        <v>601</v>
      </c>
      <c r="E10" s="217">
        <v>5430.58</v>
      </c>
      <c r="F10" s="217">
        <v>17.13</v>
      </c>
      <c r="G10" s="217">
        <f t="shared" si="0"/>
        <v>93025.84</v>
      </c>
      <c r="H10" s="262">
        <v>0.0348946965776641</v>
      </c>
      <c r="I10" s="219">
        <v>0.422904002816368</v>
      </c>
      <c r="K10" s="251">
        <f t="shared" si="2"/>
        <v>0</v>
      </c>
      <c r="N10" s="217">
        <v>5430.58</v>
      </c>
      <c r="O10" s="217">
        <v>17.13</v>
      </c>
      <c r="P10" s="217">
        <f t="shared" si="1"/>
        <v>93025.84</v>
      </c>
      <c r="Q10" s="262">
        <v>0.0348946965776641</v>
      </c>
      <c r="R10" s="219">
        <v>0.422904002816368</v>
      </c>
    </row>
    <row r="11" s="226" customFormat="1" ht="63.75" spans="1:18">
      <c r="A11" s="194" t="s">
        <v>1025</v>
      </c>
      <c r="B11" s="255" t="s">
        <v>1026</v>
      </c>
      <c r="C11" s="189" t="s">
        <v>614</v>
      </c>
      <c r="D11" s="190" t="s">
        <v>494</v>
      </c>
      <c r="E11" s="191">
        <v>4</v>
      </c>
      <c r="F11" s="191">
        <f>COTAÇÃO!I73</f>
        <v>4760</v>
      </c>
      <c r="G11" s="191">
        <f t="shared" si="0"/>
        <v>19040</v>
      </c>
      <c r="H11" s="256">
        <v>0.0277046197152727</v>
      </c>
      <c r="I11" s="193">
        <v>0.450608622531641</v>
      </c>
      <c r="J11" s="227" t="str">
        <f>COTAÇÃO!$I$68</f>
        <v>AVK</v>
      </c>
      <c r="K11" s="251">
        <f t="shared" si="2"/>
        <v>-54817.8</v>
      </c>
      <c r="N11" s="191">
        <v>4</v>
      </c>
      <c r="O11" s="191">
        <v>18464.45</v>
      </c>
      <c r="P11" s="191">
        <f t="shared" si="1"/>
        <v>73857.8</v>
      </c>
      <c r="Q11" s="256">
        <v>0.0277046197152727</v>
      </c>
      <c r="R11" s="193">
        <v>0.450608622531641</v>
      </c>
    </row>
    <row r="12" s="229" customFormat="1" ht="51" spans="1:18">
      <c r="A12" s="257" t="s">
        <v>1028</v>
      </c>
      <c r="B12" s="258" t="s">
        <v>968</v>
      </c>
      <c r="C12" s="210" t="s">
        <v>969</v>
      </c>
      <c r="D12" s="211" t="s">
        <v>598</v>
      </c>
      <c r="E12" s="212">
        <v>36</v>
      </c>
      <c r="F12" s="212">
        <v>1600</v>
      </c>
      <c r="G12" s="212">
        <f t="shared" si="0"/>
        <v>57600</v>
      </c>
      <c r="H12" s="259">
        <v>0.0253197608212119</v>
      </c>
      <c r="I12" s="214">
        <v>0.475928383352853</v>
      </c>
      <c r="J12" s="229" t="s">
        <v>1918</v>
      </c>
      <c r="K12" s="251">
        <f t="shared" si="2"/>
        <v>-9900</v>
      </c>
      <c r="N12" s="212">
        <v>36</v>
      </c>
      <c r="O12" s="212">
        <v>1875</v>
      </c>
      <c r="P12" s="212">
        <f t="shared" si="1"/>
        <v>67500</v>
      </c>
      <c r="Q12" s="259">
        <v>0.0253197608212119</v>
      </c>
      <c r="R12" s="214">
        <v>0.475928383352853</v>
      </c>
    </row>
    <row r="13" s="227" customFormat="1" ht="51" spans="1:18">
      <c r="A13" s="257" t="s">
        <v>1027</v>
      </c>
      <c r="B13" s="258" t="s">
        <v>964</v>
      </c>
      <c r="C13" s="210" t="s">
        <v>965</v>
      </c>
      <c r="D13" s="211" t="s">
        <v>598</v>
      </c>
      <c r="E13" s="212">
        <v>45</v>
      </c>
      <c r="F13" s="212">
        <v>1200</v>
      </c>
      <c r="G13" s="212">
        <f t="shared" si="0"/>
        <v>54000</v>
      </c>
      <c r="H13" s="259">
        <v>0.0253197608212119</v>
      </c>
      <c r="I13" s="214">
        <v>0.501248144174064</v>
      </c>
      <c r="J13" s="227" t="s">
        <v>1918</v>
      </c>
      <c r="K13" s="251">
        <f t="shared" si="2"/>
        <v>-13500</v>
      </c>
      <c r="N13" s="212">
        <v>45</v>
      </c>
      <c r="O13" s="212">
        <v>1500</v>
      </c>
      <c r="P13" s="212">
        <f t="shared" si="1"/>
        <v>67500</v>
      </c>
      <c r="Q13" s="259">
        <v>0.0253197608212119</v>
      </c>
      <c r="R13" s="214">
        <v>0.501248144174064</v>
      </c>
    </row>
    <row r="14" s="232" customFormat="1" spans="1:18">
      <c r="A14" s="194" t="s">
        <v>1029</v>
      </c>
      <c r="B14" s="255" t="s">
        <v>1030</v>
      </c>
      <c r="C14" s="194" t="s">
        <v>617</v>
      </c>
      <c r="D14" s="190" t="s">
        <v>494</v>
      </c>
      <c r="E14" s="191">
        <v>1</v>
      </c>
      <c r="F14" s="191">
        <f>COTAÇÃO!I74</f>
        <v>184240</v>
      </c>
      <c r="G14" s="191">
        <f t="shared" si="0"/>
        <v>184240</v>
      </c>
      <c r="H14" s="256">
        <v>0.0249525305124124</v>
      </c>
      <c r="I14" s="193">
        <v>0.526200674686477</v>
      </c>
      <c r="J14" s="227" t="str">
        <f>COTAÇÃO!$I$68</f>
        <v>AVK</v>
      </c>
      <c r="K14" s="251">
        <f t="shared" si="2"/>
        <v>117719</v>
      </c>
      <c r="N14" s="191">
        <v>1</v>
      </c>
      <c r="O14" s="191">
        <v>66521</v>
      </c>
      <c r="P14" s="191">
        <f t="shared" si="1"/>
        <v>66521</v>
      </c>
      <c r="Q14" s="256">
        <v>0.0249525305124124</v>
      </c>
      <c r="R14" s="193">
        <v>0.526200674686477</v>
      </c>
    </row>
    <row r="15" s="233" customFormat="1" ht="51" spans="1:18">
      <c r="A15" s="194" t="s">
        <v>1031</v>
      </c>
      <c r="B15" s="255" t="s">
        <v>1032</v>
      </c>
      <c r="C15" s="189" t="s">
        <v>612</v>
      </c>
      <c r="D15" s="190" t="s">
        <v>494</v>
      </c>
      <c r="E15" s="191">
        <v>1</v>
      </c>
      <c r="F15" s="191">
        <f>COTAÇÃO!I79</f>
        <v>55990</v>
      </c>
      <c r="G15" s="191">
        <f t="shared" si="0"/>
        <v>55990</v>
      </c>
      <c r="H15" s="256">
        <v>0.0239656225017367</v>
      </c>
      <c r="I15" s="193">
        <v>0.550166297188214</v>
      </c>
      <c r="J15" s="227" t="str">
        <f>COTAÇÃO!$I$68</f>
        <v>AVK</v>
      </c>
      <c r="K15" s="263">
        <f t="shared" si="2"/>
        <v>-7900</v>
      </c>
      <c r="N15" s="191">
        <v>1</v>
      </c>
      <c r="O15" s="191">
        <v>63890</v>
      </c>
      <c r="P15" s="191">
        <f t="shared" si="1"/>
        <v>63890</v>
      </c>
      <c r="Q15" s="256">
        <v>0.0239656225017367</v>
      </c>
      <c r="R15" s="193">
        <v>0.550166297188214</v>
      </c>
    </row>
    <row r="16" s="234" customFormat="1" ht="38.25" spans="1:18">
      <c r="A16" s="264" t="s">
        <v>1033</v>
      </c>
      <c r="B16" s="265" t="s">
        <v>1034</v>
      </c>
      <c r="C16" s="220" t="s">
        <v>1035</v>
      </c>
      <c r="D16" s="221" t="s">
        <v>112</v>
      </c>
      <c r="E16" s="222">
        <v>2204.042678</v>
      </c>
      <c r="F16" s="222">
        <f>COTAÇÃO!I183</f>
        <v>11.5</v>
      </c>
      <c r="G16" s="222">
        <f t="shared" si="0"/>
        <v>25346.49</v>
      </c>
      <c r="H16" s="266">
        <v>0.0221652487175485</v>
      </c>
      <c r="I16" s="224">
        <v>0.572331545905762</v>
      </c>
      <c r="J16" s="234" t="str">
        <f>COTAÇÃO!$I$181</f>
        <v>ATACADO DA MADEIRA</v>
      </c>
      <c r="K16" s="251">
        <f t="shared" si="2"/>
        <v>-33743.89</v>
      </c>
      <c r="N16" s="222">
        <v>2204.042678</v>
      </c>
      <c r="O16" s="222">
        <v>26.81</v>
      </c>
      <c r="P16" s="222">
        <f t="shared" si="1"/>
        <v>59090.38</v>
      </c>
      <c r="Q16" s="266">
        <v>0.0221652487175485</v>
      </c>
      <c r="R16" s="224">
        <v>0.572331545905762</v>
      </c>
    </row>
    <row r="17" s="229" customFormat="1" ht="89.25" spans="1:18">
      <c r="A17" s="267" t="s">
        <v>1036</v>
      </c>
      <c r="B17" s="268" t="s">
        <v>1037</v>
      </c>
      <c r="C17" s="269" t="s">
        <v>1038</v>
      </c>
      <c r="D17" s="91" t="s">
        <v>466</v>
      </c>
      <c r="E17" s="270">
        <v>341.9664</v>
      </c>
      <c r="F17" s="270">
        <v>167.85</v>
      </c>
      <c r="G17" s="270">
        <f t="shared" si="0"/>
        <v>57399.06</v>
      </c>
      <c r="H17" s="271">
        <v>0.0215308217861095</v>
      </c>
      <c r="I17" s="272">
        <v>0.593862367691872</v>
      </c>
      <c r="K17" s="251">
        <f t="shared" si="2"/>
        <v>0</v>
      </c>
      <c r="N17" s="270">
        <v>341.9664</v>
      </c>
      <c r="O17" s="270">
        <v>167.85</v>
      </c>
      <c r="P17" s="270">
        <f t="shared" si="1"/>
        <v>57399.06</v>
      </c>
      <c r="Q17" s="271">
        <v>0.0215308217861095</v>
      </c>
      <c r="R17" s="272">
        <v>0.593862367691872</v>
      </c>
    </row>
    <row r="18" ht="25.5" spans="1:18">
      <c r="A18" s="267" t="s">
        <v>1039</v>
      </c>
      <c r="B18" s="268" t="s">
        <v>1040</v>
      </c>
      <c r="C18" s="269" t="s">
        <v>1041</v>
      </c>
      <c r="D18" s="91" t="s">
        <v>476</v>
      </c>
      <c r="E18" s="270">
        <v>277.88482</v>
      </c>
      <c r="F18" s="270">
        <v>198.43</v>
      </c>
      <c r="G18" s="270">
        <f t="shared" si="0"/>
        <v>55140.68</v>
      </c>
      <c r="H18" s="271">
        <v>0.0206836863573183</v>
      </c>
      <c r="I18" s="272">
        <v>0.61454605404919</v>
      </c>
      <c r="K18" s="251">
        <f t="shared" si="2"/>
        <v>0</v>
      </c>
      <c r="N18" s="270">
        <v>277.88482</v>
      </c>
      <c r="O18" s="270">
        <v>198.43</v>
      </c>
      <c r="P18" s="270">
        <f t="shared" si="1"/>
        <v>55140.68</v>
      </c>
      <c r="Q18" s="271">
        <v>0.0206836863573183</v>
      </c>
      <c r="R18" s="272">
        <v>0.61454605404919</v>
      </c>
    </row>
    <row r="19" ht="51" spans="1:18">
      <c r="A19" s="194" t="s">
        <v>1046</v>
      </c>
      <c r="B19" s="255" t="s">
        <v>1047</v>
      </c>
      <c r="C19" s="189" t="s">
        <v>622</v>
      </c>
      <c r="D19" s="190" t="s">
        <v>494</v>
      </c>
      <c r="E19" s="191">
        <v>2</v>
      </c>
      <c r="F19" s="191">
        <v>19700</v>
      </c>
      <c r="G19" s="191">
        <f t="shared" si="0"/>
        <v>39400</v>
      </c>
      <c r="H19" s="256">
        <v>0.0147792381682333</v>
      </c>
      <c r="I19" s="193">
        <v>0.629325292217423</v>
      </c>
      <c r="K19" s="251">
        <f t="shared" si="2"/>
        <v>0</v>
      </c>
      <c r="N19" s="191">
        <v>2</v>
      </c>
      <c r="O19" s="191">
        <v>19700</v>
      </c>
      <c r="P19" s="191">
        <f t="shared" si="1"/>
        <v>39400</v>
      </c>
      <c r="Q19" s="256">
        <v>0.0147792381682333</v>
      </c>
      <c r="R19" s="193">
        <v>0.629325292217423</v>
      </c>
    </row>
    <row r="20" s="228" customFormat="1" spans="1:18">
      <c r="A20" s="267" t="s">
        <v>1055</v>
      </c>
      <c r="B20" s="268" t="s">
        <v>1056</v>
      </c>
      <c r="C20" s="269" t="s">
        <v>1057</v>
      </c>
      <c r="D20" s="91" t="s">
        <v>463</v>
      </c>
      <c r="E20" s="270">
        <v>3933.3183</v>
      </c>
      <c r="F20" s="270">
        <v>9.25</v>
      </c>
      <c r="G20" s="270">
        <f t="shared" si="0"/>
        <v>36383.19</v>
      </c>
      <c r="H20" s="271">
        <v>0.013647609906855</v>
      </c>
      <c r="I20" s="272">
        <v>0.642972902124278</v>
      </c>
      <c r="K20" s="251">
        <f t="shared" si="2"/>
        <v>0</v>
      </c>
      <c r="N20" s="270">
        <v>3933.3183</v>
      </c>
      <c r="O20" s="270">
        <v>9.25</v>
      </c>
      <c r="P20" s="270">
        <f t="shared" si="1"/>
        <v>36383.19</v>
      </c>
      <c r="Q20" s="271">
        <v>0.013647609906855</v>
      </c>
      <c r="R20" s="272">
        <v>0.642972902124278</v>
      </c>
    </row>
    <row r="21" s="235" customFormat="1" ht="38.25" spans="1:18">
      <c r="A21" s="273" t="s">
        <v>1060</v>
      </c>
      <c r="B21" s="274" t="s">
        <v>1061</v>
      </c>
      <c r="C21" s="195" t="s">
        <v>686</v>
      </c>
      <c r="D21" s="196" t="s">
        <v>494</v>
      </c>
      <c r="E21" s="197">
        <v>7</v>
      </c>
      <c r="F21" s="197">
        <f>COTAÇÃO!K88</f>
        <v>2529.56</v>
      </c>
      <c r="G21" s="197">
        <f t="shared" si="0"/>
        <v>17706.92</v>
      </c>
      <c r="H21" s="275">
        <v>0.0133369345660408</v>
      </c>
      <c r="I21" s="199">
        <v>0.656309836690319</v>
      </c>
      <c r="J21" s="235" t="str">
        <f>COTAÇÃO!K86</f>
        <v>INAPI</v>
      </c>
      <c r="K21" s="251">
        <f t="shared" si="2"/>
        <v>-17848.04</v>
      </c>
      <c r="N21" s="197">
        <v>7</v>
      </c>
      <c r="O21" s="197">
        <v>5079.28</v>
      </c>
      <c r="P21" s="197">
        <f t="shared" si="1"/>
        <v>35554.96</v>
      </c>
      <c r="Q21" s="275">
        <v>0.0133369345660408</v>
      </c>
      <c r="R21" s="199">
        <v>0.656309836690319</v>
      </c>
    </row>
    <row r="22" s="236" customFormat="1" ht="51" spans="1:18">
      <c r="A22" s="267" t="s">
        <v>1062</v>
      </c>
      <c r="B22" s="268" t="s">
        <v>1063</v>
      </c>
      <c r="C22" s="269" t="s">
        <v>1064</v>
      </c>
      <c r="D22" s="91" t="s">
        <v>476</v>
      </c>
      <c r="E22" s="270">
        <v>65.7624</v>
      </c>
      <c r="F22" s="270">
        <v>539.62</v>
      </c>
      <c r="G22" s="270">
        <f t="shared" si="0"/>
        <v>35486.71</v>
      </c>
      <c r="H22" s="271">
        <v>0.0133113334745438</v>
      </c>
      <c r="I22" s="272">
        <v>0.669621170164863</v>
      </c>
      <c r="K22" s="251">
        <f t="shared" si="2"/>
        <v>0</v>
      </c>
      <c r="N22" s="270">
        <v>65.7624</v>
      </c>
      <c r="O22" s="270">
        <v>539.62</v>
      </c>
      <c r="P22" s="270">
        <f t="shared" si="1"/>
        <v>35486.71</v>
      </c>
      <c r="Q22" s="271">
        <v>0.0133113334745438</v>
      </c>
      <c r="R22" s="272">
        <v>0.669621170164863</v>
      </c>
    </row>
    <row r="23" spans="1:18">
      <c r="A23" s="267" t="s">
        <v>1065</v>
      </c>
      <c r="B23" s="268" t="s">
        <v>1066</v>
      </c>
      <c r="C23" s="269" t="s">
        <v>1067</v>
      </c>
      <c r="D23" s="91" t="s">
        <v>466</v>
      </c>
      <c r="E23" s="270">
        <v>2672.53</v>
      </c>
      <c r="F23" s="270">
        <v>12.85</v>
      </c>
      <c r="G23" s="270">
        <f t="shared" si="0"/>
        <v>34342.01</v>
      </c>
      <c r="H23" s="271">
        <v>0.0128819478417729</v>
      </c>
      <c r="I23" s="272">
        <v>0.682503118006636</v>
      </c>
      <c r="K23" s="251">
        <f t="shared" si="2"/>
        <v>0</v>
      </c>
      <c r="N23" s="270">
        <v>2672.53</v>
      </c>
      <c r="O23" s="270">
        <v>12.85</v>
      </c>
      <c r="P23" s="270">
        <f t="shared" si="1"/>
        <v>34342.01</v>
      </c>
      <c r="Q23" s="271">
        <v>0.0128819478417729</v>
      </c>
      <c r="R23" s="272">
        <v>0.682503118006636</v>
      </c>
    </row>
    <row r="24" ht="51" spans="1:18">
      <c r="A24" s="273" t="s">
        <v>1072</v>
      </c>
      <c r="B24" s="274" t="s">
        <v>1073</v>
      </c>
      <c r="C24" s="195" t="s">
        <v>683</v>
      </c>
      <c r="D24" s="196" t="s">
        <v>494</v>
      </c>
      <c r="E24" s="197">
        <v>1</v>
      </c>
      <c r="F24" s="197">
        <f>COTAÇÃO!K89</f>
        <v>10148.3</v>
      </c>
      <c r="G24" s="197">
        <f t="shared" si="0"/>
        <v>10148.3</v>
      </c>
      <c r="H24" s="275">
        <v>0.0102878989593451</v>
      </c>
      <c r="I24" s="199">
        <v>0.692791016965981</v>
      </c>
      <c r="J24" s="235" t="str">
        <f>COTAÇÃO!K86</f>
        <v>INAPI</v>
      </c>
      <c r="K24" s="251">
        <f t="shared" si="2"/>
        <v>-17278.23</v>
      </c>
      <c r="N24" s="197">
        <v>1</v>
      </c>
      <c r="O24" s="197">
        <v>27426.53</v>
      </c>
      <c r="P24" s="197">
        <f t="shared" si="1"/>
        <v>27426.53</v>
      </c>
      <c r="Q24" s="275">
        <v>0.0102878989593451</v>
      </c>
      <c r="R24" s="199">
        <v>0.692791016965981</v>
      </c>
    </row>
    <row r="25" ht="38.25" spans="1:18">
      <c r="A25" s="273" t="s">
        <v>1074</v>
      </c>
      <c r="B25" s="274" t="s">
        <v>1075</v>
      </c>
      <c r="C25" s="195" t="s">
        <v>633</v>
      </c>
      <c r="D25" s="196" t="s">
        <v>494</v>
      </c>
      <c r="E25" s="197">
        <v>4</v>
      </c>
      <c r="F25" s="197">
        <f>COTAÇÃO!K90</f>
        <v>4658.58</v>
      </c>
      <c r="G25" s="197">
        <f t="shared" si="0"/>
        <v>18634.32</v>
      </c>
      <c r="H25" s="275">
        <v>0.0102543455874124</v>
      </c>
      <c r="I25" s="199">
        <v>0.703045362553393</v>
      </c>
      <c r="J25" s="235" t="str">
        <f>COTAÇÃO!K86</f>
        <v>INAPI</v>
      </c>
      <c r="K25" s="251">
        <f t="shared" si="2"/>
        <v>-8702.76</v>
      </c>
      <c r="N25" s="197">
        <v>4</v>
      </c>
      <c r="O25" s="197">
        <v>6834.27</v>
      </c>
      <c r="P25" s="197">
        <f t="shared" si="1"/>
        <v>27337.08</v>
      </c>
      <c r="Q25" s="275">
        <v>0.0102543455874124</v>
      </c>
      <c r="R25" s="199">
        <v>0.703045362553393</v>
      </c>
    </row>
    <row r="26" s="228" customFormat="1" ht="51" spans="1:18">
      <c r="A26" s="267" t="s">
        <v>1076</v>
      </c>
      <c r="B26" s="268" t="s">
        <v>708</v>
      </c>
      <c r="C26" s="269" t="s">
        <v>709</v>
      </c>
      <c r="D26" s="91" t="s">
        <v>476</v>
      </c>
      <c r="E26" s="270">
        <v>49.7</v>
      </c>
      <c r="F26" s="270">
        <v>526.43</v>
      </c>
      <c r="G26" s="270">
        <f t="shared" si="0"/>
        <v>26163.57</v>
      </c>
      <c r="H26" s="271">
        <v>0.00981415310561534</v>
      </c>
      <c r="I26" s="272">
        <v>0.712859515659009</v>
      </c>
      <c r="K26" s="251">
        <f t="shared" si="2"/>
        <v>0</v>
      </c>
      <c r="N26" s="270">
        <v>49.7</v>
      </c>
      <c r="O26" s="270">
        <v>526.43</v>
      </c>
      <c r="P26" s="270">
        <f t="shared" si="1"/>
        <v>26163.57</v>
      </c>
      <c r="Q26" s="271">
        <v>0.00981415310561534</v>
      </c>
      <c r="R26" s="272">
        <v>0.712859515659009</v>
      </c>
    </row>
    <row r="27" s="230" customFormat="1" ht="38.25" spans="1:18">
      <c r="A27" s="273" t="s">
        <v>1077</v>
      </c>
      <c r="B27" s="274" t="s">
        <v>1078</v>
      </c>
      <c r="C27" s="195" t="s">
        <v>684</v>
      </c>
      <c r="D27" s="196" t="s">
        <v>494</v>
      </c>
      <c r="E27" s="197">
        <v>1</v>
      </c>
      <c r="F27" s="197">
        <f>COTAÇÃO!K91</f>
        <v>8415.86</v>
      </c>
      <c r="G27" s="197">
        <f t="shared" si="0"/>
        <v>8415.86</v>
      </c>
      <c r="H27" s="275">
        <v>0.00951334684490799</v>
      </c>
      <c r="I27" s="199">
        <v>0.722372862503917</v>
      </c>
      <c r="J27" s="235" t="str">
        <f>COTAÇÃO!$K$86</f>
        <v>INAPI</v>
      </c>
      <c r="K27" s="251">
        <f t="shared" si="2"/>
        <v>-16945.79</v>
      </c>
      <c r="N27" s="197">
        <v>1</v>
      </c>
      <c r="O27" s="197">
        <v>25361.65</v>
      </c>
      <c r="P27" s="197">
        <f t="shared" si="1"/>
        <v>25361.65</v>
      </c>
      <c r="Q27" s="275">
        <v>0.00951334684490799</v>
      </c>
      <c r="R27" s="199">
        <v>0.722372862503917</v>
      </c>
    </row>
    <row r="28" s="237" customFormat="1" ht="25.5" spans="1:18">
      <c r="A28" s="257" t="s">
        <v>1082</v>
      </c>
      <c r="B28" s="258" t="s">
        <v>1083</v>
      </c>
      <c r="C28" s="210" t="s">
        <v>972</v>
      </c>
      <c r="D28" s="211" t="s">
        <v>973</v>
      </c>
      <c r="E28" s="212">
        <v>18</v>
      </c>
      <c r="F28" s="212">
        <v>1000</v>
      </c>
      <c r="G28" s="212">
        <f t="shared" si="0"/>
        <v>18000</v>
      </c>
      <c r="H28" s="259">
        <v>0.00889027441954393</v>
      </c>
      <c r="I28" s="214">
        <v>0.731263136923461</v>
      </c>
      <c r="J28" s="237" t="s">
        <v>1918</v>
      </c>
      <c r="K28" s="251">
        <f t="shared" si="2"/>
        <v>-5700.6</v>
      </c>
      <c r="N28" s="212">
        <v>18</v>
      </c>
      <c r="O28" s="212">
        <v>1316.7</v>
      </c>
      <c r="P28" s="212">
        <f t="shared" si="1"/>
        <v>23700.6</v>
      </c>
      <c r="Q28" s="259">
        <v>0.00889027441954393</v>
      </c>
      <c r="R28" s="214">
        <v>0.731263136923461</v>
      </c>
    </row>
    <row r="29" ht="51" spans="1:18">
      <c r="A29" s="273" t="s">
        <v>1087</v>
      </c>
      <c r="B29" s="274" t="s">
        <v>1088</v>
      </c>
      <c r="C29" s="195" t="s">
        <v>682</v>
      </c>
      <c r="D29" s="196" t="s">
        <v>494</v>
      </c>
      <c r="E29" s="197">
        <v>2</v>
      </c>
      <c r="F29" s="197">
        <f>COTAÇÃO!K92</f>
        <v>3475.64</v>
      </c>
      <c r="G29" s="197">
        <f t="shared" si="0"/>
        <v>6951.28</v>
      </c>
      <c r="H29" s="275">
        <v>0.00852532476475617</v>
      </c>
      <c r="I29" s="199">
        <v>0.739788461688217</v>
      </c>
      <c r="J29" s="235" t="str">
        <f>COTAÇÃO!$K$86</f>
        <v>INAPI</v>
      </c>
      <c r="K29" s="251">
        <f t="shared" si="2"/>
        <v>-15776.4</v>
      </c>
      <c r="N29" s="197">
        <v>2</v>
      </c>
      <c r="O29" s="197">
        <v>11363.84</v>
      </c>
      <c r="P29" s="197">
        <f t="shared" si="1"/>
        <v>22727.68</v>
      </c>
      <c r="Q29" s="275">
        <v>0.00852532476475617</v>
      </c>
      <c r="R29" s="199">
        <v>0.739788461688217</v>
      </c>
    </row>
    <row r="30" ht="63.75" spans="1:18">
      <c r="A30" s="194" t="s">
        <v>1092</v>
      </c>
      <c r="B30" s="255" t="s">
        <v>1093</v>
      </c>
      <c r="C30" s="189" t="s">
        <v>616</v>
      </c>
      <c r="D30" s="190" t="s">
        <v>494</v>
      </c>
      <c r="E30" s="191">
        <v>1</v>
      </c>
      <c r="F30" s="191">
        <f>COTAÇÃO!I76</f>
        <v>12840</v>
      </c>
      <c r="G30" s="191">
        <f t="shared" si="0"/>
        <v>12840</v>
      </c>
      <c r="H30" s="256">
        <v>0.00816282081130996</v>
      </c>
      <c r="I30" s="193">
        <v>0.747951282499527</v>
      </c>
      <c r="J30" s="227" t="str">
        <f>COTAÇÃO!$I$68</f>
        <v>AVK</v>
      </c>
      <c r="K30" s="251">
        <f t="shared" si="2"/>
        <v>-8921.28</v>
      </c>
      <c r="N30" s="191">
        <v>1</v>
      </c>
      <c r="O30" s="191">
        <v>21761.28</v>
      </c>
      <c r="P30" s="191">
        <f t="shared" si="1"/>
        <v>21761.28</v>
      </c>
      <c r="Q30" s="256">
        <v>0.00816282081130996</v>
      </c>
      <c r="R30" s="193">
        <v>0.747951282499527</v>
      </c>
    </row>
    <row r="31" s="232" customFormat="1" ht="38.25" spans="1:18">
      <c r="A31" s="267" t="s">
        <v>1096</v>
      </c>
      <c r="B31" s="268" t="s">
        <v>1097</v>
      </c>
      <c r="C31" s="269" t="s">
        <v>1098</v>
      </c>
      <c r="D31" s="91" t="s">
        <v>466</v>
      </c>
      <c r="E31" s="270">
        <v>418.922622</v>
      </c>
      <c r="F31" s="270">
        <v>50.19</v>
      </c>
      <c r="G31" s="270">
        <f t="shared" si="0"/>
        <v>21025.73</v>
      </c>
      <c r="H31" s="271">
        <v>0.0078869104398723</v>
      </c>
      <c r="I31" s="272">
        <v>0.755838192939399</v>
      </c>
      <c r="K31" s="251">
        <f t="shared" si="2"/>
        <v>0</v>
      </c>
      <c r="N31" s="270">
        <v>418.922622</v>
      </c>
      <c r="O31" s="270">
        <v>50.19</v>
      </c>
      <c r="P31" s="270">
        <f t="shared" si="1"/>
        <v>21025.73</v>
      </c>
      <c r="Q31" s="271">
        <v>0.0078869104398723</v>
      </c>
      <c r="R31" s="272">
        <v>0.755838192939399</v>
      </c>
    </row>
    <row r="32" s="238" customFormat="1" ht="38.25" spans="1:18">
      <c r="A32" s="267" t="s">
        <v>1099</v>
      </c>
      <c r="B32" s="268" t="s">
        <v>714</v>
      </c>
      <c r="C32" s="269" t="s">
        <v>715</v>
      </c>
      <c r="D32" s="91" t="s">
        <v>466</v>
      </c>
      <c r="E32" s="270">
        <v>51</v>
      </c>
      <c r="F32" s="270">
        <v>400</v>
      </c>
      <c r="G32" s="270">
        <f t="shared" si="0"/>
        <v>20400</v>
      </c>
      <c r="H32" s="271">
        <v>0.00765219438152182</v>
      </c>
      <c r="I32" s="272">
        <v>0.763490387320921</v>
      </c>
      <c r="K32" s="251">
        <f t="shared" si="2"/>
        <v>0</v>
      </c>
      <c r="N32" s="270">
        <v>51</v>
      </c>
      <c r="O32" s="270">
        <v>400</v>
      </c>
      <c r="P32" s="270">
        <f t="shared" si="1"/>
        <v>20400</v>
      </c>
      <c r="Q32" s="271">
        <v>0.00765219438152182</v>
      </c>
      <c r="R32" s="272">
        <v>0.763490387320921</v>
      </c>
    </row>
    <row r="33" s="236" customFormat="1" ht="51" spans="1:18">
      <c r="A33" s="247" t="s">
        <v>1100</v>
      </c>
      <c r="B33" s="248" t="s">
        <v>1101</v>
      </c>
      <c r="C33" s="179" t="s">
        <v>643</v>
      </c>
      <c r="D33" s="180" t="s">
        <v>494</v>
      </c>
      <c r="E33" s="181">
        <v>1</v>
      </c>
      <c r="F33" s="181">
        <v>20262.94</v>
      </c>
      <c r="G33" s="181">
        <f t="shared" si="0"/>
        <v>20262.94</v>
      </c>
      <c r="H33" s="249">
        <v>0.00760078213828989</v>
      </c>
      <c r="I33" s="183">
        <v>0.771091169459211</v>
      </c>
      <c r="K33" s="251">
        <f t="shared" si="2"/>
        <v>0</v>
      </c>
      <c r="N33" s="181">
        <v>1</v>
      </c>
      <c r="O33" s="181">
        <v>20262.94</v>
      </c>
      <c r="P33" s="181">
        <f t="shared" si="1"/>
        <v>20262.94</v>
      </c>
      <c r="Q33" s="249">
        <v>0.00760078213828989</v>
      </c>
      <c r="R33" s="272">
        <v>0.771091169459211</v>
      </c>
    </row>
    <row r="34" s="230" customFormat="1" ht="38.25" spans="1:18">
      <c r="A34" s="273" t="s">
        <v>1105</v>
      </c>
      <c r="B34" s="274" t="s">
        <v>1106</v>
      </c>
      <c r="C34" s="195" t="s">
        <v>685</v>
      </c>
      <c r="D34" s="196" t="s">
        <v>494</v>
      </c>
      <c r="E34" s="197">
        <v>1</v>
      </c>
      <c r="F34" s="197">
        <f>COTAÇÃO!K93</f>
        <v>6878.71</v>
      </c>
      <c r="G34" s="197">
        <f t="shared" si="0"/>
        <v>6878.71</v>
      </c>
      <c r="H34" s="275">
        <v>0.0067232142325294</v>
      </c>
      <c r="I34" s="199">
        <v>0.77781438369174</v>
      </c>
      <c r="J34" s="235" t="str">
        <f>COTAÇÃO!$K$86</f>
        <v>INAPI</v>
      </c>
      <c r="K34" s="251">
        <f t="shared" si="2"/>
        <v>-11044.72</v>
      </c>
      <c r="N34" s="197">
        <v>1</v>
      </c>
      <c r="O34" s="197">
        <v>17923.43</v>
      </c>
      <c r="P34" s="197">
        <f t="shared" si="1"/>
        <v>17923.43</v>
      </c>
      <c r="Q34" s="275">
        <v>0.0067232142325294</v>
      </c>
      <c r="R34" s="199">
        <v>0.77781438369174</v>
      </c>
    </row>
    <row r="35" s="228" customFormat="1" ht="38.25" spans="1:18">
      <c r="A35" s="273" t="s">
        <v>1113</v>
      </c>
      <c r="B35" s="274" t="s">
        <v>1114</v>
      </c>
      <c r="C35" s="195" t="s">
        <v>1115</v>
      </c>
      <c r="D35" s="196" t="s">
        <v>494</v>
      </c>
      <c r="E35" s="197">
        <v>1</v>
      </c>
      <c r="F35" s="197">
        <f>COTAÇÃO!J94</f>
        <v>11474.3</v>
      </c>
      <c r="G35" s="197">
        <f t="shared" si="0"/>
        <v>11474.3</v>
      </c>
      <c r="H35" s="275">
        <v>0.00635769066316303</v>
      </c>
      <c r="I35" s="199">
        <v>0.784172074354903</v>
      </c>
      <c r="J35" s="235" t="str">
        <f>COTAÇÃO!J86</f>
        <v>HIDROTAM</v>
      </c>
      <c r="K35" s="251">
        <f t="shared" si="2"/>
        <v>-5474.68</v>
      </c>
      <c r="N35" s="197">
        <v>1</v>
      </c>
      <c r="O35" s="197">
        <v>16948.98</v>
      </c>
      <c r="P35" s="197">
        <f t="shared" si="1"/>
        <v>16948.98</v>
      </c>
      <c r="Q35" s="275">
        <v>0.00635769066316303</v>
      </c>
      <c r="R35" s="199">
        <v>0.784172074354903</v>
      </c>
    </row>
    <row r="36" s="230" customFormat="1" ht="38.25" spans="1:18">
      <c r="A36" s="276" t="s">
        <v>1116</v>
      </c>
      <c r="B36" s="277" t="s">
        <v>1117</v>
      </c>
      <c r="C36" s="200" t="s">
        <v>1118</v>
      </c>
      <c r="D36" s="201" t="s">
        <v>494</v>
      </c>
      <c r="E36" s="202">
        <v>6</v>
      </c>
      <c r="F36" s="202">
        <v>2658.58</v>
      </c>
      <c r="G36" s="202">
        <f t="shared" si="0"/>
        <v>15951.48</v>
      </c>
      <c r="H36" s="278">
        <v>0.00598352086436067</v>
      </c>
      <c r="I36" s="204">
        <v>0.790155595219264</v>
      </c>
      <c r="K36" s="251">
        <f t="shared" si="2"/>
        <v>0</v>
      </c>
      <c r="N36" s="202">
        <v>6</v>
      </c>
      <c r="O36" s="202">
        <v>2658.58</v>
      </c>
      <c r="P36" s="202">
        <f t="shared" si="1"/>
        <v>15951.48</v>
      </c>
      <c r="Q36" s="278">
        <v>0.00598352086436067</v>
      </c>
      <c r="R36" s="204">
        <v>0.790155595219264</v>
      </c>
    </row>
    <row r="37" ht="25.5" spans="1:18">
      <c r="A37" s="264" t="s">
        <v>1119</v>
      </c>
      <c r="B37" s="265" t="s">
        <v>1120</v>
      </c>
      <c r="C37" s="220" t="s">
        <v>1121</v>
      </c>
      <c r="D37" s="221" t="s">
        <v>112</v>
      </c>
      <c r="E37" s="222">
        <v>1967.811825</v>
      </c>
      <c r="F37" s="222">
        <f>COTAÇÃO!I184</f>
        <v>7.4</v>
      </c>
      <c r="G37" s="222">
        <f t="shared" si="0"/>
        <v>14561.81</v>
      </c>
      <c r="H37" s="266">
        <v>0.00574273931664014</v>
      </c>
      <c r="I37" s="224">
        <v>0.795898334535904</v>
      </c>
      <c r="J37" s="234" t="str">
        <f>COTAÇÃO!$I$181</f>
        <v>ATACADO DA MADEIRA</v>
      </c>
      <c r="K37" s="251">
        <f t="shared" si="2"/>
        <v>-747.77</v>
      </c>
      <c r="N37" s="222">
        <v>1967.811825</v>
      </c>
      <c r="O37" s="222">
        <v>7.78</v>
      </c>
      <c r="P37" s="222">
        <f t="shared" si="1"/>
        <v>15309.58</v>
      </c>
      <c r="Q37" s="266">
        <v>0.00574273931664014</v>
      </c>
      <c r="R37" s="224">
        <v>0.795898334535904</v>
      </c>
    </row>
    <row r="38" ht="25.5" spans="1:18">
      <c r="A38" s="267" t="s">
        <v>1122</v>
      </c>
      <c r="B38" s="268" t="s">
        <v>1123</v>
      </c>
      <c r="C38" s="269" t="s">
        <v>1124</v>
      </c>
      <c r="D38" s="91" t="s">
        <v>463</v>
      </c>
      <c r="E38" s="270">
        <v>1654.4</v>
      </c>
      <c r="F38" s="270">
        <v>9.17</v>
      </c>
      <c r="G38" s="270">
        <f t="shared" si="0"/>
        <v>15170.85</v>
      </c>
      <c r="H38" s="271">
        <v>0.00569070064377012</v>
      </c>
      <c r="I38" s="272">
        <v>0.801589035179674</v>
      </c>
      <c r="K38" s="251">
        <f t="shared" si="2"/>
        <v>0</v>
      </c>
      <c r="N38" s="270">
        <v>1654.4</v>
      </c>
      <c r="O38" s="270">
        <v>9.17</v>
      </c>
      <c r="P38" s="270">
        <f t="shared" si="1"/>
        <v>15170.85</v>
      </c>
      <c r="Q38" s="271">
        <v>0.00569070064377012</v>
      </c>
      <c r="R38" s="272">
        <v>0.801589035179674</v>
      </c>
    </row>
    <row r="39" s="227" customFormat="1" ht="38.25" spans="1:18">
      <c r="A39" s="267" t="s">
        <v>1129</v>
      </c>
      <c r="B39" s="268" t="s">
        <v>1130</v>
      </c>
      <c r="C39" s="269" t="s">
        <v>1131</v>
      </c>
      <c r="D39" s="91" t="s">
        <v>466</v>
      </c>
      <c r="E39" s="270">
        <v>516.298688</v>
      </c>
      <c r="F39" s="270">
        <v>27.68</v>
      </c>
      <c r="G39" s="270">
        <f t="shared" si="0"/>
        <v>14291.15</v>
      </c>
      <c r="H39" s="271">
        <v>0.00536071851644537</v>
      </c>
      <c r="I39" s="272">
        <v>0.80694975369612</v>
      </c>
      <c r="K39" s="251">
        <f t="shared" si="2"/>
        <v>0</v>
      </c>
      <c r="N39" s="270">
        <v>516.298688</v>
      </c>
      <c r="O39" s="270">
        <v>27.68</v>
      </c>
      <c r="P39" s="270">
        <f t="shared" si="1"/>
        <v>14291.15</v>
      </c>
      <c r="Q39" s="271">
        <v>0.00536071851644537</v>
      </c>
      <c r="R39" s="272">
        <v>0.80694975369612</v>
      </c>
    </row>
    <row r="40" s="235" customFormat="1" ht="51" spans="1:18">
      <c r="A40" s="273" t="s">
        <v>1138</v>
      </c>
      <c r="B40" s="274" t="s">
        <v>1139</v>
      </c>
      <c r="C40" s="195" t="s">
        <v>681</v>
      </c>
      <c r="D40" s="196" t="s">
        <v>494</v>
      </c>
      <c r="E40" s="197">
        <v>3</v>
      </c>
      <c r="F40" s="197">
        <f>COTAÇÃO!K95</f>
        <v>3687.71</v>
      </c>
      <c r="G40" s="197">
        <f t="shared" si="0"/>
        <v>11063.13</v>
      </c>
      <c r="H40" s="275">
        <v>0.00522963342582936</v>
      </c>
      <c r="I40" s="199">
        <v>0.812179387121949</v>
      </c>
      <c r="J40" s="235" t="str">
        <f>COTAÇÃO!K86</f>
        <v>INAPI</v>
      </c>
      <c r="K40" s="251">
        <f t="shared" si="2"/>
        <v>-2878.56</v>
      </c>
      <c r="N40" s="197">
        <v>3</v>
      </c>
      <c r="O40" s="197">
        <v>4647.23</v>
      </c>
      <c r="P40" s="197">
        <f t="shared" si="1"/>
        <v>13941.69</v>
      </c>
      <c r="Q40" s="275">
        <v>0.00522963342582936</v>
      </c>
      <c r="R40" s="199">
        <v>0.812179387121949</v>
      </c>
    </row>
    <row r="41" ht="38.25" spans="1:18">
      <c r="A41" s="273" t="s">
        <v>1140</v>
      </c>
      <c r="B41" s="274" t="s">
        <v>1141</v>
      </c>
      <c r="C41" s="195" t="s">
        <v>679</v>
      </c>
      <c r="D41" s="196" t="s">
        <v>494</v>
      </c>
      <c r="E41" s="197">
        <v>1</v>
      </c>
      <c r="F41" s="197">
        <f>COTAÇÃO!K96</f>
        <v>5538.67</v>
      </c>
      <c r="G41" s="197">
        <f t="shared" si="0"/>
        <v>5538.67</v>
      </c>
      <c r="H41" s="275">
        <v>0.00515278513843023</v>
      </c>
      <c r="I41" s="199">
        <v>0.817332172260379</v>
      </c>
      <c r="J41" s="235" t="str">
        <f>COTAÇÃO!K86</f>
        <v>INAPI</v>
      </c>
      <c r="K41" s="251">
        <f t="shared" si="2"/>
        <v>-8198.15</v>
      </c>
      <c r="N41" s="197">
        <v>1</v>
      </c>
      <c r="O41" s="197">
        <v>13736.82</v>
      </c>
      <c r="P41" s="197">
        <f t="shared" si="1"/>
        <v>13736.82</v>
      </c>
      <c r="Q41" s="275">
        <v>0.00515278513843023</v>
      </c>
      <c r="R41" s="199">
        <v>0.817332172260379</v>
      </c>
    </row>
    <row r="42" s="226" customFormat="1" ht="63.75" spans="1:18">
      <c r="A42" s="279" t="s">
        <v>1145</v>
      </c>
      <c r="B42" s="280" t="s">
        <v>1146</v>
      </c>
      <c r="C42" s="205" t="s">
        <v>727</v>
      </c>
      <c r="D42" s="206" t="s">
        <v>494</v>
      </c>
      <c r="E42" s="207">
        <v>1</v>
      </c>
      <c r="F42" s="207">
        <v>12658</v>
      </c>
      <c r="G42" s="207">
        <f t="shared" si="0"/>
        <v>12658</v>
      </c>
      <c r="H42" s="281">
        <v>0.00474811159222075</v>
      </c>
      <c r="I42" s="209">
        <v>0.8220802838526</v>
      </c>
      <c r="K42" s="251">
        <f t="shared" si="2"/>
        <v>0</v>
      </c>
      <c r="N42" s="207">
        <v>1</v>
      </c>
      <c r="O42" s="207">
        <v>12658</v>
      </c>
      <c r="P42" s="207">
        <f t="shared" si="1"/>
        <v>12658</v>
      </c>
      <c r="Q42" s="281">
        <v>0.00474811159222075</v>
      </c>
      <c r="R42" s="209">
        <v>0.8220802838526</v>
      </c>
    </row>
    <row r="43" s="230" customFormat="1" ht="51" spans="1:18">
      <c r="A43" s="273" t="s">
        <v>1152</v>
      </c>
      <c r="B43" s="274" t="s">
        <v>1153</v>
      </c>
      <c r="C43" s="195" t="s">
        <v>700</v>
      </c>
      <c r="D43" s="196" t="s">
        <v>494</v>
      </c>
      <c r="E43" s="197">
        <v>1</v>
      </c>
      <c r="F43" s="197">
        <f>COTAÇÃO!K97</f>
        <v>10250.21</v>
      </c>
      <c r="G43" s="197">
        <f t="shared" si="0"/>
        <v>10250.21</v>
      </c>
      <c r="H43" s="275">
        <v>0.00434193761574038</v>
      </c>
      <c r="I43" s="199">
        <v>0.82642222146834</v>
      </c>
      <c r="J43" s="235" t="str">
        <f>COTAÇÃO!K86</f>
        <v>INAPI</v>
      </c>
      <c r="K43" s="251">
        <f t="shared" si="2"/>
        <v>-1324.97</v>
      </c>
      <c r="N43" s="197">
        <v>1</v>
      </c>
      <c r="O43" s="197">
        <v>11575.18</v>
      </c>
      <c r="P43" s="197">
        <f t="shared" si="1"/>
        <v>11575.18</v>
      </c>
      <c r="Q43" s="275">
        <v>0.00434193761574038</v>
      </c>
      <c r="R43" s="199">
        <v>0.82642222146834</v>
      </c>
    </row>
    <row r="44" ht="38.25" spans="1:18">
      <c r="A44" s="267" t="s">
        <v>1154</v>
      </c>
      <c r="B44" s="268" t="s">
        <v>1155</v>
      </c>
      <c r="C44" s="269" t="s">
        <v>1156</v>
      </c>
      <c r="D44" s="91" t="s">
        <v>601</v>
      </c>
      <c r="E44" s="270">
        <v>17.142708</v>
      </c>
      <c r="F44" s="270">
        <v>660</v>
      </c>
      <c r="G44" s="270">
        <f t="shared" si="0"/>
        <v>11314.19</v>
      </c>
      <c r="H44" s="271">
        <v>0.00424403829164071</v>
      </c>
      <c r="I44" s="272">
        <v>0.830666259759981</v>
      </c>
      <c r="K44" s="251">
        <f t="shared" si="2"/>
        <v>0</v>
      </c>
      <c r="N44" s="270">
        <v>17.142708</v>
      </c>
      <c r="O44" s="270">
        <v>660</v>
      </c>
      <c r="P44" s="270">
        <f t="shared" si="1"/>
        <v>11314.19</v>
      </c>
      <c r="Q44" s="271">
        <v>0.00424403829164071</v>
      </c>
      <c r="R44" s="272">
        <v>0.830666259759981</v>
      </c>
    </row>
    <row r="45" ht="38.25" spans="1:18">
      <c r="A45" s="267" t="s">
        <v>1157</v>
      </c>
      <c r="B45" s="268" t="s">
        <v>1158</v>
      </c>
      <c r="C45" s="269" t="s">
        <v>1159</v>
      </c>
      <c r="D45" s="91" t="s">
        <v>463</v>
      </c>
      <c r="E45" s="270">
        <v>1292.9672</v>
      </c>
      <c r="F45" s="270">
        <v>8.66</v>
      </c>
      <c r="G45" s="270">
        <f t="shared" si="0"/>
        <v>11197.1</v>
      </c>
      <c r="H45" s="271">
        <v>0.00420011694653618</v>
      </c>
      <c r="I45" s="272">
        <v>0.834866376706517</v>
      </c>
      <c r="K45" s="251">
        <f t="shared" si="2"/>
        <v>0</v>
      </c>
      <c r="N45" s="270">
        <v>1292.9672</v>
      </c>
      <c r="O45" s="270">
        <v>8.66</v>
      </c>
      <c r="P45" s="270">
        <f t="shared" si="1"/>
        <v>11197.1</v>
      </c>
      <c r="Q45" s="271">
        <v>0.00420011694653618</v>
      </c>
      <c r="R45" s="272">
        <v>0.834866376706517</v>
      </c>
    </row>
    <row r="46" ht="51" spans="1:18">
      <c r="A46" s="247" t="s">
        <v>1160</v>
      </c>
      <c r="B46" s="248" t="s">
        <v>1161</v>
      </c>
      <c r="C46" s="179" t="s">
        <v>648</v>
      </c>
      <c r="D46" s="180" t="s">
        <v>494</v>
      </c>
      <c r="E46" s="181">
        <v>1</v>
      </c>
      <c r="F46" s="181">
        <v>10737.3</v>
      </c>
      <c r="G46" s="181">
        <f t="shared" si="0"/>
        <v>10737.3</v>
      </c>
      <c r="H46" s="249">
        <v>0.00402764248689776</v>
      </c>
      <c r="I46" s="183">
        <v>0.838894019193415</v>
      </c>
      <c r="K46" s="251">
        <f t="shared" si="2"/>
        <v>0</v>
      </c>
      <c r="N46" s="181">
        <v>1</v>
      </c>
      <c r="O46" s="181">
        <v>10737.3</v>
      </c>
      <c r="P46" s="181">
        <f t="shared" si="1"/>
        <v>10737.3</v>
      </c>
      <c r="Q46" s="249">
        <v>0.00402764248689776</v>
      </c>
      <c r="R46" s="272">
        <v>0.838894019193415</v>
      </c>
    </row>
    <row r="47" s="229" customFormat="1" ht="25.5" spans="1:18">
      <c r="A47" s="264" t="s">
        <v>1162</v>
      </c>
      <c r="B47" s="265" t="s">
        <v>1163</v>
      </c>
      <c r="C47" s="220" t="s">
        <v>1164</v>
      </c>
      <c r="D47" s="221" t="s">
        <v>112</v>
      </c>
      <c r="E47" s="222">
        <v>797.266637</v>
      </c>
      <c r="F47" s="222">
        <f>COTAÇÃO!I185</f>
        <v>11.5</v>
      </c>
      <c r="G47" s="222">
        <f t="shared" si="0"/>
        <v>9168.57</v>
      </c>
      <c r="H47" s="266">
        <v>0.00385788380604965</v>
      </c>
      <c r="I47" s="224">
        <v>0.842751902999465</v>
      </c>
      <c r="J47" s="234" t="str">
        <f>COTAÇÃO!$I$181</f>
        <v>ATACADO DA MADEIRA</v>
      </c>
      <c r="K47" s="251">
        <f t="shared" si="2"/>
        <v>-1116.17</v>
      </c>
      <c r="N47" s="222">
        <v>797.266637</v>
      </c>
      <c r="O47" s="222">
        <v>12.9</v>
      </c>
      <c r="P47" s="222">
        <f t="shared" si="1"/>
        <v>10284.74</v>
      </c>
      <c r="Q47" s="266">
        <v>0.00385788380604965</v>
      </c>
      <c r="R47" s="224">
        <v>0.842751902999465</v>
      </c>
    </row>
    <row r="48" s="239" customFormat="1" ht="38.25" spans="1:18">
      <c r="A48" s="267" t="s">
        <v>1165</v>
      </c>
      <c r="B48" s="268" t="s">
        <v>703</v>
      </c>
      <c r="C48" s="269" t="s">
        <v>1166</v>
      </c>
      <c r="D48" s="91" t="s">
        <v>112</v>
      </c>
      <c r="E48" s="270">
        <v>14.55</v>
      </c>
      <c r="F48" s="270">
        <v>700</v>
      </c>
      <c r="G48" s="270">
        <f t="shared" si="0"/>
        <v>10185</v>
      </c>
      <c r="H48" s="271">
        <v>0.00382047057724509</v>
      </c>
      <c r="I48" s="272">
        <v>0.84657237357671</v>
      </c>
      <c r="K48" s="251">
        <f t="shared" si="2"/>
        <v>0</v>
      </c>
      <c r="N48" s="270">
        <v>14.55</v>
      </c>
      <c r="O48" s="270">
        <v>700</v>
      </c>
      <c r="P48" s="270">
        <f t="shared" si="1"/>
        <v>10185</v>
      </c>
      <c r="Q48" s="271">
        <v>0.00382047057724509</v>
      </c>
      <c r="R48" s="272">
        <v>0.84657237357671</v>
      </c>
    </row>
    <row r="49" ht="51" spans="1:18">
      <c r="A49" s="247" t="s">
        <v>1167</v>
      </c>
      <c r="B49" s="248" t="s">
        <v>1168</v>
      </c>
      <c r="C49" s="179" t="s">
        <v>641</v>
      </c>
      <c r="D49" s="180" t="s">
        <v>494</v>
      </c>
      <c r="E49" s="181">
        <v>2</v>
      </c>
      <c r="F49" s="181">
        <v>5083.3</v>
      </c>
      <c r="G49" s="181">
        <f t="shared" si="0"/>
        <v>10166.6</v>
      </c>
      <c r="H49" s="249">
        <v>0.00381356859799901</v>
      </c>
      <c r="I49" s="183">
        <v>0.850385942174709</v>
      </c>
      <c r="K49" s="251">
        <f t="shared" si="2"/>
        <v>0</v>
      </c>
      <c r="N49" s="181">
        <v>2</v>
      </c>
      <c r="O49" s="181">
        <v>5083.3</v>
      </c>
      <c r="P49" s="181">
        <f t="shared" si="1"/>
        <v>10166.6</v>
      </c>
      <c r="Q49" s="249">
        <v>0.00381356859799901</v>
      </c>
      <c r="R49" s="272">
        <v>0.850385942174709</v>
      </c>
    </row>
    <row r="50" s="234" customFormat="1" ht="38.25" spans="1:18">
      <c r="A50" s="267" t="s">
        <v>1169</v>
      </c>
      <c r="B50" s="268" t="s">
        <v>1170</v>
      </c>
      <c r="C50" s="269" t="s">
        <v>1171</v>
      </c>
      <c r="D50" s="91" t="s">
        <v>466</v>
      </c>
      <c r="E50" s="270">
        <v>25</v>
      </c>
      <c r="F50" s="270">
        <v>400</v>
      </c>
      <c r="G50" s="270">
        <f t="shared" si="0"/>
        <v>10000</v>
      </c>
      <c r="H50" s="271">
        <v>0.00375107567721658</v>
      </c>
      <c r="I50" s="272">
        <v>0.854137017851925</v>
      </c>
      <c r="K50" s="251">
        <f t="shared" si="2"/>
        <v>0</v>
      </c>
      <c r="N50" s="270">
        <v>25</v>
      </c>
      <c r="O50" s="270">
        <v>400</v>
      </c>
      <c r="P50" s="270">
        <f t="shared" si="1"/>
        <v>10000</v>
      </c>
      <c r="Q50" s="271">
        <v>0.00375107567721658</v>
      </c>
      <c r="R50" s="272">
        <v>0.854137017851925</v>
      </c>
    </row>
    <row r="51" s="237" customFormat="1" ht="63.75" spans="1:18">
      <c r="A51" s="273" t="s">
        <v>1172</v>
      </c>
      <c r="B51" s="274" t="s">
        <v>1173</v>
      </c>
      <c r="C51" s="195" t="s">
        <v>701</v>
      </c>
      <c r="D51" s="196" t="s">
        <v>494</v>
      </c>
      <c r="E51" s="197">
        <v>1</v>
      </c>
      <c r="F51" s="197">
        <f>COTAÇÃO!I98</f>
        <v>13315.89</v>
      </c>
      <c r="G51" s="197">
        <f t="shared" si="0"/>
        <v>13315.89</v>
      </c>
      <c r="H51" s="275">
        <v>0.00370906362963175</v>
      </c>
      <c r="I51" s="199">
        <v>0.857846081481557</v>
      </c>
      <c r="J51" s="235" t="str">
        <f>COTAÇÃO!$I$86</f>
        <v>PHS</v>
      </c>
      <c r="K51" s="251">
        <f t="shared" si="2"/>
        <v>3427.89</v>
      </c>
      <c r="N51" s="197">
        <v>1</v>
      </c>
      <c r="O51" s="197">
        <v>9888</v>
      </c>
      <c r="P51" s="197">
        <f t="shared" si="1"/>
        <v>9888</v>
      </c>
      <c r="Q51" s="275">
        <v>0.00370906362963175</v>
      </c>
      <c r="R51" s="199">
        <v>0.857846081481557</v>
      </c>
    </row>
    <row r="52" ht="51" spans="1:18">
      <c r="A52" s="273" t="s">
        <v>1176</v>
      </c>
      <c r="B52" s="274" t="s">
        <v>1177</v>
      </c>
      <c r="C52" s="195" t="s">
        <v>687</v>
      </c>
      <c r="D52" s="196" t="s">
        <v>494</v>
      </c>
      <c r="E52" s="197">
        <v>7</v>
      </c>
      <c r="F52" s="197">
        <f>COTAÇÃO!J99</f>
        <v>935.45</v>
      </c>
      <c r="G52" s="197">
        <f t="shared" si="0"/>
        <v>6548.15</v>
      </c>
      <c r="H52" s="275">
        <v>0.0035615713340036</v>
      </c>
      <c r="I52" s="199">
        <v>0.861407652815561</v>
      </c>
      <c r="J52" s="235" t="s">
        <v>1919</v>
      </c>
      <c r="K52" s="251">
        <f t="shared" si="2"/>
        <v>-2946.65</v>
      </c>
      <c r="N52" s="197">
        <v>7</v>
      </c>
      <c r="O52" s="197">
        <v>1356.4</v>
      </c>
      <c r="P52" s="197">
        <f t="shared" si="1"/>
        <v>9494.8</v>
      </c>
      <c r="Q52" s="275">
        <v>0.0035615713340036</v>
      </c>
      <c r="R52" s="199">
        <v>0.861407652815561</v>
      </c>
    </row>
    <row r="53" s="226" customFormat="1" ht="51" spans="1:18">
      <c r="A53" s="267" t="s">
        <v>1178</v>
      </c>
      <c r="B53" s="268" t="s">
        <v>1179</v>
      </c>
      <c r="C53" s="269" t="s">
        <v>659</v>
      </c>
      <c r="D53" s="91" t="s">
        <v>494</v>
      </c>
      <c r="E53" s="270">
        <v>26</v>
      </c>
      <c r="F53" s="270">
        <v>351.51</v>
      </c>
      <c r="G53" s="270">
        <f t="shared" si="0"/>
        <v>9139.26</v>
      </c>
      <c r="H53" s="271">
        <v>0.00342820558937584</v>
      </c>
      <c r="I53" s="272">
        <v>0.864835858404936</v>
      </c>
      <c r="K53" s="251">
        <f t="shared" si="2"/>
        <v>0</v>
      </c>
      <c r="N53" s="270">
        <v>26</v>
      </c>
      <c r="O53" s="270">
        <v>351.51</v>
      </c>
      <c r="P53" s="270">
        <f t="shared" si="1"/>
        <v>9139.26</v>
      </c>
      <c r="Q53" s="271">
        <v>0.00342820558937584</v>
      </c>
      <c r="R53" s="272">
        <v>0.864835858404936</v>
      </c>
    </row>
    <row r="54" s="226" customFormat="1" spans="1:18">
      <c r="A54" s="267" t="s">
        <v>1180</v>
      </c>
      <c r="B54" s="268" t="s">
        <v>1181</v>
      </c>
      <c r="C54" s="269" t="s">
        <v>1182</v>
      </c>
      <c r="D54" s="91" t="s">
        <v>463</v>
      </c>
      <c r="E54" s="270">
        <v>7089.153078</v>
      </c>
      <c r="F54" s="270">
        <v>1.28</v>
      </c>
      <c r="G54" s="270">
        <f t="shared" si="0"/>
        <v>9074.12</v>
      </c>
      <c r="H54" s="271">
        <v>0.00340377108241445</v>
      </c>
      <c r="I54" s="272">
        <v>0.868239629487351</v>
      </c>
      <c r="K54" s="251">
        <f t="shared" si="2"/>
        <v>0</v>
      </c>
      <c r="N54" s="270">
        <v>7089.153078</v>
      </c>
      <c r="O54" s="270">
        <v>1.28</v>
      </c>
      <c r="P54" s="270">
        <f t="shared" si="1"/>
        <v>9074.12</v>
      </c>
      <c r="Q54" s="271">
        <v>0.00340377108241445</v>
      </c>
      <c r="R54" s="272">
        <v>0.868239629487351</v>
      </c>
    </row>
    <row r="55" s="228" customFormat="1" ht="76.5" spans="1:18">
      <c r="A55" s="247" t="s">
        <v>1183</v>
      </c>
      <c r="B55" s="248" t="s">
        <v>1184</v>
      </c>
      <c r="C55" s="179" t="s">
        <v>649</v>
      </c>
      <c r="D55" s="180" t="s">
        <v>494</v>
      </c>
      <c r="E55" s="181">
        <v>2</v>
      </c>
      <c r="F55" s="181">
        <v>4262.89</v>
      </c>
      <c r="G55" s="181">
        <f t="shared" si="0"/>
        <v>8525.78</v>
      </c>
      <c r="H55" s="249">
        <v>0.00319808459872996</v>
      </c>
      <c r="I55" s="183">
        <v>0.871437714086081</v>
      </c>
      <c r="K55" s="251">
        <f t="shared" si="2"/>
        <v>0</v>
      </c>
      <c r="N55" s="181">
        <v>2</v>
      </c>
      <c r="O55" s="181">
        <v>4262.89</v>
      </c>
      <c r="P55" s="181">
        <f t="shared" si="1"/>
        <v>8525.78</v>
      </c>
      <c r="Q55" s="249">
        <v>0.00319808459872996</v>
      </c>
      <c r="R55" s="272">
        <v>0.871437714086081</v>
      </c>
    </row>
    <row r="56" s="227" customFormat="1" ht="25.5" spans="1:18">
      <c r="A56" s="267" t="s">
        <v>1185</v>
      </c>
      <c r="B56" s="268" t="s">
        <v>1186</v>
      </c>
      <c r="C56" s="269" t="s">
        <v>1187</v>
      </c>
      <c r="D56" s="91" t="s">
        <v>112</v>
      </c>
      <c r="E56" s="270">
        <v>135.219</v>
      </c>
      <c r="F56" s="270">
        <v>62.02</v>
      </c>
      <c r="G56" s="270">
        <f t="shared" si="0"/>
        <v>8386.28</v>
      </c>
      <c r="H56" s="271">
        <v>0.00314575709303279</v>
      </c>
      <c r="I56" s="272">
        <v>0.874583471179114</v>
      </c>
      <c r="K56" s="251">
        <f t="shared" si="2"/>
        <v>0</v>
      </c>
      <c r="N56" s="270">
        <v>135.219</v>
      </c>
      <c r="O56" s="270">
        <v>62.02</v>
      </c>
      <c r="P56" s="270">
        <f t="shared" si="1"/>
        <v>8386.28</v>
      </c>
      <c r="Q56" s="271">
        <v>0.00314575709303279</v>
      </c>
      <c r="R56" s="272">
        <v>0.874583471179114</v>
      </c>
    </row>
    <row r="57" ht="38.25" spans="1:18">
      <c r="A57" s="273" t="s">
        <v>1188</v>
      </c>
      <c r="B57" s="274" t="s">
        <v>1189</v>
      </c>
      <c r="C57" s="195" t="s">
        <v>666</v>
      </c>
      <c r="D57" s="196" t="s">
        <v>494</v>
      </c>
      <c r="E57" s="197">
        <v>1</v>
      </c>
      <c r="F57" s="197">
        <f>COTAÇÃO!J100</f>
        <v>2742.65</v>
      </c>
      <c r="G57" s="197">
        <f t="shared" si="0"/>
        <v>2742.65</v>
      </c>
      <c r="H57" s="275">
        <v>0.00308819308569022</v>
      </c>
      <c r="I57" s="199">
        <v>0.877671664264804</v>
      </c>
      <c r="J57" s="235" t="s">
        <v>1919</v>
      </c>
      <c r="K57" s="251">
        <f t="shared" si="2"/>
        <v>-5490.17</v>
      </c>
      <c r="N57" s="197">
        <v>1</v>
      </c>
      <c r="O57" s="197">
        <v>8232.82</v>
      </c>
      <c r="P57" s="197">
        <f t="shared" si="1"/>
        <v>8232.82</v>
      </c>
      <c r="Q57" s="275">
        <v>0.00308819308569022</v>
      </c>
      <c r="R57" s="199">
        <v>0.877671664264804</v>
      </c>
    </row>
    <row r="58" s="227" customFormat="1" ht="38.25" spans="1:18">
      <c r="A58" s="273" t="s">
        <v>1190</v>
      </c>
      <c r="B58" s="274" t="s">
        <v>1191</v>
      </c>
      <c r="C58" s="195" t="s">
        <v>698</v>
      </c>
      <c r="D58" s="196" t="s">
        <v>494</v>
      </c>
      <c r="E58" s="197">
        <v>3</v>
      </c>
      <c r="F58" s="197">
        <f>COTAÇÃO!J101</f>
        <v>2635.8</v>
      </c>
      <c r="G58" s="197">
        <f t="shared" si="0"/>
        <v>7907.4</v>
      </c>
      <c r="H58" s="275">
        <v>0.00306016879930574</v>
      </c>
      <c r="I58" s="199">
        <v>0.88073183306411</v>
      </c>
      <c r="J58" s="235" t="s">
        <v>1919</v>
      </c>
      <c r="K58" s="251">
        <f t="shared" si="2"/>
        <v>-250.71</v>
      </c>
      <c r="N58" s="197">
        <v>3</v>
      </c>
      <c r="O58" s="197">
        <v>2719.37</v>
      </c>
      <c r="P58" s="197">
        <f t="shared" si="1"/>
        <v>8158.11</v>
      </c>
      <c r="Q58" s="275">
        <v>0.00306016879930574</v>
      </c>
      <c r="R58" s="199">
        <v>0.88073183306411</v>
      </c>
    </row>
    <row r="59" s="238" customFormat="1" ht="25.5" spans="1:18">
      <c r="A59" s="264" t="s">
        <v>1192</v>
      </c>
      <c r="B59" s="265" t="s">
        <v>1193</v>
      </c>
      <c r="C59" s="220" t="s">
        <v>1194</v>
      </c>
      <c r="D59" s="221" t="s">
        <v>112</v>
      </c>
      <c r="E59" s="222">
        <v>1431.48</v>
      </c>
      <c r="F59" s="222">
        <f>COTAÇÃO!I186</f>
        <v>6</v>
      </c>
      <c r="G59" s="222">
        <f t="shared" si="0"/>
        <v>8588.88</v>
      </c>
      <c r="H59" s="266">
        <v>0.00298012084435393</v>
      </c>
      <c r="I59" s="224">
        <v>0.883711953908463</v>
      </c>
      <c r="J59" s="234" t="str">
        <f>COTAÇÃO!$I$181</f>
        <v>ATACADO DA MADEIRA</v>
      </c>
      <c r="K59" s="251">
        <f t="shared" si="2"/>
        <v>644.169999999999</v>
      </c>
      <c r="N59" s="222">
        <v>1431.48</v>
      </c>
      <c r="O59" s="222">
        <v>5.55</v>
      </c>
      <c r="P59" s="222">
        <f t="shared" si="1"/>
        <v>7944.71</v>
      </c>
      <c r="Q59" s="266">
        <v>0.00298012084435393</v>
      </c>
      <c r="R59" s="224">
        <v>0.883711953908463</v>
      </c>
    </row>
    <row r="60" ht="38.25" spans="1:18">
      <c r="A60" s="273" t="s">
        <v>1197</v>
      </c>
      <c r="B60" s="274" t="s">
        <v>1198</v>
      </c>
      <c r="C60" s="195" t="s">
        <v>1199</v>
      </c>
      <c r="D60" s="196" t="s">
        <v>494</v>
      </c>
      <c r="E60" s="197">
        <v>3</v>
      </c>
      <c r="F60" s="197">
        <f>COTAÇÃO!K102</f>
        <v>1981.45</v>
      </c>
      <c r="G60" s="197">
        <f t="shared" si="0"/>
        <v>5944.35</v>
      </c>
      <c r="H60" s="275">
        <v>0.0028712158642173</v>
      </c>
      <c r="I60" s="199">
        <v>0.886583169772681</v>
      </c>
      <c r="J60" s="235" t="s">
        <v>1920</v>
      </c>
      <c r="K60" s="251">
        <f t="shared" si="2"/>
        <v>-1710.03</v>
      </c>
      <c r="N60" s="197">
        <v>3</v>
      </c>
      <c r="O60" s="197">
        <v>2551.46</v>
      </c>
      <c r="P60" s="197">
        <f t="shared" si="1"/>
        <v>7654.38</v>
      </c>
      <c r="Q60" s="275">
        <v>0.0028712158642173</v>
      </c>
      <c r="R60" s="199">
        <v>0.886583169772681</v>
      </c>
    </row>
    <row r="61" s="229" customFormat="1" ht="38.25" spans="1:18">
      <c r="A61" s="273" t="s">
        <v>1200</v>
      </c>
      <c r="B61" s="274" t="s">
        <v>1201</v>
      </c>
      <c r="C61" s="195" t="s">
        <v>692</v>
      </c>
      <c r="D61" s="196" t="s">
        <v>112</v>
      </c>
      <c r="E61" s="197">
        <v>3</v>
      </c>
      <c r="F61" s="197">
        <f>COTAÇÃO!K103</f>
        <v>2706.33</v>
      </c>
      <c r="G61" s="197">
        <f t="shared" si="0"/>
        <v>8118.99</v>
      </c>
      <c r="H61" s="275">
        <v>0.00266413398038089</v>
      </c>
      <c r="I61" s="199">
        <v>0.889247303753062</v>
      </c>
      <c r="J61" s="235" t="s">
        <v>1920</v>
      </c>
      <c r="K61" s="251">
        <f t="shared" si="2"/>
        <v>1016.67</v>
      </c>
      <c r="N61" s="197">
        <v>3</v>
      </c>
      <c r="O61" s="197">
        <v>2367.44</v>
      </c>
      <c r="P61" s="197">
        <f t="shared" si="1"/>
        <v>7102.32</v>
      </c>
      <c r="Q61" s="275">
        <v>0.00266413398038089</v>
      </c>
      <c r="R61" s="199">
        <v>0.889247303753062</v>
      </c>
    </row>
    <row r="62" s="228" customFormat="1" ht="51" spans="1:18">
      <c r="A62" s="267" t="s">
        <v>1202</v>
      </c>
      <c r="B62" s="268" t="s">
        <v>1203</v>
      </c>
      <c r="C62" s="269" t="s">
        <v>1204</v>
      </c>
      <c r="D62" s="91" t="s">
        <v>466</v>
      </c>
      <c r="E62" s="270">
        <v>10</v>
      </c>
      <c r="F62" s="270">
        <v>707.93</v>
      </c>
      <c r="G62" s="270">
        <f t="shared" si="0"/>
        <v>7079.3</v>
      </c>
      <c r="H62" s="271">
        <v>0.00265549900417193</v>
      </c>
      <c r="I62" s="272">
        <v>0.891902802757234</v>
      </c>
      <c r="K62" s="251">
        <f t="shared" si="2"/>
        <v>0</v>
      </c>
      <c r="N62" s="270">
        <v>10</v>
      </c>
      <c r="O62" s="270">
        <v>707.93</v>
      </c>
      <c r="P62" s="270">
        <f t="shared" si="1"/>
        <v>7079.3</v>
      </c>
      <c r="Q62" s="271">
        <v>0.00265549900417193</v>
      </c>
      <c r="R62" s="272">
        <v>0.891902802757234</v>
      </c>
    </row>
    <row r="63" s="228" customFormat="1" ht="51" spans="1:18">
      <c r="A63" s="273" t="s">
        <v>1205</v>
      </c>
      <c r="B63" s="274" t="s">
        <v>1206</v>
      </c>
      <c r="C63" s="195" t="s">
        <v>670</v>
      </c>
      <c r="D63" s="196" t="s">
        <v>494</v>
      </c>
      <c r="E63" s="197">
        <v>1</v>
      </c>
      <c r="F63" s="197">
        <f>COTAÇÃO!K104</f>
        <v>4764.12</v>
      </c>
      <c r="G63" s="197">
        <f t="shared" si="0"/>
        <v>4764.12</v>
      </c>
      <c r="H63" s="275">
        <v>0.00264586624183284</v>
      </c>
      <c r="I63" s="199">
        <v>0.894548668999066</v>
      </c>
      <c r="J63" s="235" t="s">
        <v>1920</v>
      </c>
      <c r="K63" s="251">
        <f t="shared" si="2"/>
        <v>-2289.5</v>
      </c>
      <c r="N63" s="197">
        <v>1</v>
      </c>
      <c r="O63" s="197">
        <v>7053.62</v>
      </c>
      <c r="P63" s="197">
        <f t="shared" si="1"/>
        <v>7053.62</v>
      </c>
      <c r="Q63" s="275">
        <v>0.00264586624183284</v>
      </c>
      <c r="R63" s="199">
        <v>0.894548668999066</v>
      </c>
    </row>
    <row r="64" s="226" customFormat="1" ht="89.25" spans="1:18">
      <c r="A64" s="273" t="s">
        <v>1207</v>
      </c>
      <c r="B64" s="274" t="s">
        <v>1208</v>
      </c>
      <c r="C64" s="195" t="s">
        <v>663</v>
      </c>
      <c r="D64" s="196" t="s">
        <v>494</v>
      </c>
      <c r="E64" s="197">
        <v>320</v>
      </c>
      <c r="F64" s="197">
        <f>COTAÇÃO!I105</f>
        <v>33.07</v>
      </c>
      <c r="G64" s="197">
        <f t="shared" si="0"/>
        <v>10582.4</v>
      </c>
      <c r="H64" s="275">
        <v>0.00264075727676047</v>
      </c>
      <c r="I64" s="199">
        <v>0.897189426275827</v>
      </c>
      <c r="J64" s="235" t="str">
        <f>COTAÇÃO!$I$86</f>
        <v>PHS</v>
      </c>
      <c r="K64" s="251">
        <f t="shared" si="2"/>
        <v>3542.4</v>
      </c>
      <c r="N64" s="197">
        <v>320</v>
      </c>
      <c r="O64" s="197">
        <v>22</v>
      </c>
      <c r="P64" s="197">
        <f t="shared" si="1"/>
        <v>7040</v>
      </c>
      <c r="Q64" s="275">
        <v>0.00264075727676047</v>
      </c>
      <c r="R64" s="199">
        <v>0.897189426275827</v>
      </c>
    </row>
    <row r="65" s="226" customFormat="1" ht="38.25" spans="1:18">
      <c r="A65" s="273" t="s">
        <v>1212</v>
      </c>
      <c r="B65" s="274" t="s">
        <v>1213</v>
      </c>
      <c r="C65" s="195" t="s">
        <v>678</v>
      </c>
      <c r="D65" s="196" t="s">
        <v>494</v>
      </c>
      <c r="E65" s="197">
        <v>1</v>
      </c>
      <c r="F65" s="197">
        <f>COTAÇÃO!K106</f>
        <v>3631.14</v>
      </c>
      <c r="G65" s="197">
        <f t="shared" si="0"/>
        <v>3631.14</v>
      </c>
      <c r="H65" s="275">
        <v>0.00253205860578609</v>
      </c>
      <c r="I65" s="199">
        <v>0.899721484881613</v>
      </c>
      <c r="J65" s="235" t="s">
        <v>1920</v>
      </c>
      <c r="K65" s="251">
        <f t="shared" si="2"/>
        <v>-3119.08</v>
      </c>
      <c r="N65" s="197">
        <v>1</v>
      </c>
      <c r="O65" s="197">
        <v>6750.22</v>
      </c>
      <c r="P65" s="197">
        <f t="shared" si="1"/>
        <v>6750.22</v>
      </c>
      <c r="Q65" s="275">
        <v>0.00253205860578609</v>
      </c>
      <c r="R65" s="199">
        <v>0.899721484881613</v>
      </c>
    </row>
    <row r="66" s="235" customFormat="1" ht="38.25" spans="1:18">
      <c r="A66" s="264" t="s">
        <v>1214</v>
      </c>
      <c r="B66" s="265" t="s">
        <v>712</v>
      </c>
      <c r="C66" s="220" t="s">
        <v>713</v>
      </c>
      <c r="D66" s="221" t="s">
        <v>112</v>
      </c>
      <c r="E66" s="222">
        <v>36</v>
      </c>
      <c r="F66" s="222">
        <f>COTAÇÃO!I187</f>
        <v>250</v>
      </c>
      <c r="G66" s="222">
        <f t="shared" si="0"/>
        <v>9000</v>
      </c>
      <c r="H66" s="266">
        <v>0.00251307066070802</v>
      </c>
      <c r="I66" s="224">
        <v>0.902234555542321</v>
      </c>
      <c r="J66" s="234" t="str">
        <f>COTAÇÃO!$I$181</f>
        <v>ATACADO DA MADEIRA</v>
      </c>
      <c r="K66" s="251">
        <f t="shared" si="2"/>
        <v>2300.4</v>
      </c>
      <c r="N66" s="222">
        <v>36</v>
      </c>
      <c r="O66" s="222">
        <v>186.1</v>
      </c>
      <c r="P66" s="222">
        <f t="shared" si="1"/>
        <v>6699.6</v>
      </c>
      <c r="Q66" s="266">
        <v>0.00251307066070802</v>
      </c>
      <c r="R66" s="224">
        <v>0.902234555542321</v>
      </c>
    </row>
    <row r="67" ht="38.25" spans="1:18">
      <c r="A67" s="273" t="s">
        <v>1217</v>
      </c>
      <c r="B67" s="274" t="s">
        <v>1218</v>
      </c>
      <c r="C67" s="195" t="s">
        <v>699</v>
      </c>
      <c r="D67" s="196" t="s">
        <v>494</v>
      </c>
      <c r="E67" s="197">
        <v>1</v>
      </c>
      <c r="F67" s="197">
        <f>COTAÇÃO!K107</f>
        <v>8538.73</v>
      </c>
      <c r="G67" s="197">
        <f t="shared" ref="G67:G130" si="3">ROUND(E67*F67,2)</f>
        <v>8538.73</v>
      </c>
      <c r="H67" s="275">
        <v>0.00250533969373728</v>
      </c>
      <c r="I67" s="199">
        <v>0.904739895236058</v>
      </c>
      <c r="J67" s="235" t="s">
        <v>1920</v>
      </c>
      <c r="K67" s="251">
        <f t="shared" si="2"/>
        <v>1859.74</v>
      </c>
      <c r="N67" s="197">
        <v>1</v>
      </c>
      <c r="O67" s="197">
        <v>6678.99</v>
      </c>
      <c r="P67" s="197">
        <f t="shared" ref="P67:P130" si="4">ROUND(N67*O67,2)</f>
        <v>6678.99</v>
      </c>
      <c r="Q67" s="275">
        <v>0.00250533969373728</v>
      </c>
      <c r="R67" s="199">
        <v>0.904739895236058</v>
      </c>
    </row>
    <row r="68" ht="51" spans="1:18">
      <c r="A68" s="273" t="s">
        <v>1219</v>
      </c>
      <c r="B68" s="274" t="s">
        <v>1220</v>
      </c>
      <c r="C68" s="195" t="s">
        <v>675</v>
      </c>
      <c r="D68" s="196" t="s">
        <v>494</v>
      </c>
      <c r="E68" s="197">
        <v>2</v>
      </c>
      <c r="F68" s="197">
        <f>COTAÇÃO!K108</f>
        <v>2036.76</v>
      </c>
      <c r="G68" s="197">
        <f t="shared" si="3"/>
        <v>4073.52</v>
      </c>
      <c r="H68" s="275">
        <v>0.00249487044152217</v>
      </c>
      <c r="I68" s="199">
        <v>0.907234765677581</v>
      </c>
      <c r="J68" s="235" t="s">
        <v>1920</v>
      </c>
      <c r="K68" s="251">
        <f t="shared" ref="K68:K131" si="5">G68-P68</f>
        <v>-2577.56</v>
      </c>
      <c r="N68" s="197">
        <v>2</v>
      </c>
      <c r="O68" s="197">
        <v>3325.54</v>
      </c>
      <c r="P68" s="197">
        <f t="shared" si="4"/>
        <v>6651.08</v>
      </c>
      <c r="Q68" s="275">
        <v>0.00249487044152217</v>
      </c>
      <c r="R68" s="199">
        <v>0.907234765677581</v>
      </c>
    </row>
    <row r="69" ht="38.25" spans="1:18">
      <c r="A69" s="264" t="s">
        <v>1221</v>
      </c>
      <c r="B69" s="265" t="s">
        <v>1222</v>
      </c>
      <c r="C69" s="220" t="s">
        <v>1223</v>
      </c>
      <c r="D69" s="221" t="s">
        <v>112</v>
      </c>
      <c r="E69" s="222">
        <v>642.596406</v>
      </c>
      <c r="F69" s="222">
        <f>COTAÇÃO!I188</f>
        <v>9.1</v>
      </c>
      <c r="G69" s="222">
        <f t="shared" si="3"/>
        <v>5847.63</v>
      </c>
      <c r="H69" s="266">
        <v>0.00245863505048025</v>
      </c>
      <c r="I69" s="224">
        <v>0.909693400728061</v>
      </c>
      <c r="J69" s="234" t="str">
        <f>COTAÇÃO!$I$181</f>
        <v>ATACADO DA MADEIRA</v>
      </c>
      <c r="K69" s="251">
        <f t="shared" si="5"/>
        <v>-706.849999999999</v>
      </c>
      <c r="N69" s="222">
        <v>642.596406</v>
      </c>
      <c r="O69" s="222">
        <v>10.2</v>
      </c>
      <c r="P69" s="222">
        <f t="shared" si="4"/>
        <v>6554.48</v>
      </c>
      <c r="Q69" s="266">
        <v>0.00245863505048025</v>
      </c>
      <c r="R69" s="224">
        <v>0.909693400728061</v>
      </c>
    </row>
    <row r="70" ht="51" spans="1:18">
      <c r="A70" s="273" t="s">
        <v>1224</v>
      </c>
      <c r="B70" s="274" t="s">
        <v>1225</v>
      </c>
      <c r="C70" s="195" t="s">
        <v>630</v>
      </c>
      <c r="D70" s="196" t="s">
        <v>494</v>
      </c>
      <c r="E70" s="197">
        <v>2</v>
      </c>
      <c r="F70" s="197">
        <f>COTAÇÃO!I109</f>
        <v>4997.9</v>
      </c>
      <c r="G70" s="197">
        <f t="shared" si="3"/>
        <v>9995.8</v>
      </c>
      <c r="H70" s="275">
        <v>0.00243894940532622</v>
      </c>
      <c r="I70" s="199">
        <v>0.912132350133387</v>
      </c>
      <c r="J70" s="235" t="str">
        <f>COTAÇÃO!$I$86</f>
        <v>PHS</v>
      </c>
      <c r="K70" s="251">
        <f t="shared" si="5"/>
        <v>3493.8</v>
      </c>
      <c r="N70" s="197">
        <v>2</v>
      </c>
      <c r="O70" s="197">
        <v>3251</v>
      </c>
      <c r="P70" s="197">
        <f t="shared" si="4"/>
        <v>6502</v>
      </c>
      <c r="Q70" s="275">
        <v>0.00243894940532622</v>
      </c>
      <c r="R70" s="199">
        <v>0.912132350133387</v>
      </c>
    </row>
    <row r="71" ht="63.75" spans="1:18">
      <c r="A71" s="267" t="s">
        <v>1226</v>
      </c>
      <c r="B71" s="268" t="s">
        <v>710</v>
      </c>
      <c r="C71" s="269" t="s">
        <v>711</v>
      </c>
      <c r="D71" s="91" t="s">
        <v>494</v>
      </c>
      <c r="E71" s="270">
        <v>1</v>
      </c>
      <c r="F71" s="270">
        <v>6449.46</v>
      </c>
      <c r="G71" s="270">
        <f t="shared" si="3"/>
        <v>6449.46</v>
      </c>
      <c r="H71" s="271">
        <v>0.00241924125371812</v>
      </c>
      <c r="I71" s="272">
        <v>0.914551591387105</v>
      </c>
      <c r="K71" s="251">
        <f t="shared" si="5"/>
        <v>0</v>
      </c>
      <c r="N71" s="270">
        <v>1</v>
      </c>
      <c r="O71" s="270">
        <v>6449.46</v>
      </c>
      <c r="P71" s="270">
        <f t="shared" si="4"/>
        <v>6449.46</v>
      </c>
      <c r="Q71" s="271">
        <v>0.00241924125371812</v>
      </c>
      <c r="R71" s="272">
        <v>0.914551591387105</v>
      </c>
    </row>
    <row r="72" s="226" customFormat="1" ht="38.25" spans="1:18">
      <c r="A72" s="267" t="s">
        <v>1229</v>
      </c>
      <c r="B72" s="268" t="s">
        <v>1111</v>
      </c>
      <c r="C72" s="269" t="s">
        <v>1230</v>
      </c>
      <c r="D72" s="91" t="s">
        <v>494</v>
      </c>
      <c r="E72" s="270">
        <v>6</v>
      </c>
      <c r="F72" s="270">
        <v>993.71</v>
      </c>
      <c r="G72" s="270">
        <f t="shared" si="3"/>
        <v>5962.26</v>
      </c>
      <c r="H72" s="271">
        <v>0.00223648884672413</v>
      </c>
      <c r="I72" s="272">
        <v>0.916788080233829</v>
      </c>
      <c r="K72" s="251">
        <f t="shared" si="5"/>
        <v>0</v>
      </c>
      <c r="N72" s="270">
        <v>6</v>
      </c>
      <c r="O72" s="270">
        <v>993.71</v>
      </c>
      <c r="P72" s="270">
        <f t="shared" si="4"/>
        <v>5962.26</v>
      </c>
      <c r="Q72" s="271">
        <v>0.00223648884672413</v>
      </c>
      <c r="R72" s="272">
        <v>0.916788080233829</v>
      </c>
    </row>
    <row r="73" ht="51" spans="1:18">
      <c r="A73" s="267" t="s">
        <v>1231</v>
      </c>
      <c r="B73" s="268" t="s">
        <v>1232</v>
      </c>
      <c r="C73" s="269" t="s">
        <v>640</v>
      </c>
      <c r="D73" s="91" t="s">
        <v>494</v>
      </c>
      <c r="E73" s="270">
        <v>2</v>
      </c>
      <c r="F73" s="270">
        <v>2963.84</v>
      </c>
      <c r="G73" s="270">
        <f t="shared" si="3"/>
        <v>5927.68</v>
      </c>
      <c r="H73" s="271">
        <v>0.00222351762703232</v>
      </c>
      <c r="I73" s="272">
        <v>0.919011597860862</v>
      </c>
      <c r="K73" s="251">
        <f t="shared" si="5"/>
        <v>0</v>
      </c>
      <c r="N73" s="270">
        <v>2</v>
      </c>
      <c r="O73" s="270">
        <v>2963.84</v>
      </c>
      <c r="P73" s="270">
        <f t="shared" si="4"/>
        <v>5927.68</v>
      </c>
      <c r="Q73" s="271">
        <v>0.00222351762703232</v>
      </c>
      <c r="R73" s="272">
        <v>0.919011597860862</v>
      </c>
    </row>
    <row r="74" s="237" customFormat="1" ht="51" spans="1:18">
      <c r="A74" s="267" t="s">
        <v>1233</v>
      </c>
      <c r="B74" s="268" t="s">
        <v>1234</v>
      </c>
      <c r="C74" s="269" t="s">
        <v>656</v>
      </c>
      <c r="D74" s="91" t="s">
        <v>494</v>
      </c>
      <c r="E74" s="270">
        <v>7</v>
      </c>
      <c r="F74" s="270">
        <v>838.36</v>
      </c>
      <c r="G74" s="270">
        <f t="shared" si="3"/>
        <v>5868.52</v>
      </c>
      <c r="H74" s="271">
        <v>0.0022013262633259</v>
      </c>
      <c r="I74" s="272">
        <v>0.921212924124188</v>
      </c>
      <c r="K74" s="251">
        <f t="shared" si="5"/>
        <v>0</v>
      </c>
      <c r="N74" s="270">
        <v>7</v>
      </c>
      <c r="O74" s="270">
        <v>838.36</v>
      </c>
      <c r="P74" s="270">
        <f t="shared" si="4"/>
        <v>5868.52</v>
      </c>
      <c r="Q74" s="271">
        <v>0.0022013262633259</v>
      </c>
      <c r="R74" s="272">
        <v>0.921212924124188</v>
      </c>
    </row>
    <row r="75" ht="63.75" spans="1:18">
      <c r="A75" s="194" t="s">
        <v>1235</v>
      </c>
      <c r="B75" s="255" t="s">
        <v>1236</v>
      </c>
      <c r="C75" s="189" t="s">
        <v>620</v>
      </c>
      <c r="D75" s="190" t="s">
        <v>494</v>
      </c>
      <c r="E75" s="191">
        <v>2</v>
      </c>
      <c r="F75" s="191">
        <f>COTAÇÃO!I77</f>
        <v>2540</v>
      </c>
      <c r="G75" s="191">
        <f t="shared" si="3"/>
        <v>5080</v>
      </c>
      <c r="H75" s="256">
        <v>0.0021875298069851</v>
      </c>
      <c r="I75" s="193">
        <v>0.923400453931173</v>
      </c>
      <c r="J75" s="227" t="str">
        <f>COTAÇÃO!$I$68</f>
        <v>AVK</v>
      </c>
      <c r="K75" s="251">
        <f t="shared" si="5"/>
        <v>-751.74</v>
      </c>
      <c r="N75" s="191">
        <v>2</v>
      </c>
      <c r="O75" s="191">
        <v>2915.87</v>
      </c>
      <c r="P75" s="191">
        <f t="shared" si="4"/>
        <v>5831.74</v>
      </c>
      <c r="Q75" s="256">
        <v>0.0021875298069851</v>
      </c>
      <c r="R75" s="193">
        <v>0.923400453931173</v>
      </c>
    </row>
    <row r="76" ht="38.25" spans="1:18">
      <c r="A76" s="273" t="s">
        <v>1239</v>
      </c>
      <c r="B76" s="274" t="s">
        <v>1240</v>
      </c>
      <c r="C76" s="195" t="s">
        <v>623</v>
      </c>
      <c r="D76" s="196" t="s">
        <v>494</v>
      </c>
      <c r="E76" s="197">
        <v>4</v>
      </c>
      <c r="F76" s="197">
        <f>COTAÇÃO!J110</f>
        <v>1380</v>
      </c>
      <c r="G76" s="197">
        <f t="shared" si="3"/>
        <v>5520</v>
      </c>
      <c r="H76" s="275">
        <v>0.00206913835646079</v>
      </c>
      <c r="I76" s="199">
        <v>0.925469592287633</v>
      </c>
      <c r="J76" s="235" t="s">
        <v>1919</v>
      </c>
      <c r="K76" s="251">
        <f t="shared" si="5"/>
        <v>3.88000000000011</v>
      </c>
      <c r="N76" s="197">
        <v>4</v>
      </c>
      <c r="O76" s="197">
        <v>1379.03</v>
      </c>
      <c r="P76" s="197">
        <f t="shared" si="4"/>
        <v>5516.12</v>
      </c>
      <c r="Q76" s="275">
        <v>0.00206913835646079</v>
      </c>
      <c r="R76" s="199">
        <v>0.925469592287633</v>
      </c>
    </row>
    <row r="77" s="239" customFormat="1" ht="38.25" spans="1:18">
      <c r="A77" s="267" t="s">
        <v>1241</v>
      </c>
      <c r="B77" s="268" t="s">
        <v>1242</v>
      </c>
      <c r="C77" s="269" t="s">
        <v>1243</v>
      </c>
      <c r="D77" s="91" t="s">
        <v>494</v>
      </c>
      <c r="E77" s="270">
        <v>1</v>
      </c>
      <c r="F77" s="270">
        <v>5413.04</v>
      </c>
      <c r="G77" s="270">
        <f t="shared" si="3"/>
        <v>5413.04</v>
      </c>
      <c r="H77" s="271">
        <v>0.00203047226838004</v>
      </c>
      <c r="I77" s="272">
        <v>0.927500064556014</v>
      </c>
      <c r="K77" s="251">
        <f t="shared" si="5"/>
        <v>0</v>
      </c>
      <c r="N77" s="270">
        <v>1</v>
      </c>
      <c r="O77" s="270">
        <v>5413.04</v>
      </c>
      <c r="P77" s="270">
        <f t="shared" si="4"/>
        <v>5413.04</v>
      </c>
      <c r="Q77" s="271">
        <v>0.00203047226838004</v>
      </c>
      <c r="R77" s="272">
        <v>0.927500064556014</v>
      </c>
    </row>
    <row r="78" s="227" customFormat="1" ht="63.75" spans="1:18">
      <c r="A78" s="267" t="s">
        <v>1244</v>
      </c>
      <c r="B78" s="268" t="s">
        <v>1245</v>
      </c>
      <c r="C78" s="269" t="s">
        <v>1246</v>
      </c>
      <c r="D78" s="91" t="s">
        <v>463</v>
      </c>
      <c r="E78" s="270">
        <v>280.5</v>
      </c>
      <c r="F78" s="270">
        <v>18.49</v>
      </c>
      <c r="G78" s="270">
        <f t="shared" si="3"/>
        <v>5186.45</v>
      </c>
      <c r="H78" s="271">
        <v>0.00194547664460999</v>
      </c>
      <c r="I78" s="272">
        <v>0.929445541200624</v>
      </c>
      <c r="K78" s="251">
        <f t="shared" si="5"/>
        <v>0</v>
      </c>
      <c r="N78" s="270">
        <v>280.5</v>
      </c>
      <c r="O78" s="270">
        <v>18.49</v>
      </c>
      <c r="P78" s="270">
        <f t="shared" si="4"/>
        <v>5186.45</v>
      </c>
      <c r="Q78" s="271">
        <v>0.00194547664460999</v>
      </c>
      <c r="R78" s="272">
        <v>0.929445541200624</v>
      </c>
    </row>
    <row r="79" s="235" customFormat="1" ht="25.5" spans="1:18">
      <c r="A79" s="267" t="s">
        <v>1250</v>
      </c>
      <c r="B79" s="268" t="s">
        <v>1251</v>
      </c>
      <c r="C79" s="269" t="s">
        <v>1252</v>
      </c>
      <c r="D79" s="91" t="s">
        <v>463</v>
      </c>
      <c r="E79" s="270">
        <v>268.325668</v>
      </c>
      <c r="F79" s="270">
        <v>18.4</v>
      </c>
      <c r="G79" s="270">
        <f t="shared" si="3"/>
        <v>4937.19</v>
      </c>
      <c r="H79" s="271">
        <v>0.00185197733227969</v>
      </c>
      <c r="I79" s="272">
        <v>0.931297518532903</v>
      </c>
      <c r="K79" s="251">
        <f t="shared" si="5"/>
        <v>0</v>
      </c>
      <c r="N79" s="270">
        <v>268.325668</v>
      </c>
      <c r="O79" s="270">
        <v>18.4</v>
      </c>
      <c r="P79" s="270">
        <f t="shared" si="4"/>
        <v>4937.19</v>
      </c>
      <c r="Q79" s="271">
        <v>0.00185197733227969</v>
      </c>
      <c r="R79" s="272">
        <v>0.931297518532903</v>
      </c>
    </row>
    <row r="80" ht="25.5" spans="1:18">
      <c r="A80" s="267" t="s">
        <v>1256</v>
      </c>
      <c r="B80" s="268" t="s">
        <v>1257</v>
      </c>
      <c r="C80" s="269" t="s">
        <v>604</v>
      </c>
      <c r="D80" s="91" t="s">
        <v>494</v>
      </c>
      <c r="E80" s="270">
        <v>2</v>
      </c>
      <c r="F80" s="270">
        <v>2338.07</v>
      </c>
      <c r="G80" s="270">
        <f t="shared" si="3"/>
        <v>4676.14</v>
      </c>
      <c r="H80" s="271">
        <v>0.00175405550172595</v>
      </c>
      <c r="I80" s="272">
        <v>0.933051574034629</v>
      </c>
      <c r="K80" s="251">
        <f t="shared" si="5"/>
        <v>0</v>
      </c>
      <c r="N80" s="270">
        <v>2</v>
      </c>
      <c r="O80" s="270">
        <v>2338.07</v>
      </c>
      <c r="P80" s="270">
        <f t="shared" si="4"/>
        <v>4676.14</v>
      </c>
      <c r="Q80" s="271">
        <v>0.00175405550172595</v>
      </c>
      <c r="R80" s="272">
        <v>0.933051574034629</v>
      </c>
    </row>
    <row r="81" ht="38.25" spans="1:18">
      <c r="A81" s="273" t="s">
        <v>1258</v>
      </c>
      <c r="B81" s="274" t="s">
        <v>1259</v>
      </c>
      <c r="C81" s="195" t="s">
        <v>697</v>
      </c>
      <c r="D81" s="196" t="s">
        <v>494</v>
      </c>
      <c r="E81" s="197">
        <v>1</v>
      </c>
      <c r="F81" s="197">
        <f>COTAÇÃO!K111</f>
        <v>3403.67</v>
      </c>
      <c r="G81" s="197">
        <f t="shared" si="3"/>
        <v>3403.67</v>
      </c>
      <c r="H81" s="275">
        <v>0.00173576150564817</v>
      </c>
      <c r="I81" s="199">
        <v>0.934787335540277</v>
      </c>
      <c r="J81" s="235" t="s">
        <v>1920</v>
      </c>
      <c r="K81" s="251">
        <f t="shared" si="5"/>
        <v>-1223.7</v>
      </c>
      <c r="N81" s="197">
        <v>1</v>
      </c>
      <c r="O81" s="197">
        <v>4627.37</v>
      </c>
      <c r="P81" s="197">
        <f t="shared" si="4"/>
        <v>4627.37</v>
      </c>
      <c r="Q81" s="275">
        <v>0.00173576150564817</v>
      </c>
      <c r="R81" s="199">
        <v>0.934787335540277</v>
      </c>
    </row>
    <row r="82" s="235" customFormat="1" ht="38.25" spans="1:18">
      <c r="A82" s="273" t="s">
        <v>1260</v>
      </c>
      <c r="B82" s="274" t="s">
        <v>1261</v>
      </c>
      <c r="C82" s="195" t="s">
        <v>653</v>
      </c>
      <c r="D82" s="196" t="s">
        <v>494</v>
      </c>
      <c r="E82" s="197">
        <v>1</v>
      </c>
      <c r="F82" s="197">
        <f>COTAÇÃO!J112</f>
        <v>2171.46</v>
      </c>
      <c r="G82" s="197">
        <f t="shared" si="3"/>
        <v>2171.46</v>
      </c>
      <c r="H82" s="275">
        <v>0.00165051455980774</v>
      </c>
      <c r="I82" s="199">
        <v>0.936437850100085</v>
      </c>
      <c r="J82" s="235" t="s">
        <v>1919</v>
      </c>
      <c r="K82" s="251">
        <f t="shared" si="5"/>
        <v>-2228.65</v>
      </c>
      <c r="N82" s="197">
        <v>1</v>
      </c>
      <c r="O82" s="197">
        <v>4400.11</v>
      </c>
      <c r="P82" s="197">
        <f t="shared" si="4"/>
        <v>4400.11</v>
      </c>
      <c r="Q82" s="275">
        <v>0.00165051455980774</v>
      </c>
      <c r="R82" s="199">
        <v>0.936437850100085</v>
      </c>
    </row>
    <row r="83" ht="38.25" spans="1:18">
      <c r="A83" s="273" t="s">
        <v>1262</v>
      </c>
      <c r="B83" s="274" t="s">
        <v>1263</v>
      </c>
      <c r="C83" s="195" t="s">
        <v>694</v>
      </c>
      <c r="D83" s="196" t="s">
        <v>494</v>
      </c>
      <c r="E83" s="197">
        <v>1</v>
      </c>
      <c r="F83" s="197">
        <f>COTAÇÃO!J113</f>
        <v>6190.8</v>
      </c>
      <c r="G83" s="197">
        <f t="shared" si="3"/>
        <v>6190.8</v>
      </c>
      <c r="H83" s="275">
        <v>0.00162305293477484</v>
      </c>
      <c r="I83" s="199">
        <v>0.93806090303486</v>
      </c>
      <c r="J83" s="235" t="s">
        <v>1919</v>
      </c>
      <c r="K83" s="251">
        <f t="shared" si="5"/>
        <v>1863.9</v>
      </c>
      <c r="N83" s="197">
        <v>1</v>
      </c>
      <c r="O83" s="197">
        <v>4326.9</v>
      </c>
      <c r="P83" s="197">
        <f t="shared" si="4"/>
        <v>4326.9</v>
      </c>
      <c r="Q83" s="275">
        <v>0.00162305293477484</v>
      </c>
      <c r="R83" s="199">
        <v>0.93806090303486</v>
      </c>
    </row>
    <row r="84" s="230" customFormat="1" ht="51" spans="1:18">
      <c r="A84" s="273" t="s">
        <v>1264</v>
      </c>
      <c r="B84" s="274" t="s">
        <v>1265</v>
      </c>
      <c r="C84" s="195" t="s">
        <v>671</v>
      </c>
      <c r="D84" s="196" t="s">
        <v>494</v>
      </c>
      <c r="E84" s="197">
        <v>1</v>
      </c>
      <c r="F84" s="197">
        <f>COTAÇÃO!K114</f>
        <v>2777.29</v>
      </c>
      <c r="G84" s="197">
        <f t="shared" si="3"/>
        <v>2777.29</v>
      </c>
      <c r="H84" s="275">
        <v>0.00161899051981642</v>
      </c>
      <c r="I84" s="199">
        <v>0.939679893554676</v>
      </c>
      <c r="J84" s="235" t="s">
        <v>1920</v>
      </c>
      <c r="K84" s="251">
        <f t="shared" si="5"/>
        <v>-1538.78</v>
      </c>
      <c r="N84" s="197">
        <v>1</v>
      </c>
      <c r="O84" s="197">
        <v>4316.07</v>
      </c>
      <c r="P84" s="197">
        <f t="shared" si="4"/>
        <v>4316.07</v>
      </c>
      <c r="Q84" s="275">
        <v>0.00161899051981642</v>
      </c>
      <c r="R84" s="199">
        <v>0.939679893554676</v>
      </c>
    </row>
    <row r="85" ht="38.25" spans="1:18">
      <c r="A85" s="273" t="s">
        <v>1266</v>
      </c>
      <c r="B85" s="274" t="s">
        <v>1267</v>
      </c>
      <c r="C85" s="195" t="s">
        <v>695</v>
      </c>
      <c r="D85" s="196" t="s">
        <v>494</v>
      </c>
      <c r="E85" s="197">
        <v>2</v>
      </c>
      <c r="F85" s="197">
        <f>COTAÇÃO!J115</f>
        <v>1946.11</v>
      </c>
      <c r="G85" s="197">
        <f t="shared" si="3"/>
        <v>3892.22</v>
      </c>
      <c r="H85" s="275">
        <v>0.00160250454221505</v>
      </c>
      <c r="I85" s="199">
        <v>0.941282398096891</v>
      </c>
      <c r="J85" s="235" t="s">
        <v>1919</v>
      </c>
      <c r="K85" s="251">
        <f t="shared" si="5"/>
        <v>-379.9</v>
      </c>
      <c r="N85" s="197">
        <v>2</v>
      </c>
      <c r="O85" s="197">
        <v>2136.06</v>
      </c>
      <c r="P85" s="197">
        <f t="shared" si="4"/>
        <v>4272.12</v>
      </c>
      <c r="Q85" s="275">
        <v>0.00160250454221505</v>
      </c>
      <c r="R85" s="199">
        <v>0.941282398096891</v>
      </c>
    </row>
    <row r="86" ht="51" spans="1:18">
      <c r="A86" s="267" t="s">
        <v>1268</v>
      </c>
      <c r="B86" s="268" t="s">
        <v>706</v>
      </c>
      <c r="C86" s="269" t="s">
        <v>707</v>
      </c>
      <c r="D86" s="91" t="s">
        <v>476</v>
      </c>
      <c r="E86" s="270">
        <v>7.9</v>
      </c>
      <c r="F86" s="270">
        <v>540.12</v>
      </c>
      <c r="G86" s="270">
        <f t="shared" si="3"/>
        <v>4266.95</v>
      </c>
      <c r="H86" s="271">
        <v>0.00160056523608993</v>
      </c>
      <c r="I86" s="272">
        <v>0.942882963332981</v>
      </c>
      <c r="K86" s="251">
        <f t="shared" si="5"/>
        <v>0</v>
      </c>
      <c r="N86" s="270">
        <v>7.9</v>
      </c>
      <c r="O86" s="270">
        <v>540.12</v>
      </c>
      <c r="P86" s="270">
        <f t="shared" si="4"/>
        <v>4266.95</v>
      </c>
      <c r="Q86" s="271">
        <v>0.00160056523608993</v>
      </c>
      <c r="R86" s="272">
        <v>0.942882963332981</v>
      </c>
    </row>
    <row r="87" s="239" customFormat="1" ht="38.25" spans="1:18">
      <c r="A87" s="273" t="s">
        <v>1269</v>
      </c>
      <c r="B87" s="274" t="s">
        <v>1270</v>
      </c>
      <c r="C87" s="195" t="s">
        <v>667</v>
      </c>
      <c r="D87" s="196" t="s">
        <v>494</v>
      </c>
      <c r="E87" s="197">
        <v>1</v>
      </c>
      <c r="F87" s="197">
        <f>COTAÇÃO!J116</f>
        <v>4633.23</v>
      </c>
      <c r="G87" s="197">
        <f t="shared" si="3"/>
        <v>4633.23</v>
      </c>
      <c r="H87" s="275">
        <v>0.00158550091617023</v>
      </c>
      <c r="I87" s="199">
        <v>0.944468464249151</v>
      </c>
      <c r="J87" s="235" t="s">
        <v>1919</v>
      </c>
      <c r="K87" s="251">
        <f t="shared" si="5"/>
        <v>406.44</v>
      </c>
      <c r="N87" s="197">
        <v>1</v>
      </c>
      <c r="O87" s="197">
        <v>4226.79</v>
      </c>
      <c r="P87" s="197">
        <f t="shared" si="4"/>
        <v>4226.79</v>
      </c>
      <c r="Q87" s="275">
        <v>0.00158550091617023</v>
      </c>
      <c r="R87" s="199">
        <v>0.944468464249151</v>
      </c>
    </row>
    <row r="88" spans="1:18">
      <c r="A88" s="267" t="s">
        <v>1271</v>
      </c>
      <c r="B88" s="268" t="s">
        <v>1272</v>
      </c>
      <c r="C88" s="269" t="s">
        <v>1273</v>
      </c>
      <c r="D88" s="91" t="s">
        <v>463</v>
      </c>
      <c r="E88" s="270">
        <v>6451.313437</v>
      </c>
      <c r="F88" s="270">
        <v>0.65</v>
      </c>
      <c r="G88" s="270">
        <f t="shared" si="3"/>
        <v>4193.35</v>
      </c>
      <c r="H88" s="271">
        <v>0.00157295731910561</v>
      </c>
      <c r="I88" s="272">
        <v>0.946041421568257</v>
      </c>
      <c r="K88" s="251">
        <f t="shared" si="5"/>
        <v>0</v>
      </c>
      <c r="N88" s="270">
        <v>6451.313437</v>
      </c>
      <c r="O88" s="270">
        <v>0.65</v>
      </c>
      <c r="P88" s="270">
        <f t="shared" si="4"/>
        <v>4193.35</v>
      </c>
      <c r="Q88" s="271">
        <v>0.00157295731910561</v>
      </c>
      <c r="R88" s="272">
        <v>0.946041421568257</v>
      </c>
    </row>
    <row r="89" ht="38.25" spans="1:18">
      <c r="A89" s="273" t="s">
        <v>1274</v>
      </c>
      <c r="B89" s="274" t="s">
        <v>1275</v>
      </c>
      <c r="C89" s="195" t="s">
        <v>674</v>
      </c>
      <c r="D89" s="196" t="s">
        <v>494</v>
      </c>
      <c r="E89" s="197">
        <v>1</v>
      </c>
      <c r="F89" s="197">
        <f>COTAÇÃO!J117</f>
        <v>3717.98</v>
      </c>
      <c r="G89" s="197">
        <f t="shared" si="3"/>
        <v>3717.98</v>
      </c>
      <c r="H89" s="275">
        <v>0.0015635758788369</v>
      </c>
      <c r="I89" s="199">
        <v>0.947604997447094</v>
      </c>
      <c r="J89" s="235" t="s">
        <v>1919</v>
      </c>
      <c r="K89" s="251">
        <f t="shared" si="5"/>
        <v>-450.36</v>
      </c>
      <c r="N89" s="197">
        <v>1</v>
      </c>
      <c r="O89" s="197">
        <v>4168.34</v>
      </c>
      <c r="P89" s="197">
        <f t="shared" si="4"/>
        <v>4168.34</v>
      </c>
      <c r="Q89" s="275">
        <v>0.0015635758788369</v>
      </c>
      <c r="R89" s="199">
        <v>0.947604997447094</v>
      </c>
    </row>
    <row r="90" ht="102" spans="1:18">
      <c r="A90" s="267" t="s">
        <v>1276</v>
      </c>
      <c r="B90" s="268" t="s">
        <v>1277</v>
      </c>
      <c r="C90" s="269" t="s">
        <v>664</v>
      </c>
      <c r="D90" s="91" t="s">
        <v>494</v>
      </c>
      <c r="E90" s="270">
        <v>100</v>
      </c>
      <c r="F90" s="270">
        <v>40.33</v>
      </c>
      <c r="G90" s="270">
        <f t="shared" si="3"/>
        <v>4033</v>
      </c>
      <c r="H90" s="271">
        <v>0.00151280882062145</v>
      </c>
      <c r="I90" s="272">
        <v>0.949117806267715</v>
      </c>
      <c r="K90" s="251">
        <f t="shared" si="5"/>
        <v>0</v>
      </c>
      <c r="N90" s="270">
        <v>100</v>
      </c>
      <c r="O90" s="270">
        <v>40.33</v>
      </c>
      <c r="P90" s="270">
        <f t="shared" si="4"/>
        <v>4033</v>
      </c>
      <c r="Q90" s="271">
        <v>0.00151280882062145</v>
      </c>
      <c r="R90" s="272">
        <v>0.949117806267715</v>
      </c>
    </row>
    <row r="91" s="235" customFormat="1" ht="38.25" spans="1:18">
      <c r="A91" s="273" t="s">
        <v>1278</v>
      </c>
      <c r="B91" s="274" t="s">
        <v>1279</v>
      </c>
      <c r="C91" s="195" t="s">
        <v>696</v>
      </c>
      <c r="D91" s="196" t="s">
        <v>494</v>
      </c>
      <c r="E91" s="197">
        <v>1</v>
      </c>
      <c r="F91" s="197">
        <f>COTAÇÃO!J118</f>
        <v>5021.94</v>
      </c>
      <c r="G91" s="197">
        <f t="shared" si="3"/>
        <v>5021.94</v>
      </c>
      <c r="H91" s="275">
        <v>0.00150049779024882</v>
      </c>
      <c r="I91" s="199">
        <v>0.950618304057964</v>
      </c>
      <c r="J91" s="235" t="s">
        <v>1919</v>
      </c>
      <c r="K91" s="251">
        <f t="shared" si="5"/>
        <v>1021.76</v>
      </c>
      <c r="N91" s="197">
        <v>1</v>
      </c>
      <c r="O91" s="197">
        <v>4000.18</v>
      </c>
      <c r="P91" s="197">
        <f t="shared" si="4"/>
        <v>4000.18</v>
      </c>
      <c r="Q91" s="275">
        <v>0.00150049779024882</v>
      </c>
      <c r="R91" s="199">
        <v>0.950618304057964</v>
      </c>
    </row>
    <row r="92" s="235" customFormat="1" ht="25.5" spans="1:18">
      <c r="A92" s="267" t="s">
        <v>1282</v>
      </c>
      <c r="B92" s="268" t="s">
        <v>1283</v>
      </c>
      <c r="C92" s="269" t="s">
        <v>1284</v>
      </c>
      <c r="D92" s="91" t="s">
        <v>112</v>
      </c>
      <c r="E92" s="270">
        <v>1009.747212</v>
      </c>
      <c r="F92" s="270">
        <v>3.94</v>
      </c>
      <c r="G92" s="270">
        <f t="shared" si="3"/>
        <v>3978.4</v>
      </c>
      <c r="H92" s="271">
        <v>0.00149232794742384</v>
      </c>
      <c r="I92" s="272">
        <v>0.952110632005388</v>
      </c>
      <c r="K92" s="251">
        <f t="shared" si="5"/>
        <v>0</v>
      </c>
      <c r="N92" s="270">
        <v>1009.747212</v>
      </c>
      <c r="O92" s="270">
        <v>3.94</v>
      </c>
      <c r="P92" s="270">
        <f t="shared" si="4"/>
        <v>3978.4</v>
      </c>
      <c r="Q92" s="271">
        <v>0.00149232794742384</v>
      </c>
      <c r="R92" s="272">
        <v>0.952110632005388</v>
      </c>
    </row>
    <row r="93" ht="25.5" spans="1:18">
      <c r="A93" s="273" t="s">
        <v>1285</v>
      </c>
      <c r="B93" s="274" t="s">
        <v>1286</v>
      </c>
      <c r="C93" s="195" t="s">
        <v>680</v>
      </c>
      <c r="D93" s="196" t="s">
        <v>494</v>
      </c>
      <c r="E93" s="197">
        <v>1</v>
      </c>
      <c r="F93" s="197">
        <f>COTAÇÃO!K119</f>
        <v>2617.02</v>
      </c>
      <c r="G93" s="197">
        <f t="shared" si="3"/>
        <v>2617.02</v>
      </c>
      <c r="H93" s="275">
        <v>0.00148279271305236</v>
      </c>
      <c r="I93" s="199">
        <v>0.95359342471844</v>
      </c>
      <c r="J93" s="235" t="s">
        <v>1920</v>
      </c>
      <c r="K93" s="251">
        <f t="shared" si="5"/>
        <v>-1335.96</v>
      </c>
      <c r="N93" s="197">
        <v>1</v>
      </c>
      <c r="O93" s="197">
        <v>3952.98</v>
      </c>
      <c r="P93" s="197">
        <f t="shared" si="4"/>
        <v>3952.98</v>
      </c>
      <c r="Q93" s="275">
        <v>0.00148279271305236</v>
      </c>
      <c r="R93" s="199">
        <v>0.95359342471844</v>
      </c>
    </row>
    <row r="94" s="235" customFormat="1" ht="51" spans="1:18">
      <c r="A94" s="267" t="s">
        <v>1289</v>
      </c>
      <c r="B94" s="268" t="s">
        <v>1290</v>
      </c>
      <c r="C94" s="269" t="s">
        <v>720</v>
      </c>
      <c r="D94" s="91" t="s">
        <v>494</v>
      </c>
      <c r="E94" s="270">
        <v>12</v>
      </c>
      <c r="F94" s="270">
        <v>328.53</v>
      </c>
      <c r="G94" s="270">
        <f t="shared" si="3"/>
        <v>3942.36</v>
      </c>
      <c r="H94" s="271">
        <v>0.00147880907068316</v>
      </c>
      <c r="I94" s="272">
        <v>0.955072233789124</v>
      </c>
      <c r="K94" s="251">
        <f t="shared" si="5"/>
        <v>0</v>
      </c>
      <c r="N94" s="270">
        <v>12</v>
      </c>
      <c r="O94" s="270">
        <v>328.53</v>
      </c>
      <c r="P94" s="270">
        <f t="shared" si="4"/>
        <v>3942.36</v>
      </c>
      <c r="Q94" s="271">
        <v>0.00147880907068316</v>
      </c>
      <c r="R94" s="272">
        <v>0.955072233789124</v>
      </c>
    </row>
    <row r="95" s="227" customFormat="1" ht="51" spans="1:18">
      <c r="A95" s="267" t="s">
        <v>1291</v>
      </c>
      <c r="B95" s="268" t="s">
        <v>1292</v>
      </c>
      <c r="C95" s="269" t="s">
        <v>658</v>
      </c>
      <c r="D95" s="91" t="s">
        <v>494</v>
      </c>
      <c r="E95" s="270">
        <v>35</v>
      </c>
      <c r="F95" s="270">
        <v>112.58</v>
      </c>
      <c r="G95" s="270">
        <f t="shared" si="3"/>
        <v>3940.3</v>
      </c>
      <c r="H95" s="271">
        <v>0.00147803634909365</v>
      </c>
      <c r="I95" s="272">
        <v>0.956550270138217</v>
      </c>
      <c r="K95" s="251">
        <f t="shared" si="5"/>
        <v>0</v>
      </c>
      <c r="N95" s="270">
        <v>35</v>
      </c>
      <c r="O95" s="270">
        <v>112.58</v>
      </c>
      <c r="P95" s="270">
        <f t="shared" si="4"/>
        <v>3940.3</v>
      </c>
      <c r="Q95" s="271">
        <v>0.00147803634909365</v>
      </c>
      <c r="R95" s="272">
        <v>0.956550270138217</v>
      </c>
    </row>
    <row r="96" s="237" customFormat="1" ht="51" spans="1:18">
      <c r="A96" s="273" t="s">
        <v>1293</v>
      </c>
      <c r="B96" s="274" t="s">
        <v>1294</v>
      </c>
      <c r="C96" s="195" t="s">
        <v>688</v>
      </c>
      <c r="D96" s="196" t="s">
        <v>494</v>
      </c>
      <c r="E96" s="197">
        <v>1</v>
      </c>
      <c r="F96" s="197">
        <f>COTAÇÃO!K120</f>
        <v>3508.61</v>
      </c>
      <c r="G96" s="197">
        <f t="shared" si="3"/>
        <v>3508.61</v>
      </c>
      <c r="H96" s="275">
        <v>0.00145915718521022</v>
      </c>
      <c r="I96" s="199">
        <v>0.958009427323427</v>
      </c>
      <c r="J96" s="235" t="s">
        <v>1920</v>
      </c>
      <c r="K96" s="251">
        <f t="shared" si="5"/>
        <v>-381.36</v>
      </c>
      <c r="N96" s="197">
        <v>1</v>
      </c>
      <c r="O96" s="197">
        <v>3889.97</v>
      </c>
      <c r="P96" s="197">
        <f t="shared" si="4"/>
        <v>3889.97</v>
      </c>
      <c r="Q96" s="275">
        <v>0.00145915718521022</v>
      </c>
      <c r="R96" s="199">
        <v>0.958009427323427</v>
      </c>
    </row>
    <row r="97" ht="63.75" spans="1:18">
      <c r="A97" s="267" t="s">
        <v>1299</v>
      </c>
      <c r="B97" s="268" t="s">
        <v>1300</v>
      </c>
      <c r="C97" s="269" t="s">
        <v>647</v>
      </c>
      <c r="D97" s="91" t="s">
        <v>494</v>
      </c>
      <c r="E97" s="270">
        <v>1</v>
      </c>
      <c r="F97" s="270">
        <v>3726</v>
      </c>
      <c r="G97" s="270">
        <f t="shared" si="3"/>
        <v>3726</v>
      </c>
      <c r="H97" s="271">
        <v>0.0013976507973309</v>
      </c>
      <c r="I97" s="272">
        <v>0.959407078120758</v>
      </c>
      <c r="K97" s="251">
        <f t="shared" si="5"/>
        <v>0</v>
      </c>
      <c r="N97" s="270">
        <v>1</v>
      </c>
      <c r="O97" s="270">
        <v>3726</v>
      </c>
      <c r="P97" s="270">
        <f t="shared" si="4"/>
        <v>3726</v>
      </c>
      <c r="Q97" s="271">
        <v>0.0013976507973309</v>
      </c>
      <c r="R97" s="272">
        <v>0.959407078120758</v>
      </c>
    </row>
    <row r="98" s="227" customFormat="1" ht="63.75" spans="1:18">
      <c r="A98" s="194" t="s">
        <v>1301</v>
      </c>
      <c r="B98" s="255" t="s">
        <v>1302</v>
      </c>
      <c r="C98" s="189" t="s">
        <v>621</v>
      </c>
      <c r="D98" s="190" t="s">
        <v>494</v>
      </c>
      <c r="E98" s="191">
        <v>4</v>
      </c>
      <c r="F98" s="191">
        <f>COTAÇÃO!I78</f>
        <v>890</v>
      </c>
      <c r="G98" s="191">
        <f t="shared" si="3"/>
        <v>3560</v>
      </c>
      <c r="H98" s="256">
        <v>0.00124685755510679</v>
      </c>
      <c r="I98" s="193">
        <v>0.960653935675865</v>
      </c>
      <c r="J98" s="227" t="str">
        <f>COTAÇÃO!$I$68</f>
        <v>AVK</v>
      </c>
      <c r="K98" s="251">
        <f t="shared" si="5"/>
        <v>236</v>
      </c>
      <c r="N98" s="191">
        <v>4</v>
      </c>
      <c r="O98" s="191">
        <v>831</v>
      </c>
      <c r="P98" s="191">
        <f t="shared" si="4"/>
        <v>3324</v>
      </c>
      <c r="Q98" s="256">
        <v>0.00124685755510679</v>
      </c>
      <c r="R98" s="193">
        <v>0.960653935675865</v>
      </c>
    </row>
    <row r="99" s="227" customFormat="1" ht="51" spans="1:18">
      <c r="A99" s="267" t="s">
        <v>1303</v>
      </c>
      <c r="B99" s="268" t="s">
        <v>1304</v>
      </c>
      <c r="C99" s="269" t="s">
        <v>629</v>
      </c>
      <c r="D99" s="91" t="s">
        <v>494</v>
      </c>
      <c r="E99" s="270">
        <v>2</v>
      </c>
      <c r="F99" s="270">
        <v>1623.58</v>
      </c>
      <c r="G99" s="270">
        <f t="shared" si="3"/>
        <v>3247.16</v>
      </c>
      <c r="H99" s="271">
        <v>0.00121803428960306</v>
      </c>
      <c r="I99" s="272">
        <v>0.961871969965468</v>
      </c>
      <c r="K99" s="251">
        <f t="shared" si="5"/>
        <v>0</v>
      </c>
      <c r="N99" s="270">
        <v>2</v>
      </c>
      <c r="O99" s="270">
        <v>1623.58</v>
      </c>
      <c r="P99" s="270">
        <f t="shared" si="4"/>
        <v>3247.16</v>
      </c>
      <c r="Q99" s="271">
        <v>0.00121803428960306</v>
      </c>
      <c r="R99" s="272">
        <v>0.961871969965468</v>
      </c>
    </row>
    <row r="100" s="236" customFormat="1" ht="38.25" spans="1:18">
      <c r="A100" s="273" t="s">
        <v>1305</v>
      </c>
      <c r="B100" s="274" t="s">
        <v>1306</v>
      </c>
      <c r="C100" s="195" t="s">
        <v>690</v>
      </c>
      <c r="D100" s="196" t="s">
        <v>112</v>
      </c>
      <c r="E100" s="197">
        <v>4</v>
      </c>
      <c r="F100" s="197">
        <f>COTAÇÃO!J121</f>
        <v>904.0625</v>
      </c>
      <c r="G100" s="197">
        <f t="shared" si="3"/>
        <v>3616.25</v>
      </c>
      <c r="H100" s="275">
        <v>0.00120973691020506</v>
      </c>
      <c r="I100" s="199">
        <v>0.963081706875673</v>
      </c>
      <c r="J100" s="235" t="s">
        <v>1920</v>
      </c>
      <c r="K100" s="251">
        <f t="shared" si="5"/>
        <v>391.21</v>
      </c>
      <c r="N100" s="197">
        <v>4</v>
      </c>
      <c r="O100" s="197">
        <v>806.26</v>
      </c>
      <c r="P100" s="197">
        <f t="shared" si="4"/>
        <v>3225.04</v>
      </c>
      <c r="Q100" s="275">
        <v>0.00120973691020506</v>
      </c>
      <c r="R100" s="199">
        <v>0.963081706875673</v>
      </c>
    </row>
    <row r="101" s="237" customFormat="1" ht="89.25" spans="1:18">
      <c r="A101" s="267" t="s">
        <v>1307</v>
      </c>
      <c r="B101" s="268" t="s">
        <v>1308</v>
      </c>
      <c r="C101" s="269" t="s">
        <v>1309</v>
      </c>
      <c r="D101" s="91" t="s">
        <v>494</v>
      </c>
      <c r="E101" s="270">
        <v>216</v>
      </c>
      <c r="F101" s="270">
        <v>14.28</v>
      </c>
      <c r="G101" s="270">
        <f t="shared" si="3"/>
        <v>3084.48</v>
      </c>
      <c r="H101" s="271">
        <v>0.0011570117904861</v>
      </c>
      <c r="I101" s="272">
        <v>0.964238718666159</v>
      </c>
      <c r="K101" s="251">
        <f t="shared" si="5"/>
        <v>0</v>
      </c>
      <c r="N101" s="270">
        <v>216</v>
      </c>
      <c r="O101" s="270">
        <v>14.28</v>
      </c>
      <c r="P101" s="270">
        <f t="shared" si="4"/>
        <v>3084.48</v>
      </c>
      <c r="Q101" s="271">
        <v>0.0011570117904861</v>
      </c>
      <c r="R101" s="272">
        <v>0.964238718666159</v>
      </c>
    </row>
    <row r="102" s="237" customFormat="1" ht="38.25" spans="1:18">
      <c r="A102" s="267" t="s">
        <v>1318</v>
      </c>
      <c r="B102" s="268" t="s">
        <v>723</v>
      </c>
      <c r="C102" s="269" t="s">
        <v>724</v>
      </c>
      <c r="D102" s="91" t="s">
        <v>476</v>
      </c>
      <c r="E102" s="270">
        <v>58</v>
      </c>
      <c r="F102" s="270">
        <v>49.35</v>
      </c>
      <c r="G102" s="270">
        <f t="shared" si="3"/>
        <v>2862.3</v>
      </c>
      <c r="H102" s="271">
        <v>0.0010736703910897</v>
      </c>
      <c r="I102" s="272">
        <v>0.965312389057249</v>
      </c>
      <c r="K102" s="251">
        <f t="shared" si="5"/>
        <v>0</v>
      </c>
      <c r="N102" s="270">
        <v>58</v>
      </c>
      <c r="O102" s="270">
        <v>49.35</v>
      </c>
      <c r="P102" s="270">
        <f t="shared" si="4"/>
        <v>2862.3</v>
      </c>
      <c r="Q102" s="271">
        <v>0.0010736703910897</v>
      </c>
      <c r="R102" s="272">
        <v>0.965312389057249</v>
      </c>
    </row>
    <row r="103" ht="38.25" spans="1:18">
      <c r="A103" s="273" t="s">
        <v>1319</v>
      </c>
      <c r="B103" s="274" t="s">
        <v>1320</v>
      </c>
      <c r="C103" s="195" t="s">
        <v>691</v>
      </c>
      <c r="D103" s="196" t="s">
        <v>112</v>
      </c>
      <c r="E103" s="197">
        <v>2</v>
      </c>
      <c r="F103" s="197">
        <f>COTAÇÃO!I122</f>
        <v>2094.47</v>
      </c>
      <c r="G103" s="197">
        <f t="shared" si="3"/>
        <v>4188.94</v>
      </c>
      <c r="H103" s="275">
        <v>0.00107319025340302</v>
      </c>
      <c r="I103" s="199">
        <v>0.966385579310652</v>
      </c>
      <c r="J103" s="235" t="str">
        <f>COTAÇÃO!$I$86</f>
        <v>PHS</v>
      </c>
      <c r="K103" s="251">
        <f t="shared" si="5"/>
        <v>1327.92</v>
      </c>
      <c r="N103" s="197">
        <v>2</v>
      </c>
      <c r="O103" s="197">
        <v>1430.51</v>
      </c>
      <c r="P103" s="197">
        <f t="shared" si="4"/>
        <v>2861.02</v>
      </c>
      <c r="Q103" s="275">
        <v>0.00107319025340302</v>
      </c>
      <c r="R103" s="199">
        <v>0.966385579310652</v>
      </c>
    </row>
    <row r="104" s="235" customFormat="1" ht="38.25" spans="1:18">
      <c r="A104" s="273" t="s">
        <v>1321</v>
      </c>
      <c r="B104" s="274" t="s">
        <v>1322</v>
      </c>
      <c r="C104" s="195" t="s">
        <v>669</v>
      </c>
      <c r="D104" s="196" t="s">
        <v>494</v>
      </c>
      <c r="E104" s="197">
        <v>3</v>
      </c>
      <c r="F104" s="197">
        <f>COTAÇÃO!I123</f>
        <v>1145.45</v>
      </c>
      <c r="G104" s="197">
        <f t="shared" si="3"/>
        <v>3436.35</v>
      </c>
      <c r="H104" s="275">
        <v>0.00103902170505925</v>
      </c>
      <c r="I104" s="199">
        <v>0.967424601015711</v>
      </c>
      <c r="J104" s="235" t="str">
        <f>COTAÇÃO!$I$86</f>
        <v>PHS</v>
      </c>
      <c r="K104" s="251">
        <f t="shared" si="5"/>
        <v>666.42</v>
      </c>
      <c r="N104" s="197">
        <v>3</v>
      </c>
      <c r="O104" s="197">
        <v>923.31</v>
      </c>
      <c r="P104" s="197">
        <f t="shared" si="4"/>
        <v>2769.93</v>
      </c>
      <c r="Q104" s="275">
        <v>0.00103902170505925</v>
      </c>
      <c r="R104" s="199">
        <v>0.967424601015711</v>
      </c>
    </row>
    <row r="105" ht="38.25" spans="1:18">
      <c r="A105" s="267" t="s">
        <v>1323</v>
      </c>
      <c r="B105" s="268" t="s">
        <v>1324</v>
      </c>
      <c r="C105" s="269" t="s">
        <v>634</v>
      </c>
      <c r="D105" s="91" t="s">
        <v>494</v>
      </c>
      <c r="E105" s="270">
        <v>1</v>
      </c>
      <c r="F105" s="270">
        <v>2733.71</v>
      </c>
      <c r="G105" s="270">
        <f t="shared" si="3"/>
        <v>2733.71</v>
      </c>
      <c r="H105" s="271">
        <v>0.00102543530895637</v>
      </c>
      <c r="I105" s="272">
        <v>0.968450036324668</v>
      </c>
      <c r="K105" s="251">
        <f t="shared" si="5"/>
        <v>0</v>
      </c>
      <c r="N105" s="270">
        <v>1</v>
      </c>
      <c r="O105" s="270">
        <v>2733.71</v>
      </c>
      <c r="P105" s="270">
        <f t="shared" si="4"/>
        <v>2733.71</v>
      </c>
      <c r="Q105" s="271">
        <v>0.00102543530895637</v>
      </c>
      <c r="R105" s="272">
        <v>0.968450036324668</v>
      </c>
    </row>
    <row r="106" s="238" customFormat="1" ht="25.5" spans="1:18">
      <c r="A106" s="267" t="s">
        <v>1325</v>
      </c>
      <c r="B106" s="268" t="s">
        <v>1326</v>
      </c>
      <c r="C106" s="269" t="s">
        <v>722</v>
      </c>
      <c r="D106" s="91" t="s">
        <v>494</v>
      </c>
      <c r="E106" s="270">
        <v>12</v>
      </c>
      <c r="F106" s="270">
        <v>222.93</v>
      </c>
      <c r="G106" s="270">
        <f t="shared" si="3"/>
        <v>2675.16</v>
      </c>
      <c r="H106" s="271">
        <v>0.00100347276086627</v>
      </c>
      <c r="I106" s="272">
        <v>0.969453509085534</v>
      </c>
      <c r="K106" s="251">
        <f t="shared" si="5"/>
        <v>0</v>
      </c>
      <c r="N106" s="270">
        <v>12</v>
      </c>
      <c r="O106" s="270">
        <v>222.93</v>
      </c>
      <c r="P106" s="270">
        <f t="shared" si="4"/>
        <v>2675.16</v>
      </c>
      <c r="Q106" s="271">
        <v>0.00100347276086627</v>
      </c>
      <c r="R106" s="272">
        <v>0.969453509085534</v>
      </c>
    </row>
    <row r="107" ht="25.5" spans="1:18">
      <c r="A107" s="267" t="s">
        <v>1330</v>
      </c>
      <c r="B107" s="268" t="s">
        <v>1331</v>
      </c>
      <c r="C107" s="269" t="s">
        <v>1332</v>
      </c>
      <c r="D107" s="91" t="s">
        <v>494</v>
      </c>
      <c r="E107" s="270">
        <v>1214.3318</v>
      </c>
      <c r="F107" s="270">
        <v>2.19</v>
      </c>
      <c r="G107" s="270">
        <f t="shared" si="3"/>
        <v>2659.39</v>
      </c>
      <c r="H107" s="271">
        <v>0.0009975573145233</v>
      </c>
      <c r="I107" s="272">
        <v>0.970451066400057</v>
      </c>
      <c r="K107" s="251">
        <f t="shared" si="5"/>
        <v>0</v>
      </c>
      <c r="N107" s="270">
        <v>1214.3318</v>
      </c>
      <c r="O107" s="270">
        <v>2.19</v>
      </c>
      <c r="P107" s="270">
        <f t="shared" si="4"/>
        <v>2659.39</v>
      </c>
      <c r="Q107" s="271">
        <v>0.0009975573145233</v>
      </c>
      <c r="R107" s="272">
        <v>0.970451066400057</v>
      </c>
    </row>
    <row r="108" ht="38.25" spans="1:18">
      <c r="A108" s="267" t="s">
        <v>1333</v>
      </c>
      <c r="B108" s="268" t="s">
        <v>1334</v>
      </c>
      <c r="C108" s="269" t="s">
        <v>1335</v>
      </c>
      <c r="D108" s="91" t="s">
        <v>112</v>
      </c>
      <c r="E108" s="270">
        <v>414.187312</v>
      </c>
      <c r="F108" s="270">
        <v>6.31</v>
      </c>
      <c r="G108" s="270">
        <f t="shared" si="3"/>
        <v>2613.52</v>
      </c>
      <c r="H108" s="271">
        <v>0.000980351130391908</v>
      </c>
      <c r="I108" s="272">
        <v>0.971431417530449</v>
      </c>
      <c r="K108" s="251">
        <f t="shared" si="5"/>
        <v>0</v>
      </c>
      <c r="N108" s="270">
        <v>414.187312</v>
      </c>
      <c r="O108" s="270">
        <v>6.31</v>
      </c>
      <c r="P108" s="270">
        <f t="shared" si="4"/>
        <v>2613.52</v>
      </c>
      <c r="Q108" s="271">
        <v>0.000980351130391908</v>
      </c>
      <c r="R108" s="272">
        <v>0.971431417530449</v>
      </c>
    </row>
    <row r="109" s="227" customFormat="1" ht="38.25" spans="1:18">
      <c r="A109" s="273" t="s">
        <v>1339</v>
      </c>
      <c r="B109" s="274" t="s">
        <v>1340</v>
      </c>
      <c r="C109" s="195" t="s">
        <v>652</v>
      </c>
      <c r="D109" s="196" t="s">
        <v>494</v>
      </c>
      <c r="E109" s="197">
        <v>1</v>
      </c>
      <c r="F109" s="197">
        <f>COTAÇÃO!I124</f>
        <v>2358.14</v>
      </c>
      <c r="G109" s="197">
        <f t="shared" si="3"/>
        <v>2358.14</v>
      </c>
      <c r="H109" s="275">
        <v>0.000961929597741097</v>
      </c>
      <c r="I109" s="199">
        <v>0.97239334712819</v>
      </c>
      <c r="J109" s="235" t="str">
        <f>COTAÇÃO!$I$86</f>
        <v>PHS</v>
      </c>
      <c r="K109" s="251">
        <f t="shared" si="5"/>
        <v>-206.27</v>
      </c>
      <c r="N109" s="197">
        <v>1</v>
      </c>
      <c r="O109" s="197">
        <v>2564.41</v>
      </c>
      <c r="P109" s="197">
        <f t="shared" si="4"/>
        <v>2564.41</v>
      </c>
      <c r="Q109" s="275">
        <v>0.000961929597741097</v>
      </c>
      <c r="R109" s="199">
        <v>0.97239334712819</v>
      </c>
    </row>
    <row r="110" s="239" customFormat="1" ht="38.25" spans="1:18">
      <c r="A110" s="267" t="s">
        <v>1343</v>
      </c>
      <c r="B110" s="268" t="s">
        <v>1344</v>
      </c>
      <c r="C110" s="269" t="s">
        <v>721</v>
      </c>
      <c r="D110" s="91" t="s">
        <v>494</v>
      </c>
      <c r="E110" s="270">
        <v>12</v>
      </c>
      <c r="F110" s="270">
        <v>211.2</v>
      </c>
      <c r="G110" s="270">
        <f t="shared" si="3"/>
        <v>2534.4</v>
      </c>
      <c r="H110" s="271">
        <v>0.00095067261963377</v>
      </c>
      <c r="I110" s="272">
        <v>0.973344019747824</v>
      </c>
      <c r="K110" s="251">
        <f t="shared" si="5"/>
        <v>0</v>
      </c>
      <c r="N110" s="270">
        <v>12</v>
      </c>
      <c r="O110" s="270">
        <v>211.2</v>
      </c>
      <c r="P110" s="270">
        <f t="shared" si="4"/>
        <v>2534.4</v>
      </c>
      <c r="Q110" s="271">
        <v>0.00095067261963377</v>
      </c>
      <c r="R110" s="272">
        <v>0.973344019747824</v>
      </c>
    </row>
    <row r="111" ht="38.25" spans="1:18">
      <c r="A111" s="267" t="s">
        <v>1345</v>
      </c>
      <c r="B111" s="268" t="s">
        <v>1346</v>
      </c>
      <c r="C111" s="269" t="s">
        <v>1347</v>
      </c>
      <c r="D111" s="91" t="s">
        <v>1348</v>
      </c>
      <c r="E111" s="270">
        <v>1238.36</v>
      </c>
      <c r="F111" s="270">
        <v>1.99</v>
      </c>
      <c r="G111" s="270">
        <f t="shared" si="3"/>
        <v>2464.34</v>
      </c>
      <c r="H111" s="271">
        <v>0.000924392583439191</v>
      </c>
      <c r="I111" s="272">
        <v>0.974268412331263</v>
      </c>
      <c r="K111" s="251">
        <f t="shared" si="5"/>
        <v>0</v>
      </c>
      <c r="N111" s="270">
        <v>1238.36</v>
      </c>
      <c r="O111" s="270">
        <v>1.99</v>
      </c>
      <c r="P111" s="270">
        <f t="shared" si="4"/>
        <v>2464.34</v>
      </c>
      <c r="Q111" s="271">
        <v>0.000924392583439191</v>
      </c>
      <c r="R111" s="272">
        <v>0.974268412331263</v>
      </c>
    </row>
    <row r="112" s="234" customFormat="1" ht="63.75" spans="1:18">
      <c r="A112" s="267" t="s">
        <v>1349</v>
      </c>
      <c r="B112" s="268" t="s">
        <v>1350</v>
      </c>
      <c r="C112" s="269" t="s">
        <v>646</v>
      </c>
      <c r="D112" s="91" t="s">
        <v>494</v>
      </c>
      <c r="E112" s="270">
        <v>1</v>
      </c>
      <c r="F112" s="270">
        <v>2456.18</v>
      </c>
      <c r="G112" s="270">
        <f t="shared" si="3"/>
        <v>2456.18</v>
      </c>
      <c r="H112" s="271">
        <v>0.000921331705686582</v>
      </c>
      <c r="I112" s="272">
        <v>0.97518974403695</v>
      </c>
      <c r="K112" s="251">
        <f t="shared" si="5"/>
        <v>0</v>
      </c>
      <c r="N112" s="270">
        <v>1</v>
      </c>
      <c r="O112" s="270">
        <v>2456.18</v>
      </c>
      <c r="P112" s="270">
        <f t="shared" si="4"/>
        <v>2456.18</v>
      </c>
      <c r="Q112" s="271">
        <v>0.000921331705686582</v>
      </c>
      <c r="R112" s="272">
        <v>0.97518974403695</v>
      </c>
    </row>
    <row r="113" ht="38.25" spans="1:18">
      <c r="A113" s="273" t="s">
        <v>1353</v>
      </c>
      <c r="B113" s="274" t="s">
        <v>1354</v>
      </c>
      <c r="C113" s="195" t="s">
        <v>654</v>
      </c>
      <c r="D113" s="196" t="s">
        <v>112</v>
      </c>
      <c r="E113" s="197">
        <v>1</v>
      </c>
      <c r="F113" s="197">
        <f>COTAÇÃO!I125</f>
        <v>4543.55</v>
      </c>
      <c r="G113" s="197">
        <f t="shared" si="3"/>
        <v>4543.55</v>
      </c>
      <c r="H113" s="275">
        <v>0.000892613470301812</v>
      </c>
      <c r="I113" s="199">
        <v>0.976082357507252</v>
      </c>
      <c r="J113" s="235" t="str">
        <f>COTAÇÃO!$I$86</f>
        <v>PHS</v>
      </c>
      <c r="K113" s="251">
        <f t="shared" si="5"/>
        <v>2163.93</v>
      </c>
      <c r="N113" s="197">
        <v>1</v>
      </c>
      <c r="O113" s="197">
        <v>2379.62</v>
      </c>
      <c r="P113" s="197">
        <f t="shared" si="4"/>
        <v>2379.62</v>
      </c>
      <c r="Q113" s="275">
        <v>0.000892613470301812</v>
      </c>
      <c r="R113" s="199">
        <v>0.976082357507252</v>
      </c>
    </row>
    <row r="114" s="230" customFormat="1" ht="38.25" spans="1:18">
      <c r="A114" s="267" t="s">
        <v>1355</v>
      </c>
      <c r="B114" s="268" t="s">
        <v>1356</v>
      </c>
      <c r="C114" s="269" t="s">
        <v>1357</v>
      </c>
      <c r="D114" s="91" t="s">
        <v>112</v>
      </c>
      <c r="E114" s="270">
        <v>890.527</v>
      </c>
      <c r="F114" s="270">
        <v>2.67</v>
      </c>
      <c r="G114" s="270">
        <f t="shared" si="3"/>
        <v>2377.71</v>
      </c>
      <c r="H114" s="271">
        <v>0.000891897014847464</v>
      </c>
      <c r="I114" s="272">
        <v>0.976974254522099</v>
      </c>
      <c r="K114" s="251">
        <f t="shared" si="5"/>
        <v>0</v>
      </c>
      <c r="N114" s="270">
        <v>890.527</v>
      </c>
      <c r="O114" s="270">
        <v>2.67</v>
      </c>
      <c r="P114" s="270">
        <f t="shared" si="4"/>
        <v>2377.71</v>
      </c>
      <c r="Q114" s="271">
        <v>0.000891897014847464</v>
      </c>
      <c r="R114" s="272">
        <v>0.976974254522099</v>
      </c>
    </row>
    <row r="115" ht="25.5" spans="1:18">
      <c r="A115" s="267" t="s">
        <v>1361</v>
      </c>
      <c r="B115" s="268" t="s">
        <v>1123</v>
      </c>
      <c r="C115" s="269" t="s">
        <v>1362</v>
      </c>
      <c r="D115" s="91" t="s">
        <v>463</v>
      </c>
      <c r="E115" s="270">
        <v>118.858001</v>
      </c>
      <c r="F115" s="270">
        <v>19.38</v>
      </c>
      <c r="G115" s="270">
        <f t="shared" si="3"/>
        <v>2303.47</v>
      </c>
      <c r="H115" s="271">
        <v>0.000864049029019808</v>
      </c>
      <c r="I115" s="272">
        <v>0.977838303551119</v>
      </c>
      <c r="K115" s="251">
        <f t="shared" si="5"/>
        <v>0</v>
      </c>
      <c r="N115" s="270">
        <v>118.858001</v>
      </c>
      <c r="O115" s="270">
        <v>19.38</v>
      </c>
      <c r="P115" s="270">
        <f t="shared" si="4"/>
        <v>2303.47</v>
      </c>
      <c r="Q115" s="271">
        <v>0.000864049029019808</v>
      </c>
      <c r="R115" s="272">
        <v>0.977838303551119</v>
      </c>
    </row>
    <row r="116" spans="1:18">
      <c r="A116" s="267" t="s">
        <v>1363</v>
      </c>
      <c r="B116" s="268" t="s">
        <v>1364</v>
      </c>
      <c r="C116" s="269" t="s">
        <v>1365</v>
      </c>
      <c r="D116" s="91" t="s">
        <v>466</v>
      </c>
      <c r="E116" s="270">
        <v>8.96</v>
      </c>
      <c r="F116" s="270">
        <v>256.86</v>
      </c>
      <c r="G116" s="270">
        <f t="shared" si="3"/>
        <v>2301.47</v>
      </c>
      <c r="H116" s="271">
        <v>0.000863298813884364</v>
      </c>
      <c r="I116" s="272">
        <v>0.978701602365003</v>
      </c>
      <c r="K116" s="251">
        <f t="shared" si="5"/>
        <v>0</v>
      </c>
      <c r="N116" s="270">
        <v>8.96</v>
      </c>
      <c r="O116" s="270">
        <v>256.86</v>
      </c>
      <c r="P116" s="270">
        <f t="shared" si="4"/>
        <v>2301.47</v>
      </c>
      <c r="Q116" s="271">
        <v>0.000863298813884364</v>
      </c>
      <c r="R116" s="272">
        <v>0.978701602365003</v>
      </c>
    </row>
    <row r="117" ht="38.25" spans="1:18">
      <c r="A117" s="267" t="s">
        <v>1366</v>
      </c>
      <c r="B117" s="268" t="s">
        <v>1367</v>
      </c>
      <c r="C117" s="269" t="s">
        <v>1368</v>
      </c>
      <c r="D117" s="91" t="s">
        <v>494</v>
      </c>
      <c r="E117" s="270">
        <v>3</v>
      </c>
      <c r="F117" s="270">
        <v>754.92</v>
      </c>
      <c r="G117" s="270">
        <f t="shared" si="3"/>
        <v>2264.76</v>
      </c>
      <c r="H117" s="271">
        <v>0.000849528615073302</v>
      </c>
      <c r="I117" s="272">
        <v>0.979551130980077</v>
      </c>
      <c r="K117" s="251">
        <f t="shared" si="5"/>
        <v>0</v>
      </c>
      <c r="N117" s="270">
        <v>3</v>
      </c>
      <c r="O117" s="270">
        <v>754.92</v>
      </c>
      <c r="P117" s="270">
        <f t="shared" si="4"/>
        <v>2264.76</v>
      </c>
      <c r="Q117" s="271">
        <v>0.000849528615073302</v>
      </c>
      <c r="R117" s="272">
        <v>0.979551130980077</v>
      </c>
    </row>
    <row r="118" ht="38.25" spans="1:18">
      <c r="A118" s="273" t="s">
        <v>1369</v>
      </c>
      <c r="B118" s="274" t="s">
        <v>1370</v>
      </c>
      <c r="C118" s="195" t="s">
        <v>673</v>
      </c>
      <c r="D118" s="196" t="s">
        <v>494</v>
      </c>
      <c r="E118" s="197">
        <v>2</v>
      </c>
      <c r="F118" s="197">
        <f>COTAÇÃO!K126</f>
        <v>852.89</v>
      </c>
      <c r="G118" s="197">
        <f t="shared" si="3"/>
        <v>1705.78</v>
      </c>
      <c r="H118" s="275">
        <v>0.000844374637092807</v>
      </c>
      <c r="I118" s="199">
        <v>0.980395505617169</v>
      </c>
      <c r="J118" s="235" t="s">
        <v>1920</v>
      </c>
      <c r="K118" s="251">
        <f t="shared" si="5"/>
        <v>-545.24</v>
      </c>
      <c r="N118" s="197">
        <v>2</v>
      </c>
      <c r="O118" s="197">
        <v>1125.51</v>
      </c>
      <c r="P118" s="197">
        <f t="shared" si="4"/>
        <v>2251.02</v>
      </c>
      <c r="Q118" s="275">
        <v>0.000844374637092807</v>
      </c>
      <c r="R118" s="199">
        <v>0.980395505617169</v>
      </c>
    </row>
    <row r="119" ht="51" spans="1:18">
      <c r="A119" s="273" t="s">
        <v>1373</v>
      </c>
      <c r="B119" s="274" t="s">
        <v>1374</v>
      </c>
      <c r="C119" s="195" t="s">
        <v>676</v>
      </c>
      <c r="D119" s="196" t="s">
        <v>494</v>
      </c>
      <c r="E119" s="197">
        <v>2</v>
      </c>
      <c r="F119" s="197">
        <f>COTAÇÃO!J127</f>
        <v>991.63</v>
      </c>
      <c r="G119" s="197">
        <f t="shared" si="3"/>
        <v>1983.26</v>
      </c>
      <c r="H119" s="275">
        <v>0.000813915902593808</v>
      </c>
      <c r="I119" s="199">
        <v>0.981209421519763</v>
      </c>
      <c r="J119" s="235" t="s">
        <v>1919</v>
      </c>
      <c r="K119" s="251">
        <f t="shared" si="5"/>
        <v>-186.56</v>
      </c>
      <c r="N119" s="197">
        <v>2</v>
      </c>
      <c r="O119" s="197">
        <v>1084.91</v>
      </c>
      <c r="P119" s="197">
        <f t="shared" si="4"/>
        <v>2169.82</v>
      </c>
      <c r="Q119" s="275">
        <v>0.000813915902593808</v>
      </c>
      <c r="R119" s="199">
        <v>0.981209421519763</v>
      </c>
    </row>
    <row r="120" ht="25.5" spans="1:18">
      <c r="A120" s="267" t="s">
        <v>1380</v>
      </c>
      <c r="B120" s="268" t="s">
        <v>1158</v>
      </c>
      <c r="C120" s="269" t="s">
        <v>1381</v>
      </c>
      <c r="D120" s="91" t="s">
        <v>463</v>
      </c>
      <c r="E120" s="270">
        <v>256.500191</v>
      </c>
      <c r="F120" s="270">
        <v>8.25</v>
      </c>
      <c r="G120" s="270">
        <f t="shared" si="3"/>
        <v>2116.13</v>
      </c>
      <c r="H120" s="271">
        <v>0.000793776377282832</v>
      </c>
      <c r="I120" s="272">
        <v>0.982003197897046</v>
      </c>
      <c r="K120" s="251">
        <f t="shared" si="5"/>
        <v>0</v>
      </c>
      <c r="N120" s="270">
        <v>256.500191</v>
      </c>
      <c r="O120" s="270">
        <v>8.25</v>
      </c>
      <c r="P120" s="270">
        <f t="shared" si="4"/>
        <v>2116.13</v>
      </c>
      <c r="Q120" s="271">
        <v>0.000793776377282832</v>
      </c>
      <c r="R120" s="272">
        <v>0.982003197897046</v>
      </c>
    </row>
    <row r="121" ht="51" spans="1:18">
      <c r="A121" s="267" t="s">
        <v>1382</v>
      </c>
      <c r="B121" s="268" t="s">
        <v>1383</v>
      </c>
      <c r="C121" s="269" t="s">
        <v>639</v>
      </c>
      <c r="D121" s="91" t="s">
        <v>494</v>
      </c>
      <c r="E121" s="270">
        <v>1</v>
      </c>
      <c r="F121" s="270">
        <v>2106.15</v>
      </c>
      <c r="G121" s="270">
        <f t="shared" si="3"/>
        <v>2106.15</v>
      </c>
      <c r="H121" s="271">
        <v>0.00079003280375697</v>
      </c>
      <c r="I121" s="272">
        <v>0.982793230700803</v>
      </c>
      <c r="K121" s="251">
        <f t="shared" si="5"/>
        <v>0</v>
      </c>
      <c r="N121" s="270">
        <v>1</v>
      </c>
      <c r="O121" s="270">
        <v>2106.15</v>
      </c>
      <c r="P121" s="270">
        <f t="shared" si="4"/>
        <v>2106.15</v>
      </c>
      <c r="Q121" s="271">
        <v>0.00079003280375697</v>
      </c>
      <c r="R121" s="272">
        <v>0.982793230700803</v>
      </c>
    </row>
    <row r="122" ht="38.25" spans="1:18">
      <c r="A122" s="264" t="s">
        <v>1384</v>
      </c>
      <c r="B122" s="265" t="s">
        <v>1385</v>
      </c>
      <c r="C122" s="220" t="s">
        <v>1386</v>
      </c>
      <c r="D122" s="221" t="s">
        <v>466</v>
      </c>
      <c r="E122" s="222">
        <v>87.801793</v>
      </c>
      <c r="F122" s="222">
        <f>COTAÇÃO!I189</f>
        <v>19.45</v>
      </c>
      <c r="G122" s="222">
        <f t="shared" si="3"/>
        <v>1707.74</v>
      </c>
      <c r="H122" s="266">
        <v>0.000789455138102679</v>
      </c>
      <c r="I122" s="224">
        <v>0.983582685838906</v>
      </c>
      <c r="J122" s="234" t="str">
        <f>COTAÇÃO!$I$181</f>
        <v>ATACADO DA MADEIRA</v>
      </c>
      <c r="K122" s="251">
        <f t="shared" si="5"/>
        <v>-396.87</v>
      </c>
      <c r="N122" s="222">
        <v>87.801793</v>
      </c>
      <c r="O122" s="222">
        <v>23.97</v>
      </c>
      <c r="P122" s="222">
        <f t="shared" si="4"/>
        <v>2104.61</v>
      </c>
      <c r="Q122" s="266">
        <v>0.000789455138102679</v>
      </c>
      <c r="R122" s="224">
        <v>0.983582685838906</v>
      </c>
    </row>
    <row r="123" s="235" customFormat="1" ht="38.25" spans="1:18">
      <c r="A123" s="273" t="s">
        <v>1390</v>
      </c>
      <c r="B123" s="274" t="s">
        <v>1391</v>
      </c>
      <c r="C123" s="195" t="s">
        <v>668</v>
      </c>
      <c r="D123" s="196" t="s">
        <v>494</v>
      </c>
      <c r="E123" s="197">
        <v>2</v>
      </c>
      <c r="F123" s="197">
        <f>COTAÇÃO!J128</f>
        <v>751.83</v>
      </c>
      <c r="G123" s="197">
        <f t="shared" si="3"/>
        <v>1503.66</v>
      </c>
      <c r="H123" s="275">
        <v>0.000760830679609839</v>
      </c>
      <c r="I123" s="199">
        <v>0.984343516518516</v>
      </c>
      <c r="J123" s="235" t="s">
        <v>1919</v>
      </c>
      <c r="K123" s="251">
        <f t="shared" si="5"/>
        <v>-524.64</v>
      </c>
      <c r="N123" s="197">
        <v>2</v>
      </c>
      <c r="O123" s="197">
        <v>1014.15</v>
      </c>
      <c r="P123" s="197">
        <f t="shared" si="4"/>
        <v>2028.3</v>
      </c>
      <c r="Q123" s="275">
        <v>0.000760830679609839</v>
      </c>
      <c r="R123" s="199">
        <v>0.984343516518516</v>
      </c>
    </row>
    <row r="124" ht="25.5" spans="1:18">
      <c r="A124" s="267" t="s">
        <v>1392</v>
      </c>
      <c r="B124" s="268" t="s">
        <v>1393</v>
      </c>
      <c r="C124" s="269" t="s">
        <v>1394</v>
      </c>
      <c r="D124" s="91" t="s">
        <v>476</v>
      </c>
      <c r="E124" s="270">
        <v>10.041899</v>
      </c>
      <c r="F124" s="270">
        <v>197.39</v>
      </c>
      <c r="G124" s="270">
        <f t="shared" si="3"/>
        <v>1982.17</v>
      </c>
      <c r="H124" s="271">
        <v>0.000743526967510839</v>
      </c>
      <c r="I124" s="272">
        <v>0.985087043486026</v>
      </c>
      <c r="K124" s="251">
        <f t="shared" si="5"/>
        <v>0</v>
      </c>
      <c r="N124" s="270">
        <v>10.041899</v>
      </c>
      <c r="O124" s="270">
        <v>197.39</v>
      </c>
      <c r="P124" s="270">
        <f t="shared" si="4"/>
        <v>1982.17</v>
      </c>
      <c r="Q124" s="271">
        <v>0.000743526967510839</v>
      </c>
      <c r="R124" s="272">
        <v>0.985087043486026</v>
      </c>
    </row>
    <row r="125" s="227" customFormat="1" spans="1:18">
      <c r="A125" s="267" t="s">
        <v>1398</v>
      </c>
      <c r="B125" s="268" t="s">
        <v>1399</v>
      </c>
      <c r="C125" s="269" t="s">
        <v>1400</v>
      </c>
      <c r="D125" s="91" t="s">
        <v>494</v>
      </c>
      <c r="E125" s="270">
        <v>1229.261333</v>
      </c>
      <c r="F125" s="270">
        <v>1.6</v>
      </c>
      <c r="G125" s="270">
        <f t="shared" si="3"/>
        <v>1966.82</v>
      </c>
      <c r="H125" s="271">
        <v>0.000737769066346311</v>
      </c>
      <c r="I125" s="272">
        <v>0.985824812552373</v>
      </c>
      <c r="K125" s="251">
        <f t="shared" si="5"/>
        <v>0</v>
      </c>
      <c r="N125" s="270">
        <v>1229.261333</v>
      </c>
      <c r="O125" s="270">
        <v>1.6</v>
      </c>
      <c r="P125" s="270">
        <f t="shared" si="4"/>
        <v>1966.82</v>
      </c>
      <c r="Q125" s="271">
        <v>0.000737769066346311</v>
      </c>
      <c r="R125" s="272">
        <v>0.985824812552373</v>
      </c>
    </row>
    <row r="126" ht="38.25" spans="1:18">
      <c r="A126" s="267" t="s">
        <v>1401</v>
      </c>
      <c r="B126" s="268" t="s">
        <v>1402</v>
      </c>
      <c r="C126" s="269" t="s">
        <v>1403</v>
      </c>
      <c r="D126" s="91" t="s">
        <v>463</v>
      </c>
      <c r="E126" s="270">
        <v>268.488</v>
      </c>
      <c r="F126" s="270">
        <v>7.17</v>
      </c>
      <c r="G126" s="270">
        <f t="shared" si="3"/>
        <v>1925.06</v>
      </c>
      <c r="H126" s="271">
        <v>0.000722104574318255</v>
      </c>
      <c r="I126" s="272">
        <v>0.986546917126691</v>
      </c>
      <c r="K126" s="251">
        <f t="shared" si="5"/>
        <v>0</v>
      </c>
      <c r="N126" s="270">
        <v>268.488</v>
      </c>
      <c r="O126" s="270">
        <v>7.17</v>
      </c>
      <c r="P126" s="270">
        <f t="shared" si="4"/>
        <v>1925.06</v>
      </c>
      <c r="Q126" s="271">
        <v>0.000722104574318255</v>
      </c>
      <c r="R126" s="272">
        <v>0.986546917126691</v>
      </c>
    </row>
    <row r="127" s="235" customFormat="1" ht="38.25" spans="1:18">
      <c r="A127" s="273" t="s">
        <v>1407</v>
      </c>
      <c r="B127" s="274" t="s">
        <v>1408</v>
      </c>
      <c r="C127" s="195" t="s">
        <v>693</v>
      </c>
      <c r="D127" s="196" t="s">
        <v>494</v>
      </c>
      <c r="E127" s="197">
        <v>1</v>
      </c>
      <c r="F127" s="197">
        <f>COTAÇÃO!J129</f>
        <v>1817.64</v>
      </c>
      <c r="G127" s="197">
        <f t="shared" si="3"/>
        <v>1817.64</v>
      </c>
      <c r="H127" s="275">
        <v>0.000633275351206089</v>
      </c>
      <c r="I127" s="199">
        <v>0.987180192477897</v>
      </c>
      <c r="J127" s="235" t="s">
        <v>1919</v>
      </c>
      <c r="K127" s="251">
        <f t="shared" si="5"/>
        <v>129.39</v>
      </c>
      <c r="N127" s="197">
        <v>1</v>
      </c>
      <c r="O127" s="197">
        <v>1688.25</v>
      </c>
      <c r="P127" s="197">
        <f t="shared" si="4"/>
        <v>1688.25</v>
      </c>
      <c r="Q127" s="275">
        <v>0.000633275351206089</v>
      </c>
      <c r="R127" s="199">
        <v>0.987180192477897</v>
      </c>
    </row>
    <row r="128" ht="51" spans="1:18">
      <c r="A128" s="273" t="s">
        <v>1413</v>
      </c>
      <c r="B128" s="274" t="s">
        <v>1414</v>
      </c>
      <c r="C128" s="195" t="s">
        <v>672</v>
      </c>
      <c r="D128" s="196" t="s">
        <v>494</v>
      </c>
      <c r="E128" s="197">
        <v>1</v>
      </c>
      <c r="F128" s="197">
        <f>COTAÇÃO!K130</f>
        <v>1119.1</v>
      </c>
      <c r="G128" s="197">
        <f t="shared" si="3"/>
        <v>1119.1</v>
      </c>
      <c r="H128" s="275">
        <v>0.0006015637574309</v>
      </c>
      <c r="I128" s="199">
        <v>0.987781756235328</v>
      </c>
      <c r="J128" s="235" t="s">
        <v>1920</v>
      </c>
      <c r="K128" s="251">
        <f t="shared" si="5"/>
        <v>-484.61</v>
      </c>
      <c r="N128" s="197">
        <v>1</v>
      </c>
      <c r="O128" s="197">
        <v>1603.71</v>
      </c>
      <c r="P128" s="197">
        <f t="shared" si="4"/>
        <v>1603.71</v>
      </c>
      <c r="Q128" s="275">
        <v>0.0006015637574309</v>
      </c>
      <c r="R128" s="199">
        <v>0.987781756235328</v>
      </c>
    </row>
    <row r="129" s="229" customFormat="1" ht="51" spans="1:18">
      <c r="A129" s="273" t="s">
        <v>1415</v>
      </c>
      <c r="B129" s="274" t="s">
        <v>1416</v>
      </c>
      <c r="C129" s="195" t="s">
        <v>665</v>
      </c>
      <c r="D129" s="196" t="s">
        <v>494</v>
      </c>
      <c r="E129" s="197">
        <v>3</v>
      </c>
      <c r="F129" s="197">
        <f>COTAÇÃO!J131</f>
        <v>397.32</v>
      </c>
      <c r="G129" s="197">
        <f t="shared" si="3"/>
        <v>1191.96</v>
      </c>
      <c r="H129" s="275">
        <v>0.000587339678462895</v>
      </c>
      <c r="I129" s="199">
        <v>0.988369095913791</v>
      </c>
      <c r="J129" s="235" t="s">
        <v>1919</v>
      </c>
      <c r="K129" s="251">
        <f t="shared" si="5"/>
        <v>-373.83</v>
      </c>
      <c r="N129" s="197">
        <v>3</v>
      </c>
      <c r="O129" s="197">
        <v>521.93</v>
      </c>
      <c r="P129" s="197">
        <f t="shared" si="4"/>
        <v>1565.79</v>
      </c>
      <c r="Q129" s="275">
        <v>0.000587339678462895</v>
      </c>
      <c r="R129" s="199">
        <v>0.988369095913791</v>
      </c>
    </row>
    <row r="130" spans="1:18">
      <c r="A130" s="267" t="s">
        <v>1423</v>
      </c>
      <c r="B130" s="268" t="s">
        <v>1158</v>
      </c>
      <c r="C130" s="269" t="s">
        <v>1424</v>
      </c>
      <c r="D130" s="91" t="s">
        <v>463</v>
      </c>
      <c r="E130" s="270">
        <v>193.695</v>
      </c>
      <c r="F130" s="270">
        <v>7.55</v>
      </c>
      <c r="G130" s="270">
        <f t="shared" si="3"/>
        <v>1462.4</v>
      </c>
      <c r="H130" s="271">
        <v>0.000548557307036153</v>
      </c>
      <c r="I130" s="272">
        <v>0.988917653220827</v>
      </c>
      <c r="K130" s="251">
        <f t="shared" si="5"/>
        <v>0</v>
      </c>
      <c r="N130" s="270">
        <v>193.695</v>
      </c>
      <c r="O130" s="270">
        <v>7.55</v>
      </c>
      <c r="P130" s="270">
        <f t="shared" si="4"/>
        <v>1462.4</v>
      </c>
      <c r="Q130" s="271">
        <v>0.000548557307036153</v>
      </c>
      <c r="R130" s="272">
        <v>0.988917653220827</v>
      </c>
    </row>
    <row r="131" s="237" customFormat="1" spans="1:18">
      <c r="A131" s="267" t="s">
        <v>1425</v>
      </c>
      <c r="B131" s="268" t="s">
        <v>1346</v>
      </c>
      <c r="C131" s="269" t="s">
        <v>1426</v>
      </c>
      <c r="D131" s="91" t="s">
        <v>463</v>
      </c>
      <c r="E131" s="270">
        <v>972.879116</v>
      </c>
      <c r="F131" s="270">
        <v>1.5</v>
      </c>
      <c r="G131" s="270">
        <f t="shared" ref="G131:G194" si="6">ROUND(E131*F131,2)</f>
        <v>1459.32</v>
      </c>
      <c r="H131" s="271">
        <v>0.00054740197572757</v>
      </c>
      <c r="I131" s="272">
        <v>0.989465055196555</v>
      </c>
      <c r="K131" s="251">
        <f t="shared" si="5"/>
        <v>0</v>
      </c>
      <c r="N131" s="270">
        <v>972.879116</v>
      </c>
      <c r="O131" s="270">
        <v>1.5</v>
      </c>
      <c r="P131" s="270">
        <f t="shared" ref="P131:P194" si="7">ROUND(N131*O131,2)</f>
        <v>1459.32</v>
      </c>
      <c r="Q131" s="271">
        <v>0.00054740197572757</v>
      </c>
      <c r="R131" s="272">
        <v>0.989465055196555</v>
      </c>
    </row>
    <row r="132" ht="25.5" spans="1:18">
      <c r="A132" s="267" t="s">
        <v>1438</v>
      </c>
      <c r="B132" s="268" t="s">
        <v>1439</v>
      </c>
      <c r="C132" s="269" t="s">
        <v>606</v>
      </c>
      <c r="D132" s="91" t="s">
        <v>494</v>
      </c>
      <c r="E132" s="270">
        <v>5</v>
      </c>
      <c r="F132" s="270">
        <v>259.4</v>
      </c>
      <c r="G132" s="270">
        <f t="shared" si="6"/>
        <v>1297</v>
      </c>
      <c r="H132" s="271">
        <v>0.00048651451533499</v>
      </c>
      <c r="I132" s="272">
        <v>0.98995156971189</v>
      </c>
      <c r="K132" s="251">
        <f t="shared" ref="K132:K195" si="8">G132-P132</f>
        <v>0</v>
      </c>
      <c r="N132" s="270">
        <v>5</v>
      </c>
      <c r="O132" s="270">
        <v>259.4</v>
      </c>
      <c r="P132" s="270">
        <f t="shared" si="7"/>
        <v>1297</v>
      </c>
      <c r="Q132" s="271">
        <v>0.00048651451533499</v>
      </c>
      <c r="R132" s="272">
        <v>0.98995156971189</v>
      </c>
    </row>
    <row r="133" ht="38.25" spans="1:18">
      <c r="A133" s="267" t="s">
        <v>1440</v>
      </c>
      <c r="B133" s="268" t="s">
        <v>716</v>
      </c>
      <c r="C133" s="269" t="s">
        <v>717</v>
      </c>
      <c r="D133" s="91" t="s">
        <v>466</v>
      </c>
      <c r="E133" s="270">
        <v>2.25</v>
      </c>
      <c r="F133" s="270">
        <v>552.93</v>
      </c>
      <c r="G133" s="270">
        <f t="shared" si="6"/>
        <v>1244.09</v>
      </c>
      <c r="H133" s="271">
        <v>0.000466667573926838</v>
      </c>
      <c r="I133" s="272">
        <v>0.990418237285816</v>
      </c>
      <c r="K133" s="251">
        <f t="shared" si="8"/>
        <v>0</v>
      </c>
      <c r="N133" s="270">
        <v>2.25</v>
      </c>
      <c r="O133" s="270">
        <v>552.93</v>
      </c>
      <c r="P133" s="270">
        <f t="shared" si="7"/>
        <v>1244.09</v>
      </c>
      <c r="Q133" s="271">
        <v>0.000466667573926838</v>
      </c>
      <c r="R133" s="272">
        <v>0.990418237285816</v>
      </c>
    </row>
    <row r="134" spans="1:18">
      <c r="A134" s="267" t="s">
        <v>1441</v>
      </c>
      <c r="B134" s="268" t="s">
        <v>1442</v>
      </c>
      <c r="C134" s="269" t="s">
        <v>1443</v>
      </c>
      <c r="D134" s="91" t="s">
        <v>463</v>
      </c>
      <c r="E134" s="270">
        <v>136.3302</v>
      </c>
      <c r="F134" s="270">
        <v>8.71</v>
      </c>
      <c r="G134" s="270">
        <f t="shared" si="6"/>
        <v>1187.44</v>
      </c>
      <c r="H134" s="271">
        <v>0.000445417730215406</v>
      </c>
      <c r="I134" s="272">
        <v>0.990863655016032</v>
      </c>
      <c r="K134" s="251">
        <f t="shared" si="8"/>
        <v>0</v>
      </c>
      <c r="N134" s="270">
        <v>136.3302</v>
      </c>
      <c r="O134" s="270">
        <v>8.71</v>
      </c>
      <c r="P134" s="270">
        <f t="shared" si="7"/>
        <v>1187.44</v>
      </c>
      <c r="Q134" s="271">
        <v>0.000445417730215406</v>
      </c>
      <c r="R134" s="272">
        <v>0.990863655016032</v>
      </c>
    </row>
    <row r="135" s="235" customFormat="1" spans="1:18">
      <c r="A135" s="267" t="s">
        <v>1444</v>
      </c>
      <c r="B135" s="268" t="s">
        <v>1334</v>
      </c>
      <c r="C135" s="269" t="s">
        <v>1445</v>
      </c>
      <c r="D135" s="91" t="s">
        <v>466</v>
      </c>
      <c r="E135" s="270">
        <v>430.144</v>
      </c>
      <c r="F135" s="270">
        <v>2.76</v>
      </c>
      <c r="G135" s="270">
        <f t="shared" si="6"/>
        <v>1187.2</v>
      </c>
      <c r="H135" s="271">
        <v>0.000445327704399152</v>
      </c>
      <c r="I135" s="272">
        <v>0.991308982720431</v>
      </c>
      <c r="K135" s="251">
        <f t="shared" si="8"/>
        <v>0</v>
      </c>
      <c r="N135" s="270">
        <v>430.144</v>
      </c>
      <c r="O135" s="270">
        <v>2.76</v>
      </c>
      <c r="P135" s="270">
        <f t="shared" si="7"/>
        <v>1187.2</v>
      </c>
      <c r="Q135" s="271">
        <v>0.000445327704399152</v>
      </c>
      <c r="R135" s="272">
        <v>0.991308982720431</v>
      </c>
    </row>
    <row r="136" ht="38.25" spans="1:18">
      <c r="A136" s="267" t="s">
        <v>1449</v>
      </c>
      <c r="B136" s="268" t="s">
        <v>1450</v>
      </c>
      <c r="C136" s="269" t="s">
        <v>1451</v>
      </c>
      <c r="D136" s="91" t="s">
        <v>112</v>
      </c>
      <c r="E136" s="270">
        <v>7.416</v>
      </c>
      <c r="F136" s="270">
        <v>149.05</v>
      </c>
      <c r="G136" s="270">
        <f t="shared" si="6"/>
        <v>1105.35</v>
      </c>
      <c r="H136" s="271">
        <v>0.000414625149981135</v>
      </c>
      <c r="I136" s="272">
        <v>0.991723607870412</v>
      </c>
      <c r="K136" s="251">
        <f t="shared" si="8"/>
        <v>0</v>
      </c>
      <c r="N136" s="270">
        <v>7.416</v>
      </c>
      <c r="O136" s="270">
        <v>149.05</v>
      </c>
      <c r="P136" s="270">
        <f t="shared" si="7"/>
        <v>1105.35</v>
      </c>
      <c r="Q136" s="271">
        <v>0.000414625149981135</v>
      </c>
      <c r="R136" s="272">
        <v>0.991723607870412</v>
      </c>
    </row>
    <row r="137" spans="1:18">
      <c r="A137" s="267" t="s">
        <v>1455</v>
      </c>
      <c r="B137" s="268" t="s">
        <v>1456</v>
      </c>
      <c r="C137" s="269" t="s">
        <v>1457</v>
      </c>
      <c r="D137" s="91" t="s">
        <v>463</v>
      </c>
      <c r="E137" s="270">
        <v>115.3246</v>
      </c>
      <c r="F137" s="270">
        <v>9.19</v>
      </c>
      <c r="G137" s="270">
        <f t="shared" si="6"/>
        <v>1059.83</v>
      </c>
      <c r="H137" s="271">
        <v>0.000397550253498445</v>
      </c>
      <c r="I137" s="272">
        <v>0.992121158123911</v>
      </c>
      <c r="K137" s="251">
        <f t="shared" si="8"/>
        <v>0</v>
      </c>
      <c r="N137" s="270">
        <v>115.3246</v>
      </c>
      <c r="O137" s="270">
        <v>9.19</v>
      </c>
      <c r="P137" s="270">
        <f t="shared" si="7"/>
        <v>1059.83</v>
      </c>
      <c r="Q137" s="271">
        <v>0.000397550253498445</v>
      </c>
      <c r="R137" s="272">
        <v>0.992121158123911</v>
      </c>
    </row>
    <row r="138" ht="51" spans="1:18">
      <c r="A138" s="267" t="s">
        <v>1458</v>
      </c>
      <c r="B138" s="268" t="s">
        <v>1459</v>
      </c>
      <c r="C138" s="269" t="s">
        <v>660</v>
      </c>
      <c r="D138" s="91" t="s">
        <v>494</v>
      </c>
      <c r="E138" s="270">
        <v>14</v>
      </c>
      <c r="F138" s="270">
        <v>75.45</v>
      </c>
      <c r="G138" s="270">
        <f t="shared" si="6"/>
        <v>1056.3</v>
      </c>
      <c r="H138" s="271">
        <v>0.000396226123784387</v>
      </c>
      <c r="I138" s="272">
        <v>0.992517384247695</v>
      </c>
      <c r="K138" s="251">
        <f t="shared" si="8"/>
        <v>0</v>
      </c>
      <c r="N138" s="270">
        <v>14</v>
      </c>
      <c r="O138" s="270">
        <v>75.45</v>
      </c>
      <c r="P138" s="270">
        <f t="shared" si="7"/>
        <v>1056.3</v>
      </c>
      <c r="Q138" s="271">
        <v>0.000396226123784387</v>
      </c>
      <c r="R138" s="272">
        <v>0.992517384247695</v>
      </c>
    </row>
    <row r="139" ht="38.25" spans="1:18">
      <c r="A139" s="267" t="s">
        <v>1466</v>
      </c>
      <c r="B139" s="268" t="s">
        <v>1193</v>
      </c>
      <c r="C139" s="269" t="s">
        <v>1467</v>
      </c>
      <c r="D139" s="91" t="s">
        <v>112</v>
      </c>
      <c r="E139" s="270">
        <v>57.0768</v>
      </c>
      <c r="F139" s="270">
        <v>18.37</v>
      </c>
      <c r="G139" s="270">
        <f t="shared" si="6"/>
        <v>1048.5</v>
      </c>
      <c r="H139" s="271">
        <v>0.000393300284756158</v>
      </c>
      <c r="I139" s="272">
        <v>0.992910684532451</v>
      </c>
      <c r="K139" s="251">
        <f t="shared" si="8"/>
        <v>0</v>
      </c>
      <c r="N139" s="270">
        <v>57.0768</v>
      </c>
      <c r="O139" s="270">
        <v>18.37</v>
      </c>
      <c r="P139" s="270">
        <f t="shared" si="7"/>
        <v>1048.5</v>
      </c>
      <c r="Q139" s="271">
        <v>0.000393300284756158</v>
      </c>
      <c r="R139" s="272">
        <v>0.992910684532451</v>
      </c>
    </row>
    <row r="140" ht="25.5" spans="1:18">
      <c r="A140" s="276" t="s">
        <v>1470</v>
      </c>
      <c r="B140" s="277" t="s">
        <v>1471</v>
      </c>
      <c r="C140" s="200" t="s">
        <v>613</v>
      </c>
      <c r="D140" s="201" t="s">
        <v>494</v>
      </c>
      <c r="E140" s="202">
        <v>5</v>
      </c>
      <c r="F140" s="202">
        <v>204.51</v>
      </c>
      <c r="G140" s="202">
        <f t="shared" si="6"/>
        <v>1022.55</v>
      </c>
      <c r="H140" s="278">
        <v>0.000383566243373781</v>
      </c>
      <c r="I140" s="204">
        <v>0.993294250775825</v>
      </c>
      <c r="K140" s="251">
        <f t="shared" si="8"/>
        <v>0</v>
      </c>
      <c r="N140" s="202">
        <v>5</v>
      </c>
      <c r="O140" s="202">
        <v>204.51</v>
      </c>
      <c r="P140" s="202">
        <f t="shared" si="7"/>
        <v>1022.55</v>
      </c>
      <c r="Q140" s="278">
        <v>0.000383566243373781</v>
      </c>
      <c r="R140" s="204">
        <v>0.993294250775825</v>
      </c>
    </row>
    <row r="141" spans="1:18">
      <c r="A141" s="267" t="s">
        <v>1472</v>
      </c>
      <c r="B141" s="268" t="s">
        <v>1473</v>
      </c>
      <c r="C141" s="269" t="s">
        <v>1474</v>
      </c>
      <c r="D141" s="91" t="s">
        <v>463</v>
      </c>
      <c r="E141" s="270">
        <v>334.06625</v>
      </c>
      <c r="F141" s="270">
        <v>3.04</v>
      </c>
      <c r="G141" s="270">
        <f t="shared" si="6"/>
        <v>1015.56</v>
      </c>
      <c r="H141" s="271">
        <v>0.000380944241475407</v>
      </c>
      <c r="I141" s="272">
        <v>0.9936751950173</v>
      </c>
      <c r="K141" s="251">
        <f t="shared" si="8"/>
        <v>0</v>
      </c>
      <c r="N141" s="270">
        <v>334.06625</v>
      </c>
      <c r="O141" s="270">
        <v>3.04</v>
      </c>
      <c r="P141" s="270">
        <f t="shared" si="7"/>
        <v>1015.56</v>
      </c>
      <c r="Q141" s="271">
        <v>0.000380944241475407</v>
      </c>
      <c r="R141" s="272">
        <v>0.9936751950173</v>
      </c>
    </row>
    <row r="142" ht="25.5" spans="1:18">
      <c r="A142" s="267" t="s">
        <v>1477</v>
      </c>
      <c r="B142" s="268" t="s">
        <v>1478</v>
      </c>
      <c r="C142" s="269" t="s">
        <v>1479</v>
      </c>
      <c r="D142" s="91" t="s">
        <v>476</v>
      </c>
      <c r="E142" s="270">
        <v>23.88908</v>
      </c>
      <c r="F142" s="270">
        <v>37.35</v>
      </c>
      <c r="G142" s="270">
        <f t="shared" si="6"/>
        <v>892.26</v>
      </c>
      <c r="H142" s="271">
        <v>0.000334693478375327</v>
      </c>
      <c r="I142" s="272">
        <v>0.994009888495676</v>
      </c>
      <c r="K142" s="251">
        <f t="shared" si="8"/>
        <v>0</v>
      </c>
      <c r="N142" s="270">
        <v>23.88908</v>
      </c>
      <c r="O142" s="270">
        <v>37.35</v>
      </c>
      <c r="P142" s="270">
        <f t="shared" si="7"/>
        <v>892.26</v>
      </c>
      <c r="Q142" s="271">
        <v>0.000334693478375327</v>
      </c>
      <c r="R142" s="272">
        <v>0.994009888495676</v>
      </c>
    </row>
    <row r="143" ht="51" spans="1:18">
      <c r="A143" s="273" t="s">
        <v>1480</v>
      </c>
      <c r="B143" s="274" t="s">
        <v>1481</v>
      </c>
      <c r="C143" s="195" t="s">
        <v>689</v>
      </c>
      <c r="D143" s="196" t="s">
        <v>494</v>
      </c>
      <c r="E143" s="197">
        <v>1</v>
      </c>
      <c r="F143" s="197">
        <f>COTAÇÃO!J132</f>
        <v>788.66</v>
      </c>
      <c r="G143" s="197">
        <f t="shared" si="6"/>
        <v>788.66</v>
      </c>
      <c r="H143" s="275">
        <v>0.000334595950407719</v>
      </c>
      <c r="I143" s="199">
        <v>0.994344484446083</v>
      </c>
      <c r="J143" s="235" t="s">
        <v>1919</v>
      </c>
      <c r="K143" s="251">
        <f t="shared" si="8"/>
        <v>-103.34</v>
      </c>
      <c r="N143" s="197">
        <v>1</v>
      </c>
      <c r="O143" s="197">
        <v>892</v>
      </c>
      <c r="P143" s="197">
        <f t="shared" si="7"/>
        <v>892</v>
      </c>
      <c r="Q143" s="275">
        <v>0.000334595950407719</v>
      </c>
      <c r="R143" s="199">
        <v>0.994344484446083</v>
      </c>
    </row>
    <row r="144" ht="25.5" spans="1:18">
      <c r="A144" s="267" t="s">
        <v>1482</v>
      </c>
      <c r="B144" s="268" t="s">
        <v>1483</v>
      </c>
      <c r="C144" s="269" t="s">
        <v>1484</v>
      </c>
      <c r="D144" s="91" t="s">
        <v>112</v>
      </c>
      <c r="E144" s="270">
        <v>12.94125</v>
      </c>
      <c r="F144" s="270">
        <v>63.01</v>
      </c>
      <c r="G144" s="270">
        <f t="shared" si="6"/>
        <v>815.43</v>
      </c>
      <c r="H144" s="271">
        <v>0.000305873963947272</v>
      </c>
      <c r="I144" s="272">
        <v>0.994650358410031</v>
      </c>
      <c r="K144" s="251">
        <f t="shared" si="8"/>
        <v>0</v>
      </c>
      <c r="N144" s="270">
        <v>12.94125</v>
      </c>
      <c r="O144" s="270">
        <v>63.01</v>
      </c>
      <c r="P144" s="270">
        <f t="shared" si="7"/>
        <v>815.43</v>
      </c>
      <c r="Q144" s="271">
        <v>0.000305873963947272</v>
      </c>
      <c r="R144" s="272">
        <v>0.994650358410031</v>
      </c>
    </row>
    <row r="145" ht="25.5" spans="1:18">
      <c r="A145" s="267" t="s">
        <v>1487</v>
      </c>
      <c r="B145" s="268" t="s">
        <v>1393</v>
      </c>
      <c r="C145" s="269" t="s">
        <v>1488</v>
      </c>
      <c r="D145" s="91" t="s">
        <v>476</v>
      </c>
      <c r="E145" s="270">
        <v>3.42175</v>
      </c>
      <c r="F145" s="270">
        <v>227.89</v>
      </c>
      <c r="G145" s="270">
        <f t="shared" si="6"/>
        <v>779.78</v>
      </c>
      <c r="H145" s="271">
        <v>0.000292501379157994</v>
      </c>
      <c r="I145" s="272">
        <v>0.994942859789189</v>
      </c>
      <c r="K145" s="251">
        <f t="shared" si="8"/>
        <v>0</v>
      </c>
      <c r="N145" s="270">
        <v>3.42175</v>
      </c>
      <c r="O145" s="270">
        <v>227.89</v>
      </c>
      <c r="P145" s="270">
        <f t="shared" si="7"/>
        <v>779.78</v>
      </c>
      <c r="Q145" s="271">
        <v>0.000292501379157994</v>
      </c>
      <c r="R145" s="272">
        <v>0.994942859789189</v>
      </c>
    </row>
    <row r="146" ht="38.25" spans="1:18">
      <c r="A146" s="267" t="s">
        <v>1489</v>
      </c>
      <c r="B146" s="268" t="s">
        <v>1490</v>
      </c>
      <c r="C146" s="269" t="s">
        <v>1491</v>
      </c>
      <c r="D146" s="91" t="s">
        <v>494</v>
      </c>
      <c r="E146" s="270">
        <v>3503.567531</v>
      </c>
      <c r="F146" s="270">
        <v>0.22</v>
      </c>
      <c r="G146" s="270">
        <f t="shared" si="6"/>
        <v>770.78</v>
      </c>
      <c r="H146" s="271">
        <v>0.0002891254110485</v>
      </c>
      <c r="I146" s="272">
        <v>0.995231985200237</v>
      </c>
      <c r="K146" s="251">
        <f t="shared" si="8"/>
        <v>0</v>
      </c>
      <c r="N146" s="270">
        <v>3503.567531</v>
      </c>
      <c r="O146" s="270">
        <v>0.22</v>
      </c>
      <c r="P146" s="270">
        <f t="shared" si="7"/>
        <v>770.78</v>
      </c>
      <c r="Q146" s="271">
        <v>0.0002891254110485</v>
      </c>
      <c r="R146" s="272">
        <v>0.995231985200237</v>
      </c>
    </row>
    <row r="147" s="232" customFormat="1" spans="1:18">
      <c r="A147" s="267" t="s">
        <v>1492</v>
      </c>
      <c r="B147" s="268" t="s">
        <v>1493</v>
      </c>
      <c r="C147" s="269" t="s">
        <v>1494</v>
      </c>
      <c r="D147" s="91" t="s">
        <v>463</v>
      </c>
      <c r="E147" s="270">
        <v>65.312</v>
      </c>
      <c r="F147" s="270">
        <v>11.79</v>
      </c>
      <c r="G147" s="270">
        <f t="shared" si="6"/>
        <v>770.03</v>
      </c>
      <c r="H147" s="271">
        <v>0.000288844080372708</v>
      </c>
      <c r="I147" s="272">
        <v>0.99552082928061</v>
      </c>
      <c r="K147" s="251">
        <f t="shared" si="8"/>
        <v>0</v>
      </c>
      <c r="N147" s="270">
        <v>65.312</v>
      </c>
      <c r="O147" s="270">
        <v>11.79</v>
      </c>
      <c r="P147" s="270">
        <f t="shared" si="7"/>
        <v>770.03</v>
      </c>
      <c r="Q147" s="271">
        <v>0.000288844080372708</v>
      </c>
      <c r="R147" s="272">
        <v>0.99552082928061</v>
      </c>
    </row>
    <row r="148" ht="51" spans="1:18">
      <c r="A148" s="267" t="s">
        <v>1495</v>
      </c>
      <c r="B148" s="268" t="s">
        <v>1496</v>
      </c>
      <c r="C148" s="269" t="s">
        <v>628</v>
      </c>
      <c r="D148" s="91" t="s">
        <v>494</v>
      </c>
      <c r="E148" s="270">
        <v>1</v>
      </c>
      <c r="F148" s="270">
        <v>769.62</v>
      </c>
      <c r="G148" s="270">
        <f t="shared" si="6"/>
        <v>769.62</v>
      </c>
      <c r="H148" s="271">
        <v>0.000288690286269942</v>
      </c>
      <c r="I148" s="272">
        <v>0.99580951956688</v>
      </c>
      <c r="K148" s="251">
        <f t="shared" si="8"/>
        <v>0</v>
      </c>
      <c r="N148" s="270">
        <v>1</v>
      </c>
      <c r="O148" s="270">
        <v>769.62</v>
      </c>
      <c r="P148" s="270">
        <f t="shared" si="7"/>
        <v>769.62</v>
      </c>
      <c r="Q148" s="271">
        <v>0.000288690286269942</v>
      </c>
      <c r="R148" s="272">
        <v>0.99580951956688</v>
      </c>
    </row>
    <row r="149" ht="38.25" spans="1:18">
      <c r="A149" s="264" t="s">
        <v>1497</v>
      </c>
      <c r="B149" s="265" t="s">
        <v>1498</v>
      </c>
      <c r="C149" s="220" t="s">
        <v>1499</v>
      </c>
      <c r="D149" s="221" t="s">
        <v>466</v>
      </c>
      <c r="E149" s="222">
        <v>19.949079</v>
      </c>
      <c r="F149" s="222">
        <f>COTAÇÃO!I190</f>
        <v>38.43</v>
      </c>
      <c r="G149" s="222">
        <f t="shared" si="6"/>
        <v>766.64</v>
      </c>
      <c r="H149" s="266">
        <v>0.000284654128841257</v>
      </c>
      <c r="I149" s="224">
        <v>0.996094173695721</v>
      </c>
      <c r="J149" s="234" t="str">
        <f>COTAÇÃO!$I$181</f>
        <v>ATACADO DA MADEIRA</v>
      </c>
      <c r="K149" s="251">
        <f t="shared" si="8"/>
        <v>7.77999999999997</v>
      </c>
      <c r="N149" s="222">
        <v>19.949079</v>
      </c>
      <c r="O149" s="222">
        <v>38.04</v>
      </c>
      <c r="P149" s="222">
        <f t="shared" si="7"/>
        <v>758.86</v>
      </c>
      <c r="Q149" s="266">
        <v>0.000284654128841257</v>
      </c>
      <c r="R149" s="224">
        <v>0.996094173695721</v>
      </c>
    </row>
    <row r="150" ht="51" spans="1:18">
      <c r="A150" s="260" t="s">
        <v>1508</v>
      </c>
      <c r="B150" s="261" t="s">
        <v>1509</v>
      </c>
      <c r="C150" s="215" t="s">
        <v>600</v>
      </c>
      <c r="D150" s="216" t="s">
        <v>601</v>
      </c>
      <c r="E150" s="217">
        <v>23.25</v>
      </c>
      <c r="F150" s="217">
        <v>28.42</v>
      </c>
      <c r="G150" s="217">
        <f t="shared" si="6"/>
        <v>660.77</v>
      </c>
      <c r="H150" s="262">
        <v>0.00024785982752344</v>
      </c>
      <c r="I150" s="219">
        <v>0.996342033523245</v>
      </c>
      <c r="K150" s="251">
        <f t="shared" si="8"/>
        <v>0</v>
      </c>
      <c r="N150" s="217">
        <v>23.25</v>
      </c>
      <c r="O150" s="217">
        <v>28.42</v>
      </c>
      <c r="P150" s="217">
        <f t="shared" si="7"/>
        <v>660.77</v>
      </c>
      <c r="Q150" s="262">
        <v>0.00024785982752344</v>
      </c>
      <c r="R150" s="219">
        <v>0.996342033523245</v>
      </c>
    </row>
    <row r="151" s="237" customFormat="1" ht="51" spans="1:18">
      <c r="A151" s="273" t="s">
        <v>1512</v>
      </c>
      <c r="B151" s="274" t="s">
        <v>1513</v>
      </c>
      <c r="C151" s="195" t="s">
        <v>677</v>
      </c>
      <c r="D151" s="196" t="s">
        <v>494</v>
      </c>
      <c r="E151" s="197">
        <v>2</v>
      </c>
      <c r="F151" s="197">
        <f>COTAÇÃO!J133</f>
        <v>298.5</v>
      </c>
      <c r="G151" s="197">
        <f t="shared" si="6"/>
        <v>597</v>
      </c>
      <c r="H151" s="275">
        <v>0.000244907730965471</v>
      </c>
      <c r="I151" s="199">
        <v>0.99658694125421</v>
      </c>
      <c r="J151" s="235" t="s">
        <v>1919</v>
      </c>
      <c r="K151" s="251">
        <f t="shared" si="8"/>
        <v>-55.9</v>
      </c>
      <c r="N151" s="197">
        <v>2</v>
      </c>
      <c r="O151" s="197">
        <v>326.45</v>
      </c>
      <c r="P151" s="197">
        <f t="shared" si="7"/>
        <v>652.9</v>
      </c>
      <c r="Q151" s="275">
        <v>0.000244907730965471</v>
      </c>
      <c r="R151" s="199">
        <v>0.99658694125421</v>
      </c>
    </row>
    <row r="152" ht="38.25" spans="1:18">
      <c r="A152" s="267" t="s">
        <v>1516</v>
      </c>
      <c r="B152" s="268" t="s">
        <v>1186</v>
      </c>
      <c r="C152" s="269" t="s">
        <v>1517</v>
      </c>
      <c r="D152" s="91" t="s">
        <v>112</v>
      </c>
      <c r="E152" s="270">
        <v>21.058125</v>
      </c>
      <c r="F152" s="270">
        <v>25.42</v>
      </c>
      <c r="G152" s="270">
        <f t="shared" si="6"/>
        <v>535.3</v>
      </c>
      <c r="H152" s="271">
        <v>0.000200795081001404</v>
      </c>
      <c r="I152" s="272">
        <v>0.996787736335211</v>
      </c>
      <c r="K152" s="251">
        <f t="shared" si="8"/>
        <v>0</v>
      </c>
      <c r="N152" s="270">
        <v>21.058125</v>
      </c>
      <c r="O152" s="270">
        <v>25.42</v>
      </c>
      <c r="P152" s="270">
        <f t="shared" si="7"/>
        <v>535.3</v>
      </c>
      <c r="Q152" s="271">
        <v>0.000200795081001404</v>
      </c>
      <c r="R152" s="272">
        <v>0.996787736335211</v>
      </c>
    </row>
    <row r="153" s="235" customFormat="1" ht="25.5" spans="1:18">
      <c r="A153" s="252" t="s">
        <v>1518</v>
      </c>
      <c r="B153" s="253" t="s">
        <v>1519</v>
      </c>
      <c r="C153" s="184" t="s">
        <v>1520</v>
      </c>
      <c r="D153" s="185" t="s">
        <v>476</v>
      </c>
      <c r="E153" s="186">
        <v>2.423973</v>
      </c>
      <c r="F153" s="186">
        <f>COTAÇÃO!I61</f>
        <v>160</v>
      </c>
      <c r="G153" s="186">
        <f t="shared" si="6"/>
        <v>387.84</v>
      </c>
      <c r="H153" s="254">
        <v>0.00018883290066676</v>
      </c>
      <c r="I153" s="188">
        <v>0.996976569235878</v>
      </c>
      <c r="K153" s="251">
        <f t="shared" si="8"/>
        <v>-115.57</v>
      </c>
      <c r="N153" s="186">
        <v>2.423973</v>
      </c>
      <c r="O153" s="186">
        <v>207.68</v>
      </c>
      <c r="P153" s="186">
        <f t="shared" si="7"/>
        <v>503.41</v>
      </c>
      <c r="Q153" s="254">
        <v>0.00018883290066676</v>
      </c>
      <c r="R153" s="188">
        <v>0.996976569235878</v>
      </c>
    </row>
    <row r="154" ht="89.25" spans="1:18">
      <c r="A154" s="267" t="s">
        <v>1524</v>
      </c>
      <c r="B154" s="268" t="s">
        <v>1525</v>
      </c>
      <c r="C154" s="269" t="s">
        <v>661</v>
      </c>
      <c r="D154" s="91" t="s">
        <v>494</v>
      </c>
      <c r="E154" s="270">
        <v>80</v>
      </c>
      <c r="F154" s="270">
        <v>6.11</v>
      </c>
      <c r="G154" s="270">
        <f t="shared" si="6"/>
        <v>488.8</v>
      </c>
      <c r="H154" s="271">
        <v>0.000183352579102346</v>
      </c>
      <c r="I154" s="272">
        <v>0.99715992181498</v>
      </c>
      <c r="K154" s="251">
        <f t="shared" si="8"/>
        <v>0</v>
      </c>
      <c r="N154" s="270">
        <v>80</v>
      </c>
      <c r="O154" s="270">
        <v>6.11</v>
      </c>
      <c r="P154" s="270">
        <f t="shared" si="7"/>
        <v>488.8</v>
      </c>
      <c r="Q154" s="271">
        <v>0.000183352579102346</v>
      </c>
      <c r="R154" s="272">
        <v>0.99715992181498</v>
      </c>
    </row>
    <row r="155" s="226" customFormat="1" ht="38.25" spans="1:18">
      <c r="A155" s="267" t="s">
        <v>1526</v>
      </c>
      <c r="B155" s="268" t="s">
        <v>1527</v>
      </c>
      <c r="C155" s="269" t="s">
        <v>1528</v>
      </c>
      <c r="D155" s="91" t="s">
        <v>463</v>
      </c>
      <c r="E155" s="270">
        <v>100.683</v>
      </c>
      <c r="F155" s="270">
        <v>4.76</v>
      </c>
      <c r="G155" s="270">
        <f t="shared" si="6"/>
        <v>479.25</v>
      </c>
      <c r="H155" s="271">
        <v>0.000179770301830605</v>
      </c>
      <c r="I155" s="272">
        <v>0.997339692116811</v>
      </c>
      <c r="K155" s="251">
        <f t="shared" si="8"/>
        <v>0</v>
      </c>
      <c r="N155" s="270">
        <v>100.683</v>
      </c>
      <c r="O155" s="270">
        <v>4.76</v>
      </c>
      <c r="P155" s="270">
        <f t="shared" si="7"/>
        <v>479.25</v>
      </c>
      <c r="Q155" s="271">
        <v>0.000179770301830605</v>
      </c>
      <c r="R155" s="272">
        <v>0.997339692116811</v>
      </c>
    </row>
    <row r="156" s="235" customFormat="1" ht="51" spans="1:18">
      <c r="A156" s="267" t="s">
        <v>1531</v>
      </c>
      <c r="B156" s="268" t="s">
        <v>1532</v>
      </c>
      <c r="C156" s="269" t="s">
        <v>645</v>
      </c>
      <c r="D156" s="91" t="s">
        <v>494</v>
      </c>
      <c r="E156" s="270">
        <v>2</v>
      </c>
      <c r="F156" s="270">
        <v>227.51</v>
      </c>
      <c r="G156" s="270">
        <f t="shared" si="6"/>
        <v>455.02</v>
      </c>
      <c r="H156" s="271">
        <v>0.000170681445464709</v>
      </c>
      <c r="I156" s="272">
        <v>0.997510373562276</v>
      </c>
      <c r="K156" s="251">
        <f t="shared" si="8"/>
        <v>0</v>
      </c>
      <c r="N156" s="270">
        <v>2</v>
      </c>
      <c r="O156" s="270">
        <v>227.51</v>
      </c>
      <c r="P156" s="270">
        <f t="shared" si="7"/>
        <v>455.02</v>
      </c>
      <c r="Q156" s="271">
        <v>0.000170681445464709</v>
      </c>
      <c r="R156" s="272">
        <v>0.997510373562276</v>
      </c>
    </row>
    <row r="157" ht="25.5" spans="1:18">
      <c r="A157" s="267" t="s">
        <v>1533</v>
      </c>
      <c r="B157" s="268" t="s">
        <v>1534</v>
      </c>
      <c r="C157" s="269" t="s">
        <v>1535</v>
      </c>
      <c r="D157" s="91" t="s">
        <v>1536</v>
      </c>
      <c r="E157" s="270">
        <v>2.0888</v>
      </c>
      <c r="F157" s="270">
        <v>214.19</v>
      </c>
      <c r="G157" s="270">
        <f t="shared" si="6"/>
        <v>447.4</v>
      </c>
      <c r="H157" s="271">
        <v>0.00016782312579867</v>
      </c>
      <c r="I157" s="272">
        <v>0.997678196688074</v>
      </c>
      <c r="K157" s="251">
        <f t="shared" si="8"/>
        <v>0</v>
      </c>
      <c r="N157" s="270">
        <v>2.0888</v>
      </c>
      <c r="O157" s="270">
        <v>214.19</v>
      </c>
      <c r="P157" s="270">
        <f t="shared" si="7"/>
        <v>447.4</v>
      </c>
      <c r="Q157" s="271">
        <v>0.00016782312579867</v>
      </c>
      <c r="R157" s="272">
        <v>0.997678196688074</v>
      </c>
    </row>
    <row r="158" spans="1:18">
      <c r="A158" s="267" t="s">
        <v>1546</v>
      </c>
      <c r="B158" s="268" t="s">
        <v>1493</v>
      </c>
      <c r="C158" s="269" t="s">
        <v>1547</v>
      </c>
      <c r="D158" s="91" t="s">
        <v>494</v>
      </c>
      <c r="E158" s="270">
        <v>0.973338</v>
      </c>
      <c r="F158" s="270">
        <v>421.37</v>
      </c>
      <c r="G158" s="270">
        <f t="shared" si="6"/>
        <v>410.14</v>
      </c>
      <c r="H158" s="271">
        <v>0.000153846617825361</v>
      </c>
      <c r="I158" s="272">
        <v>0.9978320433059</v>
      </c>
      <c r="K158" s="251">
        <f t="shared" si="8"/>
        <v>0</v>
      </c>
      <c r="N158" s="270">
        <v>0.973338</v>
      </c>
      <c r="O158" s="270">
        <v>421.37</v>
      </c>
      <c r="P158" s="270">
        <f t="shared" si="7"/>
        <v>410.14</v>
      </c>
      <c r="Q158" s="271">
        <v>0.000153846617825361</v>
      </c>
      <c r="R158" s="272">
        <v>0.9978320433059</v>
      </c>
    </row>
    <row r="159" ht="38.25" spans="1:18">
      <c r="A159" s="267" t="s">
        <v>1555</v>
      </c>
      <c r="B159" s="268" t="s">
        <v>1556</v>
      </c>
      <c r="C159" s="269" t="s">
        <v>1557</v>
      </c>
      <c r="D159" s="91" t="s">
        <v>112</v>
      </c>
      <c r="E159" s="270">
        <v>10.0734</v>
      </c>
      <c r="F159" s="270">
        <v>34.35</v>
      </c>
      <c r="G159" s="270">
        <f t="shared" si="6"/>
        <v>346.02</v>
      </c>
      <c r="H159" s="271">
        <v>0.000129794720583048</v>
      </c>
      <c r="I159" s="272">
        <v>0.997961838026483</v>
      </c>
      <c r="K159" s="251">
        <f t="shared" si="8"/>
        <v>0</v>
      </c>
      <c r="N159" s="270">
        <v>10.0734</v>
      </c>
      <c r="O159" s="270">
        <v>34.35</v>
      </c>
      <c r="P159" s="270">
        <f t="shared" si="7"/>
        <v>346.02</v>
      </c>
      <c r="Q159" s="271">
        <v>0.000129794720583048</v>
      </c>
      <c r="R159" s="272">
        <v>0.997961838026483</v>
      </c>
    </row>
    <row r="160" spans="1:18">
      <c r="A160" s="267" t="s">
        <v>1563</v>
      </c>
      <c r="B160" s="268" t="s">
        <v>1564</v>
      </c>
      <c r="C160" s="269" t="s">
        <v>1565</v>
      </c>
      <c r="D160" s="91" t="s">
        <v>463</v>
      </c>
      <c r="E160" s="270">
        <v>34.714112</v>
      </c>
      <c r="F160" s="270">
        <v>9.05</v>
      </c>
      <c r="G160" s="270">
        <f t="shared" si="6"/>
        <v>314.16</v>
      </c>
      <c r="H160" s="271">
        <v>0.000117843793475436</v>
      </c>
      <c r="I160" s="272">
        <v>0.998079681819958</v>
      </c>
      <c r="K160" s="251">
        <f t="shared" si="8"/>
        <v>0</v>
      </c>
      <c r="N160" s="270">
        <v>34.714112</v>
      </c>
      <c r="O160" s="270">
        <v>9.05</v>
      </c>
      <c r="P160" s="270">
        <f t="shared" si="7"/>
        <v>314.16</v>
      </c>
      <c r="Q160" s="271">
        <v>0.000117843793475436</v>
      </c>
      <c r="R160" s="272">
        <v>0.998079681819958</v>
      </c>
    </row>
    <row r="161" s="235" customFormat="1" ht="25.5" spans="1:18">
      <c r="A161" s="267" t="s">
        <v>1566</v>
      </c>
      <c r="B161" s="268" t="s">
        <v>1567</v>
      </c>
      <c r="C161" s="269" t="s">
        <v>1568</v>
      </c>
      <c r="D161" s="91" t="s">
        <v>494</v>
      </c>
      <c r="E161" s="270">
        <v>100.8634</v>
      </c>
      <c r="F161" s="270">
        <v>2.92</v>
      </c>
      <c r="G161" s="270">
        <f t="shared" si="6"/>
        <v>294.52</v>
      </c>
      <c r="H161" s="271">
        <v>0.000110476680845383</v>
      </c>
      <c r="I161" s="272">
        <v>0.998190158500804</v>
      </c>
      <c r="K161" s="251">
        <f t="shared" si="8"/>
        <v>0</v>
      </c>
      <c r="N161" s="270">
        <v>100.8634</v>
      </c>
      <c r="O161" s="270">
        <v>2.92</v>
      </c>
      <c r="P161" s="270">
        <f t="shared" si="7"/>
        <v>294.52</v>
      </c>
      <c r="Q161" s="271">
        <v>0.000110476680845383</v>
      </c>
      <c r="R161" s="272">
        <v>0.998190158500804</v>
      </c>
    </row>
    <row r="162" s="235" customFormat="1" ht="38.25" spans="1:18">
      <c r="A162" s="267" t="s">
        <v>1571</v>
      </c>
      <c r="B162" s="268" t="s">
        <v>1572</v>
      </c>
      <c r="C162" s="269" t="s">
        <v>1573</v>
      </c>
      <c r="D162" s="91" t="s">
        <v>494</v>
      </c>
      <c r="E162" s="270">
        <v>1</v>
      </c>
      <c r="F162" s="270">
        <v>281.67</v>
      </c>
      <c r="G162" s="270">
        <f t="shared" si="6"/>
        <v>281.67</v>
      </c>
      <c r="H162" s="271">
        <v>0.000105656548600159</v>
      </c>
      <c r="I162" s="272">
        <v>0.998295815049404</v>
      </c>
      <c r="K162" s="251">
        <f t="shared" si="8"/>
        <v>0</v>
      </c>
      <c r="N162" s="270">
        <v>1</v>
      </c>
      <c r="O162" s="270">
        <v>281.67</v>
      </c>
      <c r="P162" s="270">
        <f t="shared" si="7"/>
        <v>281.67</v>
      </c>
      <c r="Q162" s="271">
        <v>0.000105656548600159</v>
      </c>
      <c r="R162" s="272">
        <v>0.998295815049404</v>
      </c>
    </row>
    <row r="163" spans="1:18">
      <c r="A163" s="267" t="s">
        <v>1574</v>
      </c>
      <c r="B163" s="268" t="s">
        <v>1575</v>
      </c>
      <c r="C163" s="269" t="s">
        <v>1576</v>
      </c>
      <c r="D163" s="91" t="s">
        <v>494</v>
      </c>
      <c r="E163" s="270">
        <v>1.0851</v>
      </c>
      <c r="F163" s="270">
        <v>256.5</v>
      </c>
      <c r="G163" s="270">
        <f t="shared" si="6"/>
        <v>278.33</v>
      </c>
      <c r="H163" s="271">
        <v>0.000104403689323969</v>
      </c>
      <c r="I163" s="272">
        <v>0.998400218738728</v>
      </c>
      <c r="K163" s="251">
        <f t="shared" si="8"/>
        <v>0</v>
      </c>
      <c r="N163" s="270">
        <v>1.0851</v>
      </c>
      <c r="O163" s="270">
        <v>256.5</v>
      </c>
      <c r="P163" s="270">
        <f t="shared" si="7"/>
        <v>278.33</v>
      </c>
      <c r="Q163" s="271">
        <v>0.000104403689323969</v>
      </c>
      <c r="R163" s="272">
        <v>0.998400218738728</v>
      </c>
    </row>
    <row r="164" s="229" customFormat="1" ht="38.25" spans="1:18">
      <c r="A164" s="267" t="s">
        <v>1580</v>
      </c>
      <c r="B164" s="268" t="s">
        <v>1581</v>
      </c>
      <c r="C164" s="269" t="s">
        <v>1582</v>
      </c>
      <c r="D164" s="91" t="s">
        <v>112</v>
      </c>
      <c r="E164" s="270">
        <v>38.006725</v>
      </c>
      <c r="F164" s="270">
        <v>7.07</v>
      </c>
      <c r="G164" s="270">
        <f t="shared" si="6"/>
        <v>268.71</v>
      </c>
      <c r="H164" s="271">
        <v>0.000100795154522487</v>
      </c>
      <c r="I164" s="272">
        <v>0.99850101389325</v>
      </c>
      <c r="K164" s="251">
        <f t="shared" si="8"/>
        <v>0</v>
      </c>
      <c r="N164" s="270">
        <v>38.006725</v>
      </c>
      <c r="O164" s="270">
        <v>7.07</v>
      </c>
      <c r="P164" s="270">
        <f t="shared" si="7"/>
        <v>268.71</v>
      </c>
      <c r="Q164" s="271">
        <v>0.000100795154522487</v>
      </c>
      <c r="R164" s="272">
        <v>0.99850101389325</v>
      </c>
    </row>
    <row r="165" s="235" customFormat="1" ht="38.25" spans="1:18">
      <c r="A165" s="267" t="s">
        <v>1583</v>
      </c>
      <c r="B165" s="268" t="s">
        <v>1584</v>
      </c>
      <c r="C165" s="269" t="s">
        <v>650</v>
      </c>
      <c r="D165" s="91" t="s">
        <v>112</v>
      </c>
      <c r="E165" s="270">
        <v>15</v>
      </c>
      <c r="F165" s="270">
        <v>17.06</v>
      </c>
      <c r="G165" s="270">
        <f t="shared" si="6"/>
        <v>255.9</v>
      </c>
      <c r="H165" s="271">
        <v>9.59900265799723e-5</v>
      </c>
      <c r="I165" s="272">
        <v>0.99859700391983</v>
      </c>
      <c r="K165" s="251">
        <f t="shared" si="8"/>
        <v>0</v>
      </c>
      <c r="N165" s="270">
        <v>15</v>
      </c>
      <c r="O165" s="270">
        <v>17.06</v>
      </c>
      <c r="P165" s="270">
        <f t="shared" si="7"/>
        <v>255.9</v>
      </c>
      <c r="Q165" s="271">
        <v>9.59900265799723e-5</v>
      </c>
      <c r="R165" s="272">
        <v>0.99859700391983</v>
      </c>
    </row>
    <row r="166" ht="25.5" spans="1:18">
      <c r="A166" s="267" t="s">
        <v>1585</v>
      </c>
      <c r="B166" s="268" t="s">
        <v>1586</v>
      </c>
      <c r="C166" s="269" t="s">
        <v>1587</v>
      </c>
      <c r="D166" s="91" t="s">
        <v>215</v>
      </c>
      <c r="E166" s="270">
        <v>34.847499</v>
      </c>
      <c r="F166" s="270">
        <v>7.16</v>
      </c>
      <c r="G166" s="270">
        <f t="shared" si="6"/>
        <v>249.51</v>
      </c>
      <c r="H166" s="271">
        <v>9.35930892222309e-5</v>
      </c>
      <c r="I166" s="272">
        <v>0.998690597009052</v>
      </c>
      <c r="K166" s="251">
        <f t="shared" si="8"/>
        <v>0</v>
      </c>
      <c r="N166" s="270">
        <v>34.847499</v>
      </c>
      <c r="O166" s="270">
        <v>7.16</v>
      </c>
      <c r="P166" s="270">
        <f t="shared" si="7"/>
        <v>249.51</v>
      </c>
      <c r="Q166" s="271">
        <v>9.35930892222309e-5</v>
      </c>
      <c r="R166" s="272">
        <v>0.998690597009052</v>
      </c>
    </row>
    <row r="167" ht="25.5" spans="1:18">
      <c r="A167" s="267" t="s">
        <v>1588</v>
      </c>
      <c r="B167" s="268" t="s">
        <v>1589</v>
      </c>
      <c r="C167" s="269" t="s">
        <v>1590</v>
      </c>
      <c r="D167" s="91" t="s">
        <v>112</v>
      </c>
      <c r="E167" s="270">
        <v>28.0775</v>
      </c>
      <c r="F167" s="270">
        <v>8.79</v>
      </c>
      <c r="G167" s="270">
        <f t="shared" si="6"/>
        <v>246.8</v>
      </c>
      <c r="H167" s="271">
        <v>9.25765477137052e-5</v>
      </c>
      <c r="I167" s="272">
        <v>0.998783173556766</v>
      </c>
      <c r="K167" s="251">
        <f t="shared" si="8"/>
        <v>0</v>
      </c>
      <c r="N167" s="270">
        <v>28.0775</v>
      </c>
      <c r="O167" s="270">
        <v>8.79</v>
      </c>
      <c r="P167" s="270">
        <f t="shared" si="7"/>
        <v>246.8</v>
      </c>
      <c r="Q167" s="271">
        <v>9.25765477137052e-5</v>
      </c>
      <c r="R167" s="272">
        <v>0.998783173556766</v>
      </c>
    </row>
    <row r="168" ht="38.25" spans="1:18">
      <c r="A168" s="267" t="s">
        <v>1591</v>
      </c>
      <c r="B168" s="268" t="s">
        <v>1592</v>
      </c>
      <c r="C168" s="269" t="s">
        <v>1593</v>
      </c>
      <c r="D168" s="91" t="s">
        <v>494</v>
      </c>
      <c r="E168" s="270">
        <v>2</v>
      </c>
      <c r="F168" s="270">
        <v>122.65</v>
      </c>
      <c r="G168" s="270">
        <f t="shared" si="6"/>
        <v>245.3</v>
      </c>
      <c r="H168" s="271">
        <v>9.20138863621227e-5</v>
      </c>
      <c r="I168" s="272">
        <v>0.998875187443128</v>
      </c>
      <c r="K168" s="251">
        <f t="shared" si="8"/>
        <v>0</v>
      </c>
      <c r="N168" s="270">
        <v>2</v>
      </c>
      <c r="O168" s="270">
        <v>122.65</v>
      </c>
      <c r="P168" s="270">
        <f t="shared" si="7"/>
        <v>245.3</v>
      </c>
      <c r="Q168" s="271">
        <v>9.20138863621227e-5</v>
      </c>
      <c r="R168" s="272">
        <v>0.998875187443128</v>
      </c>
    </row>
    <row r="169" ht="51" spans="1:18">
      <c r="A169" s="267" t="s">
        <v>1594</v>
      </c>
      <c r="B169" s="268" t="s">
        <v>1595</v>
      </c>
      <c r="C169" s="269" t="s">
        <v>631</v>
      </c>
      <c r="D169" s="91" t="s">
        <v>494</v>
      </c>
      <c r="E169" s="270">
        <v>2</v>
      </c>
      <c r="F169" s="270">
        <v>96.2</v>
      </c>
      <c r="G169" s="270">
        <f t="shared" si="6"/>
        <v>192.4</v>
      </c>
      <c r="H169" s="271">
        <v>7.2170696029647e-5</v>
      </c>
      <c r="I169" s="272">
        <v>0.998947358139158</v>
      </c>
      <c r="K169" s="251">
        <f t="shared" si="8"/>
        <v>0</v>
      </c>
      <c r="N169" s="270">
        <v>2</v>
      </c>
      <c r="O169" s="270">
        <v>96.2</v>
      </c>
      <c r="P169" s="270">
        <f t="shared" si="7"/>
        <v>192.4</v>
      </c>
      <c r="Q169" s="271">
        <v>7.2170696029647e-5</v>
      </c>
      <c r="R169" s="272">
        <v>0.998947358139158</v>
      </c>
    </row>
    <row r="170" spans="1:18">
      <c r="A170" s="267" t="s">
        <v>1596</v>
      </c>
      <c r="B170" s="268" t="s">
        <v>1251</v>
      </c>
      <c r="C170" s="269" t="s">
        <v>1597</v>
      </c>
      <c r="D170" s="91" t="s">
        <v>463</v>
      </c>
      <c r="E170" s="270">
        <v>9.86359</v>
      </c>
      <c r="F170" s="270">
        <v>18.72</v>
      </c>
      <c r="G170" s="270">
        <f t="shared" si="6"/>
        <v>184.65</v>
      </c>
      <c r="H170" s="271">
        <v>6.92636123798042e-5</v>
      </c>
      <c r="I170" s="272">
        <v>0.999016621751538</v>
      </c>
      <c r="K170" s="251">
        <f t="shared" si="8"/>
        <v>0</v>
      </c>
      <c r="N170" s="270">
        <v>9.86359</v>
      </c>
      <c r="O170" s="270">
        <v>18.72</v>
      </c>
      <c r="P170" s="270">
        <f t="shared" si="7"/>
        <v>184.65</v>
      </c>
      <c r="Q170" s="271">
        <v>6.92636123798042e-5</v>
      </c>
      <c r="R170" s="272">
        <v>0.999016621751538</v>
      </c>
    </row>
    <row r="171" spans="1:18">
      <c r="A171" s="267" t="s">
        <v>1598</v>
      </c>
      <c r="B171" s="268" t="s">
        <v>1599</v>
      </c>
      <c r="C171" s="269" t="s">
        <v>1600</v>
      </c>
      <c r="D171" s="91" t="s">
        <v>494</v>
      </c>
      <c r="E171" s="270">
        <v>0.271275</v>
      </c>
      <c r="F171" s="270">
        <v>666.25</v>
      </c>
      <c r="G171" s="270">
        <f t="shared" si="6"/>
        <v>180.74</v>
      </c>
      <c r="H171" s="271">
        <v>6.77969417900125e-5</v>
      </c>
      <c r="I171" s="272">
        <v>0.999084418693328</v>
      </c>
      <c r="K171" s="251">
        <f t="shared" si="8"/>
        <v>0</v>
      </c>
      <c r="N171" s="270">
        <v>0.271275</v>
      </c>
      <c r="O171" s="270">
        <v>666.25</v>
      </c>
      <c r="P171" s="270">
        <f t="shared" si="7"/>
        <v>180.74</v>
      </c>
      <c r="Q171" s="271">
        <v>6.77969417900125e-5</v>
      </c>
      <c r="R171" s="272">
        <v>0.999084418693328</v>
      </c>
    </row>
    <row r="172" ht="25.5" spans="1:18">
      <c r="A172" s="267" t="s">
        <v>1601</v>
      </c>
      <c r="B172" s="268" t="s">
        <v>1602</v>
      </c>
      <c r="C172" s="269" t="s">
        <v>1603</v>
      </c>
      <c r="D172" s="91" t="s">
        <v>112</v>
      </c>
      <c r="E172" s="270">
        <v>66.270726</v>
      </c>
      <c r="F172" s="270">
        <v>2.72</v>
      </c>
      <c r="G172" s="270">
        <f t="shared" si="6"/>
        <v>180.26</v>
      </c>
      <c r="H172" s="271">
        <v>6.76168901575061e-5</v>
      </c>
      <c r="I172" s="272">
        <v>0.999152035583485</v>
      </c>
      <c r="K172" s="251">
        <f t="shared" si="8"/>
        <v>0</v>
      </c>
      <c r="N172" s="270">
        <v>66.270726</v>
      </c>
      <c r="O172" s="270">
        <v>2.72</v>
      </c>
      <c r="P172" s="270">
        <f t="shared" si="7"/>
        <v>180.26</v>
      </c>
      <c r="Q172" s="271">
        <v>6.76168901575061e-5</v>
      </c>
      <c r="R172" s="272">
        <v>0.999152035583485</v>
      </c>
    </row>
    <row r="173" s="235" customFormat="1" ht="51" spans="1:18">
      <c r="A173" s="267" t="s">
        <v>1610</v>
      </c>
      <c r="B173" s="268" t="s">
        <v>1611</v>
      </c>
      <c r="C173" s="269" t="s">
        <v>657</v>
      </c>
      <c r="D173" s="91" t="s">
        <v>494</v>
      </c>
      <c r="E173" s="270">
        <v>2</v>
      </c>
      <c r="F173" s="270">
        <v>83.24</v>
      </c>
      <c r="G173" s="270">
        <f t="shared" si="6"/>
        <v>166.48</v>
      </c>
      <c r="H173" s="271">
        <v>6.24479078743016e-5</v>
      </c>
      <c r="I173" s="272">
        <v>0.99921448349136</v>
      </c>
      <c r="K173" s="251">
        <f t="shared" si="8"/>
        <v>0</v>
      </c>
      <c r="N173" s="270">
        <v>2</v>
      </c>
      <c r="O173" s="270">
        <v>83.24</v>
      </c>
      <c r="P173" s="270">
        <f t="shared" si="7"/>
        <v>166.48</v>
      </c>
      <c r="Q173" s="271">
        <v>6.24479078743016e-5</v>
      </c>
      <c r="R173" s="272">
        <v>0.99921448349136</v>
      </c>
    </row>
    <row r="174" ht="25.5" spans="1:18">
      <c r="A174" s="267" t="s">
        <v>1614</v>
      </c>
      <c r="B174" s="268" t="s">
        <v>1364</v>
      </c>
      <c r="C174" s="269" t="s">
        <v>1615</v>
      </c>
      <c r="D174" s="91" t="s">
        <v>112</v>
      </c>
      <c r="E174" s="270">
        <v>19.946688</v>
      </c>
      <c r="F174" s="270">
        <v>8.28</v>
      </c>
      <c r="G174" s="270">
        <f t="shared" si="6"/>
        <v>165.16</v>
      </c>
      <c r="H174" s="271">
        <v>6.1952765884909e-5</v>
      </c>
      <c r="I174" s="272">
        <v>0.999276436257245</v>
      </c>
      <c r="K174" s="251">
        <f t="shared" si="8"/>
        <v>0</v>
      </c>
      <c r="N174" s="270">
        <v>19.946688</v>
      </c>
      <c r="O174" s="270">
        <v>8.28</v>
      </c>
      <c r="P174" s="270">
        <f t="shared" si="7"/>
        <v>165.16</v>
      </c>
      <c r="Q174" s="271">
        <v>6.1952765884909e-5</v>
      </c>
      <c r="R174" s="272">
        <v>0.999276436257245</v>
      </c>
    </row>
    <row r="175" ht="25.5" spans="1:18">
      <c r="A175" s="267" t="s">
        <v>1616</v>
      </c>
      <c r="B175" s="268" t="s">
        <v>1617</v>
      </c>
      <c r="C175" s="269" t="s">
        <v>1618</v>
      </c>
      <c r="D175" s="91" t="s">
        <v>494</v>
      </c>
      <c r="E175" s="270">
        <v>121.5126</v>
      </c>
      <c r="F175" s="270">
        <v>1.35</v>
      </c>
      <c r="G175" s="270">
        <f t="shared" si="6"/>
        <v>164.04</v>
      </c>
      <c r="H175" s="271">
        <v>6.15326454090608e-5</v>
      </c>
      <c r="I175" s="272">
        <v>0.999337968902654</v>
      </c>
      <c r="K175" s="251">
        <f t="shared" si="8"/>
        <v>0</v>
      </c>
      <c r="N175" s="270">
        <v>121.5126</v>
      </c>
      <c r="O175" s="270">
        <v>1.35</v>
      </c>
      <c r="P175" s="270">
        <f t="shared" si="7"/>
        <v>164.04</v>
      </c>
      <c r="Q175" s="271">
        <v>6.15326454090608e-5</v>
      </c>
      <c r="R175" s="272">
        <v>0.999337968902654</v>
      </c>
    </row>
    <row r="176" spans="1:18">
      <c r="A176" s="267" t="s">
        <v>1622</v>
      </c>
      <c r="B176" s="268" t="s">
        <v>1623</v>
      </c>
      <c r="C176" s="269" t="s">
        <v>1624</v>
      </c>
      <c r="D176" s="91" t="s">
        <v>494</v>
      </c>
      <c r="E176" s="270">
        <v>0.54255</v>
      </c>
      <c r="F176" s="270">
        <v>262.2</v>
      </c>
      <c r="G176" s="270">
        <f t="shared" si="6"/>
        <v>142.26</v>
      </c>
      <c r="H176" s="271">
        <v>5.33628025840831e-5</v>
      </c>
      <c r="I176" s="272">
        <v>0.999391331705238</v>
      </c>
      <c r="K176" s="251">
        <f t="shared" si="8"/>
        <v>0</v>
      </c>
      <c r="N176" s="270">
        <v>0.54255</v>
      </c>
      <c r="O176" s="270">
        <v>262.2</v>
      </c>
      <c r="P176" s="270">
        <f t="shared" si="7"/>
        <v>142.26</v>
      </c>
      <c r="Q176" s="271">
        <v>5.33628025840831e-5</v>
      </c>
      <c r="R176" s="272">
        <v>0.999391331705238</v>
      </c>
    </row>
    <row r="177" ht="25.5" spans="1:18">
      <c r="A177" s="267" t="s">
        <v>1625</v>
      </c>
      <c r="B177" s="268" t="s">
        <v>1625</v>
      </c>
      <c r="C177" s="269" t="s">
        <v>1626</v>
      </c>
      <c r="D177" s="91" t="s">
        <v>215</v>
      </c>
      <c r="E177" s="270">
        <v>1.525772</v>
      </c>
      <c r="F177" s="270">
        <v>92.22</v>
      </c>
      <c r="G177" s="270">
        <f t="shared" si="6"/>
        <v>140.71</v>
      </c>
      <c r="H177" s="271">
        <v>5.27813858541145e-5</v>
      </c>
      <c r="I177" s="272">
        <v>0.999444113091092</v>
      </c>
      <c r="K177" s="251">
        <f t="shared" si="8"/>
        <v>0</v>
      </c>
      <c r="N177" s="270">
        <v>1.525772</v>
      </c>
      <c r="O177" s="270">
        <v>92.22</v>
      </c>
      <c r="P177" s="270">
        <f t="shared" si="7"/>
        <v>140.71</v>
      </c>
      <c r="Q177" s="271">
        <v>5.27813858541145e-5</v>
      </c>
      <c r="R177" s="272">
        <v>0.999444113091092</v>
      </c>
    </row>
    <row r="178" s="235" customFormat="1" ht="38.25" spans="1:18">
      <c r="A178" s="267" t="s">
        <v>1629</v>
      </c>
      <c r="B178" s="268" t="s">
        <v>1367</v>
      </c>
      <c r="C178" s="269" t="s">
        <v>1630</v>
      </c>
      <c r="D178" s="91" t="s">
        <v>494</v>
      </c>
      <c r="E178" s="270">
        <v>1</v>
      </c>
      <c r="F178" s="270">
        <v>131.36</v>
      </c>
      <c r="G178" s="270">
        <f t="shared" si="6"/>
        <v>131.36</v>
      </c>
      <c r="H178" s="271">
        <v>4.9274130095917e-5</v>
      </c>
      <c r="I178" s="272">
        <v>0.999493387221188</v>
      </c>
      <c r="K178" s="251">
        <f t="shared" si="8"/>
        <v>0</v>
      </c>
      <c r="N178" s="270">
        <v>1</v>
      </c>
      <c r="O178" s="270">
        <v>131.36</v>
      </c>
      <c r="P178" s="270">
        <f t="shared" si="7"/>
        <v>131.36</v>
      </c>
      <c r="Q178" s="271">
        <v>4.9274130095917e-5</v>
      </c>
      <c r="R178" s="272">
        <v>0.999493387221188</v>
      </c>
    </row>
    <row r="179" ht="25.5" spans="1:18">
      <c r="A179" s="267" t="s">
        <v>1631</v>
      </c>
      <c r="B179" s="268" t="s">
        <v>1632</v>
      </c>
      <c r="C179" s="269" t="s">
        <v>625</v>
      </c>
      <c r="D179" s="91" t="s">
        <v>494</v>
      </c>
      <c r="E179" s="270">
        <v>1</v>
      </c>
      <c r="F179" s="270">
        <v>129.9</v>
      </c>
      <c r="G179" s="270">
        <f t="shared" si="6"/>
        <v>129.9</v>
      </c>
      <c r="H179" s="271">
        <v>4.87264730470434e-5</v>
      </c>
      <c r="I179" s="272">
        <v>0.999542113694235</v>
      </c>
      <c r="K179" s="251">
        <f t="shared" si="8"/>
        <v>0</v>
      </c>
      <c r="N179" s="270">
        <v>1</v>
      </c>
      <c r="O179" s="270">
        <v>129.9</v>
      </c>
      <c r="P179" s="270">
        <f t="shared" si="7"/>
        <v>129.9</v>
      </c>
      <c r="Q179" s="271">
        <v>4.87264730470434e-5</v>
      </c>
      <c r="R179" s="272">
        <v>0.999542113694235</v>
      </c>
    </row>
    <row r="180" ht="25.5" spans="1:18">
      <c r="A180" s="267" t="s">
        <v>1636</v>
      </c>
      <c r="B180" s="268" t="s">
        <v>1637</v>
      </c>
      <c r="C180" s="269" t="s">
        <v>1638</v>
      </c>
      <c r="D180" s="91" t="s">
        <v>494</v>
      </c>
      <c r="E180" s="270">
        <v>1</v>
      </c>
      <c r="F180" s="270">
        <v>123.7</v>
      </c>
      <c r="G180" s="270">
        <f t="shared" si="6"/>
        <v>123.7</v>
      </c>
      <c r="H180" s="271">
        <v>4.64008061271691e-5</v>
      </c>
      <c r="I180" s="272">
        <v>0.999588514500362</v>
      </c>
      <c r="K180" s="251">
        <f t="shared" si="8"/>
        <v>0</v>
      </c>
      <c r="N180" s="270">
        <v>1</v>
      </c>
      <c r="O180" s="270">
        <v>123.7</v>
      </c>
      <c r="P180" s="270">
        <f t="shared" si="7"/>
        <v>123.7</v>
      </c>
      <c r="Q180" s="271">
        <v>4.64008061271691e-5</v>
      </c>
      <c r="R180" s="272">
        <v>0.999588514500362</v>
      </c>
    </row>
    <row r="181" spans="1:18">
      <c r="A181" s="267" t="s">
        <v>1645</v>
      </c>
      <c r="B181" s="268" t="s">
        <v>1646</v>
      </c>
      <c r="C181" s="269" t="s">
        <v>1647</v>
      </c>
      <c r="D181" s="91" t="s">
        <v>215</v>
      </c>
      <c r="E181" s="270">
        <v>9.36</v>
      </c>
      <c r="F181" s="270">
        <v>13.1</v>
      </c>
      <c r="G181" s="270">
        <f t="shared" si="6"/>
        <v>122.62</v>
      </c>
      <c r="H181" s="271">
        <v>4.59956899540297e-5</v>
      </c>
      <c r="I181" s="272">
        <v>0.999634510190316</v>
      </c>
      <c r="K181" s="251">
        <f t="shared" si="8"/>
        <v>0</v>
      </c>
      <c r="N181" s="270">
        <v>9.36</v>
      </c>
      <c r="O181" s="270">
        <v>13.1</v>
      </c>
      <c r="P181" s="270">
        <f t="shared" si="7"/>
        <v>122.62</v>
      </c>
      <c r="Q181" s="271">
        <v>4.59956899540297e-5</v>
      </c>
      <c r="R181" s="272">
        <v>0.999634510190316</v>
      </c>
    </row>
    <row r="182" ht="38.25" spans="1:18">
      <c r="A182" s="267" t="s">
        <v>1648</v>
      </c>
      <c r="B182" s="268" t="s">
        <v>1649</v>
      </c>
      <c r="C182" s="269" t="s">
        <v>1650</v>
      </c>
      <c r="D182" s="91" t="s">
        <v>494</v>
      </c>
      <c r="E182" s="270">
        <v>1</v>
      </c>
      <c r="F182" s="270">
        <v>120.69</v>
      </c>
      <c r="G182" s="270">
        <f t="shared" si="6"/>
        <v>120.69</v>
      </c>
      <c r="H182" s="271">
        <v>4.52717323483269e-5</v>
      </c>
      <c r="I182" s="272">
        <v>0.999679781922664</v>
      </c>
      <c r="K182" s="251">
        <f t="shared" si="8"/>
        <v>0</v>
      </c>
      <c r="N182" s="270">
        <v>1</v>
      </c>
      <c r="O182" s="270">
        <v>120.69</v>
      </c>
      <c r="P182" s="270">
        <f t="shared" si="7"/>
        <v>120.69</v>
      </c>
      <c r="Q182" s="271">
        <v>4.52717323483269e-5</v>
      </c>
      <c r="R182" s="272">
        <v>0.999679781922664</v>
      </c>
    </row>
    <row r="183" ht="51" spans="1:18">
      <c r="A183" s="267" t="s">
        <v>1651</v>
      </c>
      <c r="B183" s="268" t="s">
        <v>1652</v>
      </c>
      <c r="C183" s="269" t="s">
        <v>642</v>
      </c>
      <c r="D183" s="91" t="s">
        <v>494</v>
      </c>
      <c r="E183" s="270">
        <v>2</v>
      </c>
      <c r="F183" s="270">
        <v>57.8</v>
      </c>
      <c r="G183" s="270">
        <f t="shared" si="6"/>
        <v>115.6</v>
      </c>
      <c r="H183" s="271">
        <v>4.33624348286237e-5</v>
      </c>
      <c r="I183" s="272">
        <v>0.999723144357493</v>
      </c>
      <c r="K183" s="251">
        <f t="shared" si="8"/>
        <v>0</v>
      </c>
      <c r="N183" s="270">
        <v>2</v>
      </c>
      <c r="O183" s="270">
        <v>57.8</v>
      </c>
      <c r="P183" s="270">
        <f t="shared" si="7"/>
        <v>115.6</v>
      </c>
      <c r="Q183" s="271">
        <v>4.33624348286237e-5</v>
      </c>
      <c r="R183" s="272">
        <v>0.999723144357493</v>
      </c>
    </row>
    <row r="184" spans="1:18">
      <c r="A184" s="267" t="s">
        <v>1653</v>
      </c>
      <c r="B184" s="268" t="s">
        <v>1654</v>
      </c>
      <c r="C184" s="269" t="s">
        <v>1655</v>
      </c>
      <c r="D184" s="91" t="s">
        <v>215</v>
      </c>
      <c r="E184" s="270">
        <v>4.07125</v>
      </c>
      <c r="F184" s="270">
        <v>27.95</v>
      </c>
      <c r="G184" s="270">
        <f t="shared" si="6"/>
        <v>113.79</v>
      </c>
      <c r="H184" s="271">
        <v>4.26834901310475e-5</v>
      </c>
      <c r="I184" s="272">
        <v>0.999765827847624</v>
      </c>
      <c r="K184" s="251">
        <f t="shared" si="8"/>
        <v>0</v>
      </c>
      <c r="N184" s="270">
        <v>4.07125</v>
      </c>
      <c r="O184" s="270">
        <v>27.95</v>
      </c>
      <c r="P184" s="270">
        <f t="shared" si="7"/>
        <v>113.79</v>
      </c>
      <c r="Q184" s="271">
        <v>4.26834901310475e-5</v>
      </c>
      <c r="R184" s="272">
        <v>0.999765827847624</v>
      </c>
    </row>
    <row r="185" ht="25.5" spans="1:18">
      <c r="A185" s="267" t="s">
        <v>1663</v>
      </c>
      <c r="B185" s="268" t="s">
        <v>1664</v>
      </c>
      <c r="C185" s="269" t="s">
        <v>1665</v>
      </c>
      <c r="D185" s="91" t="s">
        <v>112</v>
      </c>
      <c r="E185" s="270">
        <v>6.1909</v>
      </c>
      <c r="F185" s="270">
        <v>16.58</v>
      </c>
      <c r="G185" s="270">
        <f t="shared" si="6"/>
        <v>102.65</v>
      </c>
      <c r="H185" s="271">
        <v>3.85047918266282e-5</v>
      </c>
      <c r="I185" s="272">
        <v>0.999804332639451</v>
      </c>
      <c r="K185" s="251">
        <f t="shared" si="8"/>
        <v>0</v>
      </c>
      <c r="N185" s="270">
        <v>6.1909</v>
      </c>
      <c r="O185" s="270">
        <v>16.58</v>
      </c>
      <c r="P185" s="270">
        <f t="shared" si="7"/>
        <v>102.65</v>
      </c>
      <c r="Q185" s="271">
        <v>3.85047918266282e-5</v>
      </c>
      <c r="R185" s="272">
        <v>0.999804332639451</v>
      </c>
    </row>
    <row r="186" ht="25.5" spans="1:18">
      <c r="A186" s="267" t="s">
        <v>1671</v>
      </c>
      <c r="B186" s="268" t="s">
        <v>1672</v>
      </c>
      <c r="C186" s="269" t="s">
        <v>1673</v>
      </c>
      <c r="D186" s="91" t="s">
        <v>476</v>
      </c>
      <c r="E186" s="270">
        <v>0.221909</v>
      </c>
      <c r="F186" s="270">
        <v>439.92</v>
      </c>
      <c r="G186" s="270">
        <f t="shared" si="6"/>
        <v>97.62</v>
      </c>
      <c r="H186" s="271">
        <v>3.66180007609883e-5</v>
      </c>
      <c r="I186" s="272">
        <v>0.999840950640212</v>
      </c>
      <c r="K186" s="251">
        <f t="shared" si="8"/>
        <v>0</v>
      </c>
      <c r="N186" s="270">
        <v>0.221909</v>
      </c>
      <c r="O186" s="270">
        <v>439.92</v>
      </c>
      <c r="P186" s="270">
        <f t="shared" si="7"/>
        <v>97.62</v>
      </c>
      <c r="Q186" s="271">
        <v>3.66180007609883e-5</v>
      </c>
      <c r="R186" s="272">
        <v>0.999840950640212</v>
      </c>
    </row>
    <row r="187" ht="25.5" spans="1:18">
      <c r="A187" s="267" t="s">
        <v>1684</v>
      </c>
      <c r="B187" s="268" t="s">
        <v>1685</v>
      </c>
      <c r="C187" s="269" t="s">
        <v>1686</v>
      </c>
      <c r="D187" s="91" t="s">
        <v>463</v>
      </c>
      <c r="E187" s="270">
        <v>3.440306</v>
      </c>
      <c r="F187" s="270">
        <v>20.72</v>
      </c>
      <c r="G187" s="270">
        <f t="shared" si="6"/>
        <v>71.28</v>
      </c>
      <c r="H187" s="271">
        <v>2.67376674271998e-5</v>
      </c>
      <c r="I187" s="272">
        <v>0.999867688307639</v>
      </c>
      <c r="K187" s="251">
        <f t="shared" si="8"/>
        <v>0</v>
      </c>
      <c r="N187" s="270">
        <v>3.440306</v>
      </c>
      <c r="O187" s="270">
        <v>20.72</v>
      </c>
      <c r="P187" s="270">
        <f t="shared" si="7"/>
        <v>71.28</v>
      </c>
      <c r="Q187" s="271">
        <v>2.67376674271998e-5</v>
      </c>
      <c r="R187" s="272">
        <v>0.999867688307639</v>
      </c>
    </row>
    <row r="188" spans="1:18">
      <c r="A188" s="267" t="s">
        <v>1699</v>
      </c>
      <c r="B188" s="268" t="s">
        <v>1700</v>
      </c>
      <c r="C188" s="269" t="s">
        <v>1701</v>
      </c>
      <c r="D188" s="91" t="s">
        <v>463</v>
      </c>
      <c r="E188" s="270">
        <v>0.7168</v>
      </c>
      <c r="F188" s="270">
        <v>69.44</v>
      </c>
      <c r="G188" s="270">
        <f t="shared" si="6"/>
        <v>49.77</v>
      </c>
      <c r="H188" s="271">
        <v>1.86691036455069e-5</v>
      </c>
      <c r="I188" s="272">
        <v>0.999886357411284</v>
      </c>
      <c r="K188" s="251">
        <f t="shared" si="8"/>
        <v>0</v>
      </c>
      <c r="N188" s="270">
        <v>0.7168</v>
      </c>
      <c r="O188" s="270">
        <v>69.44</v>
      </c>
      <c r="P188" s="270">
        <f t="shared" si="7"/>
        <v>49.77</v>
      </c>
      <c r="Q188" s="271">
        <v>1.86691036455069e-5</v>
      </c>
      <c r="R188" s="272">
        <v>0.999886357411284</v>
      </c>
    </row>
    <row r="189" spans="1:18">
      <c r="A189" s="267" t="s">
        <v>1709</v>
      </c>
      <c r="B189" s="268" t="s">
        <v>1710</v>
      </c>
      <c r="C189" s="269" t="s">
        <v>1711</v>
      </c>
      <c r="D189" s="91" t="s">
        <v>215</v>
      </c>
      <c r="E189" s="270">
        <v>1.30688</v>
      </c>
      <c r="F189" s="270">
        <v>31.4</v>
      </c>
      <c r="G189" s="270">
        <f t="shared" si="6"/>
        <v>41.04</v>
      </c>
      <c r="H189" s="271">
        <v>1.53944145792968e-5</v>
      </c>
      <c r="I189" s="272">
        <v>0.999901751825863</v>
      </c>
      <c r="K189" s="251">
        <f t="shared" si="8"/>
        <v>0</v>
      </c>
      <c r="N189" s="270">
        <v>1.30688</v>
      </c>
      <c r="O189" s="270">
        <v>31.4</v>
      </c>
      <c r="P189" s="270">
        <f t="shared" si="7"/>
        <v>41.04</v>
      </c>
      <c r="Q189" s="271">
        <v>1.53944145792968e-5</v>
      </c>
      <c r="R189" s="272">
        <v>0.999901751825863</v>
      </c>
    </row>
    <row r="190" ht="38.25" spans="1:18">
      <c r="A190" s="267" t="s">
        <v>1712</v>
      </c>
      <c r="B190" s="268" t="s">
        <v>1713</v>
      </c>
      <c r="C190" s="269" t="s">
        <v>637</v>
      </c>
      <c r="D190" s="91" t="s">
        <v>494</v>
      </c>
      <c r="E190" s="270">
        <v>1</v>
      </c>
      <c r="F190" s="270">
        <v>39.56</v>
      </c>
      <c r="G190" s="270">
        <f t="shared" si="6"/>
        <v>39.56</v>
      </c>
      <c r="H190" s="271">
        <v>1.48392553790688e-5</v>
      </c>
      <c r="I190" s="272">
        <v>0.999916591081243</v>
      </c>
      <c r="K190" s="251">
        <f t="shared" si="8"/>
        <v>0</v>
      </c>
      <c r="N190" s="270">
        <v>1</v>
      </c>
      <c r="O190" s="270">
        <v>39.56</v>
      </c>
      <c r="P190" s="270">
        <f t="shared" si="7"/>
        <v>39.56</v>
      </c>
      <c r="Q190" s="271">
        <v>1.48392553790688e-5</v>
      </c>
      <c r="R190" s="272">
        <v>0.999916591081243</v>
      </c>
    </row>
    <row r="191" ht="25.5" spans="1:18">
      <c r="A191" s="267" t="s">
        <v>1714</v>
      </c>
      <c r="B191" s="268" t="s">
        <v>1715</v>
      </c>
      <c r="C191" s="269" t="s">
        <v>1716</v>
      </c>
      <c r="D191" s="91" t="s">
        <v>494</v>
      </c>
      <c r="E191" s="270">
        <v>1</v>
      </c>
      <c r="F191" s="270">
        <v>38.45</v>
      </c>
      <c r="G191" s="270">
        <f t="shared" si="6"/>
        <v>38.45</v>
      </c>
      <c r="H191" s="271">
        <v>1.44228859788978e-5</v>
      </c>
      <c r="I191" s="272">
        <v>0.999931013967221</v>
      </c>
      <c r="K191" s="251">
        <f t="shared" si="8"/>
        <v>0</v>
      </c>
      <c r="N191" s="270">
        <v>1</v>
      </c>
      <c r="O191" s="270">
        <v>38.45</v>
      </c>
      <c r="P191" s="270">
        <f t="shared" si="7"/>
        <v>38.45</v>
      </c>
      <c r="Q191" s="271">
        <v>1.44228859788978e-5</v>
      </c>
      <c r="R191" s="272">
        <v>0.999931013967221</v>
      </c>
    </row>
    <row r="192" ht="38.25" spans="1:18">
      <c r="A192" s="267" t="s">
        <v>1736</v>
      </c>
      <c r="B192" s="268" t="s">
        <v>1737</v>
      </c>
      <c r="C192" s="269" t="s">
        <v>1738</v>
      </c>
      <c r="D192" s="91" t="s">
        <v>1348</v>
      </c>
      <c r="E192" s="270">
        <v>12.8</v>
      </c>
      <c r="F192" s="270">
        <v>2.09</v>
      </c>
      <c r="G192" s="270">
        <f t="shared" si="6"/>
        <v>26.75</v>
      </c>
      <c r="H192" s="271">
        <v>1.00341274365544e-5</v>
      </c>
      <c r="I192" s="272">
        <v>0.999941048094658</v>
      </c>
      <c r="K192" s="251">
        <f t="shared" si="8"/>
        <v>0</v>
      </c>
      <c r="N192" s="270">
        <v>12.8</v>
      </c>
      <c r="O192" s="270">
        <v>2.09</v>
      </c>
      <c r="P192" s="270">
        <f t="shared" si="7"/>
        <v>26.75</v>
      </c>
      <c r="Q192" s="271">
        <v>1.00341274365544e-5</v>
      </c>
      <c r="R192" s="272">
        <v>0.999941048094658</v>
      </c>
    </row>
    <row r="193" spans="1:18">
      <c r="A193" s="267" t="s">
        <v>1747</v>
      </c>
      <c r="B193" s="268" t="s">
        <v>1493</v>
      </c>
      <c r="C193" s="269" t="s">
        <v>1748</v>
      </c>
      <c r="D193" s="91" t="s">
        <v>463</v>
      </c>
      <c r="E193" s="270">
        <v>0.60704</v>
      </c>
      <c r="F193" s="270">
        <v>34.86</v>
      </c>
      <c r="G193" s="270">
        <f t="shared" si="6"/>
        <v>21.16</v>
      </c>
      <c r="H193" s="271">
        <v>7.93727613299028e-6</v>
      </c>
      <c r="I193" s="272">
        <v>0.999948985370791</v>
      </c>
      <c r="K193" s="251">
        <f t="shared" si="8"/>
        <v>0</v>
      </c>
      <c r="N193" s="270">
        <v>0.60704</v>
      </c>
      <c r="O193" s="270">
        <v>34.86</v>
      </c>
      <c r="P193" s="270">
        <f t="shared" si="7"/>
        <v>21.16</v>
      </c>
      <c r="Q193" s="271">
        <v>7.93727613299028e-6</v>
      </c>
      <c r="R193" s="272">
        <v>0.999948985370791</v>
      </c>
    </row>
    <row r="194" s="227" customFormat="1" ht="38.25" spans="1:18">
      <c r="A194" s="267" t="s">
        <v>1752</v>
      </c>
      <c r="B194" s="268" t="s">
        <v>1385</v>
      </c>
      <c r="C194" s="269" t="s">
        <v>1753</v>
      </c>
      <c r="D194" s="91" t="s">
        <v>466</v>
      </c>
      <c r="E194" s="270">
        <v>0.401983</v>
      </c>
      <c r="F194" s="270">
        <v>47.2</v>
      </c>
      <c r="G194" s="270">
        <f t="shared" si="6"/>
        <v>18.97</v>
      </c>
      <c r="H194" s="271">
        <v>7.11579055967985e-6</v>
      </c>
      <c r="I194" s="272">
        <v>0.999956101161351</v>
      </c>
      <c r="K194" s="251">
        <f t="shared" si="8"/>
        <v>0</v>
      </c>
      <c r="N194" s="270">
        <v>0.401983</v>
      </c>
      <c r="O194" s="270">
        <v>47.2</v>
      </c>
      <c r="P194" s="270">
        <f t="shared" si="7"/>
        <v>18.97</v>
      </c>
      <c r="Q194" s="271">
        <v>7.11579055967985e-6</v>
      </c>
      <c r="R194" s="272">
        <v>0.999956101161351</v>
      </c>
    </row>
    <row r="195" spans="1:18">
      <c r="A195" s="267" t="s">
        <v>1754</v>
      </c>
      <c r="B195" s="268" t="s">
        <v>1700</v>
      </c>
      <c r="C195" s="269" t="s">
        <v>1755</v>
      </c>
      <c r="D195" s="91" t="s">
        <v>463</v>
      </c>
      <c r="E195" s="270">
        <v>2.07904</v>
      </c>
      <c r="F195" s="270">
        <v>8.96</v>
      </c>
      <c r="G195" s="270">
        <f t="shared" ref="G195:G258" si="9">ROUND(E195*F195,2)</f>
        <v>18.63</v>
      </c>
      <c r="H195" s="271">
        <v>6.98825398665449e-6</v>
      </c>
      <c r="I195" s="272">
        <v>0.999963089415337</v>
      </c>
      <c r="K195" s="251">
        <f t="shared" si="8"/>
        <v>0</v>
      </c>
      <c r="N195" s="270">
        <v>2.07904</v>
      </c>
      <c r="O195" s="270">
        <v>8.96</v>
      </c>
      <c r="P195" s="270">
        <f t="shared" ref="P195:P258" si="10">ROUND(N195*O195,2)</f>
        <v>18.63</v>
      </c>
      <c r="Q195" s="271">
        <v>6.98825398665449e-6</v>
      </c>
      <c r="R195" s="272">
        <v>0.999963089415337</v>
      </c>
    </row>
    <row r="196" ht="25.5" spans="1:18">
      <c r="A196" s="267" t="s">
        <v>1766</v>
      </c>
      <c r="B196" s="268" t="s">
        <v>1767</v>
      </c>
      <c r="C196" s="269" t="s">
        <v>1768</v>
      </c>
      <c r="D196" s="91" t="s">
        <v>112</v>
      </c>
      <c r="E196" s="270">
        <v>2.9905</v>
      </c>
      <c r="F196" s="270">
        <v>4.46</v>
      </c>
      <c r="G196" s="270">
        <f t="shared" si="9"/>
        <v>13.34</v>
      </c>
      <c r="H196" s="271">
        <v>5.00393495340692e-6</v>
      </c>
      <c r="I196" s="272">
        <v>0.999968093350291</v>
      </c>
      <c r="K196" s="251">
        <f t="shared" ref="K196:K259" si="11">G196-P196</f>
        <v>0</v>
      </c>
      <c r="N196" s="270">
        <v>2.9905</v>
      </c>
      <c r="O196" s="270">
        <v>4.46</v>
      </c>
      <c r="P196" s="270">
        <f t="shared" si="10"/>
        <v>13.34</v>
      </c>
      <c r="Q196" s="271">
        <v>5.00393495340692e-6</v>
      </c>
      <c r="R196" s="272">
        <v>0.999968093350291</v>
      </c>
    </row>
    <row r="197" ht="25.5" spans="1:18">
      <c r="A197" s="267" t="s">
        <v>1781</v>
      </c>
      <c r="B197" s="268" t="s">
        <v>1782</v>
      </c>
      <c r="C197" s="269" t="s">
        <v>1783</v>
      </c>
      <c r="D197" s="91" t="s">
        <v>494</v>
      </c>
      <c r="E197" s="270">
        <v>2</v>
      </c>
      <c r="F197" s="270">
        <v>5.36</v>
      </c>
      <c r="G197" s="270">
        <f t="shared" si="9"/>
        <v>10.72</v>
      </c>
      <c r="H197" s="271">
        <v>4.02115312597617e-6</v>
      </c>
      <c r="I197" s="272">
        <v>0.999972114503417</v>
      </c>
      <c r="K197" s="251">
        <f t="shared" si="11"/>
        <v>0</v>
      </c>
      <c r="N197" s="270">
        <v>2</v>
      </c>
      <c r="O197" s="270">
        <v>5.36</v>
      </c>
      <c r="P197" s="270">
        <f t="shared" si="10"/>
        <v>10.72</v>
      </c>
      <c r="Q197" s="271">
        <v>4.02115312597617e-6</v>
      </c>
      <c r="R197" s="272">
        <v>0.999972114503417</v>
      </c>
    </row>
    <row r="198" spans="1:18">
      <c r="A198" s="267" t="s">
        <v>1788</v>
      </c>
      <c r="B198" s="268" t="s">
        <v>1251</v>
      </c>
      <c r="C198" s="269" t="s">
        <v>1789</v>
      </c>
      <c r="D198" s="91" t="s">
        <v>463</v>
      </c>
      <c r="E198" s="270">
        <v>0.2825</v>
      </c>
      <c r="F198" s="270">
        <v>35.6</v>
      </c>
      <c r="G198" s="270">
        <f t="shared" si="9"/>
        <v>10.06</v>
      </c>
      <c r="H198" s="271">
        <v>3.77358213127988e-6</v>
      </c>
      <c r="I198" s="272">
        <v>0.999975888085548</v>
      </c>
      <c r="K198" s="251">
        <f t="shared" si="11"/>
        <v>0</v>
      </c>
      <c r="N198" s="270">
        <v>0.2825</v>
      </c>
      <c r="O198" s="270">
        <v>35.6</v>
      </c>
      <c r="P198" s="270">
        <f t="shared" si="10"/>
        <v>10.06</v>
      </c>
      <c r="Q198" s="271">
        <v>3.77358213127988e-6</v>
      </c>
      <c r="R198" s="272">
        <v>0.999975888085548</v>
      </c>
    </row>
    <row r="199" spans="1:18">
      <c r="A199" s="267" t="s">
        <v>1790</v>
      </c>
      <c r="B199" s="268" t="s">
        <v>1791</v>
      </c>
      <c r="C199" s="269" t="s">
        <v>1792</v>
      </c>
      <c r="D199" s="91" t="s">
        <v>476</v>
      </c>
      <c r="E199" s="270">
        <v>0.552464</v>
      </c>
      <c r="F199" s="270">
        <v>16.62</v>
      </c>
      <c r="G199" s="270">
        <f t="shared" si="9"/>
        <v>9.18</v>
      </c>
      <c r="H199" s="271">
        <v>3.44348747168482e-6</v>
      </c>
      <c r="I199" s="272">
        <v>0.99997933157302</v>
      </c>
      <c r="K199" s="251">
        <f t="shared" si="11"/>
        <v>0</v>
      </c>
      <c r="N199" s="270">
        <v>0.552464</v>
      </c>
      <c r="O199" s="270">
        <v>16.62</v>
      </c>
      <c r="P199" s="270">
        <f t="shared" si="10"/>
        <v>9.18</v>
      </c>
      <c r="Q199" s="271">
        <v>3.44348747168482e-6</v>
      </c>
      <c r="R199" s="272">
        <v>0.99997933157302</v>
      </c>
    </row>
    <row r="200" ht="38.25" spans="1:18">
      <c r="A200" s="267" t="s">
        <v>1795</v>
      </c>
      <c r="B200" s="268" t="s">
        <v>1737</v>
      </c>
      <c r="C200" s="269" t="s">
        <v>1796</v>
      </c>
      <c r="D200" s="91" t="s">
        <v>1348</v>
      </c>
      <c r="E200" s="270">
        <v>12.8</v>
      </c>
      <c r="F200" s="270">
        <v>0.62</v>
      </c>
      <c r="G200" s="270">
        <f t="shared" si="9"/>
        <v>7.94</v>
      </c>
      <c r="H200" s="271">
        <v>2.97835408770996e-6</v>
      </c>
      <c r="I200" s="272">
        <v>0.999982309927107</v>
      </c>
      <c r="K200" s="251">
        <f t="shared" si="11"/>
        <v>0</v>
      </c>
      <c r="N200" s="270">
        <v>12.8</v>
      </c>
      <c r="O200" s="270">
        <v>0.62</v>
      </c>
      <c r="P200" s="270">
        <f t="shared" si="10"/>
        <v>7.94</v>
      </c>
      <c r="Q200" s="271">
        <v>2.97835408770996e-6</v>
      </c>
      <c r="R200" s="272">
        <v>0.999982309927107</v>
      </c>
    </row>
    <row r="201" ht="25.5" spans="1:18">
      <c r="A201" s="267" t="s">
        <v>1799</v>
      </c>
      <c r="B201" s="268" t="s">
        <v>1800</v>
      </c>
      <c r="C201" s="269" t="s">
        <v>1801</v>
      </c>
      <c r="D201" s="91" t="s">
        <v>494</v>
      </c>
      <c r="E201" s="270">
        <v>0.091</v>
      </c>
      <c r="F201" s="270">
        <v>82.55</v>
      </c>
      <c r="G201" s="270">
        <f t="shared" si="9"/>
        <v>7.51</v>
      </c>
      <c r="H201" s="271">
        <v>2.81705783358965e-6</v>
      </c>
      <c r="I201" s="272">
        <v>0.999985126984941</v>
      </c>
      <c r="K201" s="251">
        <f t="shared" si="11"/>
        <v>0</v>
      </c>
      <c r="N201" s="270">
        <v>0.091</v>
      </c>
      <c r="O201" s="270">
        <v>82.55</v>
      </c>
      <c r="P201" s="270">
        <f t="shared" si="10"/>
        <v>7.51</v>
      </c>
      <c r="Q201" s="271">
        <v>2.81705783358965e-6</v>
      </c>
      <c r="R201" s="272">
        <v>0.999985126984941</v>
      </c>
    </row>
    <row r="202" s="227" customFormat="1" ht="25.5" spans="1:18">
      <c r="A202" s="267" t="s">
        <v>1802</v>
      </c>
      <c r="B202" s="268" t="s">
        <v>1251</v>
      </c>
      <c r="C202" s="269" t="s">
        <v>1803</v>
      </c>
      <c r="D202" s="91" t="s">
        <v>463</v>
      </c>
      <c r="E202" s="270">
        <v>0.33</v>
      </c>
      <c r="F202" s="270">
        <v>19.08</v>
      </c>
      <c r="G202" s="270">
        <f t="shared" si="9"/>
        <v>6.3</v>
      </c>
      <c r="H202" s="271">
        <v>2.36317767664645e-6</v>
      </c>
      <c r="I202" s="272">
        <v>0.999987490162618</v>
      </c>
      <c r="K202" s="251">
        <f t="shared" si="11"/>
        <v>0</v>
      </c>
      <c r="N202" s="270">
        <v>0.33</v>
      </c>
      <c r="O202" s="270">
        <v>19.08</v>
      </c>
      <c r="P202" s="270">
        <f t="shared" si="10"/>
        <v>6.3</v>
      </c>
      <c r="Q202" s="271">
        <v>2.36317767664645e-6</v>
      </c>
      <c r="R202" s="272">
        <v>0.999987490162618</v>
      </c>
    </row>
    <row r="203" spans="1:18">
      <c r="A203" s="267" t="s">
        <v>1808</v>
      </c>
      <c r="B203" s="268" t="s">
        <v>1809</v>
      </c>
      <c r="C203" s="269" t="s">
        <v>1810</v>
      </c>
      <c r="D203" s="91" t="s">
        <v>494</v>
      </c>
      <c r="E203" s="270">
        <v>0.0729</v>
      </c>
      <c r="F203" s="270">
        <v>72.86</v>
      </c>
      <c r="G203" s="270">
        <f t="shared" si="9"/>
        <v>5.31</v>
      </c>
      <c r="H203" s="271">
        <v>1.991821184602e-6</v>
      </c>
      <c r="I203" s="272">
        <v>0.999989481983802</v>
      </c>
      <c r="K203" s="251">
        <f t="shared" si="11"/>
        <v>0</v>
      </c>
      <c r="N203" s="270">
        <v>0.0729</v>
      </c>
      <c r="O203" s="270">
        <v>72.86</v>
      </c>
      <c r="P203" s="270">
        <f t="shared" si="10"/>
        <v>5.31</v>
      </c>
      <c r="Q203" s="271">
        <v>1.991821184602e-6</v>
      </c>
      <c r="R203" s="272">
        <v>0.999989481983802</v>
      </c>
    </row>
    <row r="204" s="235" customFormat="1" ht="38.25" spans="1:18">
      <c r="A204" s="267" t="s">
        <v>1814</v>
      </c>
      <c r="B204" s="268" t="s">
        <v>1800</v>
      </c>
      <c r="C204" s="269" t="s">
        <v>1815</v>
      </c>
      <c r="D204" s="91" t="s">
        <v>494</v>
      </c>
      <c r="E204" s="270">
        <v>0.1542</v>
      </c>
      <c r="F204" s="270">
        <v>30.07</v>
      </c>
      <c r="G204" s="270">
        <f t="shared" si="9"/>
        <v>4.64</v>
      </c>
      <c r="H204" s="271">
        <v>1.74049911422849e-6</v>
      </c>
      <c r="I204" s="272">
        <v>0.999991222482917</v>
      </c>
      <c r="K204" s="251">
        <f t="shared" si="11"/>
        <v>0</v>
      </c>
      <c r="N204" s="270">
        <v>0.1542</v>
      </c>
      <c r="O204" s="270">
        <v>30.07</v>
      </c>
      <c r="P204" s="270">
        <f t="shared" si="10"/>
        <v>4.64</v>
      </c>
      <c r="Q204" s="271">
        <v>1.74049911422849e-6</v>
      </c>
      <c r="R204" s="272">
        <v>0.999991222482917</v>
      </c>
    </row>
    <row r="205" ht="25.5" spans="1:18">
      <c r="A205" s="267" t="s">
        <v>1816</v>
      </c>
      <c r="B205" s="268" t="s">
        <v>1817</v>
      </c>
      <c r="C205" s="269" t="s">
        <v>1818</v>
      </c>
      <c r="D205" s="91" t="s">
        <v>494</v>
      </c>
      <c r="E205" s="270">
        <v>1</v>
      </c>
      <c r="F205" s="270">
        <v>4.55</v>
      </c>
      <c r="G205" s="270">
        <f t="shared" si="9"/>
        <v>4.55</v>
      </c>
      <c r="H205" s="271">
        <v>1.70673943313354e-6</v>
      </c>
      <c r="I205" s="272">
        <v>0.99999292922235</v>
      </c>
      <c r="K205" s="251">
        <f t="shared" si="11"/>
        <v>0</v>
      </c>
      <c r="N205" s="270">
        <v>1</v>
      </c>
      <c r="O205" s="270">
        <v>4.55</v>
      </c>
      <c r="P205" s="270">
        <f t="shared" si="10"/>
        <v>4.55</v>
      </c>
      <c r="Q205" s="271">
        <v>1.70673943313354e-6</v>
      </c>
      <c r="R205" s="272">
        <v>0.99999292922235</v>
      </c>
    </row>
    <row r="206" ht="38.25" spans="1:18">
      <c r="A206" s="267" t="s">
        <v>1819</v>
      </c>
      <c r="B206" s="268" t="s">
        <v>1385</v>
      </c>
      <c r="C206" s="269" t="s">
        <v>1820</v>
      </c>
      <c r="D206" s="91" t="s">
        <v>466</v>
      </c>
      <c r="E206" s="270">
        <v>0.304634</v>
      </c>
      <c r="F206" s="270">
        <v>14.47</v>
      </c>
      <c r="G206" s="270">
        <f t="shared" si="9"/>
        <v>4.41</v>
      </c>
      <c r="H206" s="271">
        <v>1.65422437365251e-6</v>
      </c>
      <c r="I206" s="272">
        <v>0.999994583446723</v>
      </c>
      <c r="K206" s="251">
        <f t="shared" si="11"/>
        <v>0</v>
      </c>
      <c r="N206" s="270">
        <v>0.304634</v>
      </c>
      <c r="O206" s="270">
        <v>14.47</v>
      </c>
      <c r="P206" s="270">
        <f t="shared" si="10"/>
        <v>4.41</v>
      </c>
      <c r="Q206" s="271">
        <v>1.65422437365251e-6</v>
      </c>
      <c r="R206" s="272">
        <v>0.999994583446723</v>
      </c>
    </row>
    <row r="207" ht="38.25" spans="1:18">
      <c r="A207" s="267" t="s">
        <v>1825</v>
      </c>
      <c r="B207" s="268" t="s">
        <v>1826</v>
      </c>
      <c r="C207" s="269" t="s">
        <v>1827</v>
      </c>
      <c r="D207" s="91" t="s">
        <v>215</v>
      </c>
      <c r="E207" s="270">
        <v>0.433512</v>
      </c>
      <c r="F207" s="270">
        <v>7.45</v>
      </c>
      <c r="G207" s="270">
        <f t="shared" si="9"/>
        <v>3.23</v>
      </c>
      <c r="H207" s="271">
        <v>1.21159744374096e-6</v>
      </c>
      <c r="I207" s="272">
        <v>0.999995795044167</v>
      </c>
      <c r="K207" s="251">
        <f t="shared" si="11"/>
        <v>0</v>
      </c>
      <c r="N207" s="270">
        <v>0.433512</v>
      </c>
      <c r="O207" s="270">
        <v>7.45</v>
      </c>
      <c r="P207" s="270">
        <f t="shared" si="10"/>
        <v>3.23</v>
      </c>
      <c r="Q207" s="271">
        <v>1.21159744374096e-6</v>
      </c>
      <c r="R207" s="272">
        <v>0.999995795044167</v>
      </c>
    </row>
    <row r="208" ht="25.5" spans="1:18">
      <c r="A208" s="267" t="s">
        <v>1828</v>
      </c>
      <c r="B208" s="268" t="s">
        <v>1829</v>
      </c>
      <c r="C208" s="269" t="s">
        <v>1830</v>
      </c>
      <c r="D208" s="91" t="s">
        <v>463</v>
      </c>
      <c r="E208" s="270">
        <v>0.167043</v>
      </c>
      <c r="F208" s="270">
        <v>19.08</v>
      </c>
      <c r="G208" s="270">
        <f t="shared" si="9"/>
        <v>3.19</v>
      </c>
      <c r="H208" s="271">
        <v>1.19659314103209e-6</v>
      </c>
      <c r="I208" s="272">
        <v>0.999996991637308</v>
      </c>
      <c r="K208" s="251">
        <f t="shared" si="11"/>
        <v>0</v>
      </c>
      <c r="N208" s="270">
        <v>0.167043</v>
      </c>
      <c r="O208" s="270">
        <v>19.08</v>
      </c>
      <c r="P208" s="270">
        <f t="shared" si="10"/>
        <v>3.19</v>
      </c>
      <c r="Q208" s="271">
        <v>1.19659314103209e-6</v>
      </c>
      <c r="R208" s="272">
        <v>0.999996991637308</v>
      </c>
    </row>
    <row r="209" ht="25.5" spans="1:18">
      <c r="A209" s="267" t="s">
        <v>1836</v>
      </c>
      <c r="B209" s="268" t="s">
        <v>1837</v>
      </c>
      <c r="C209" s="269" t="s">
        <v>1838</v>
      </c>
      <c r="D209" s="91" t="s">
        <v>494</v>
      </c>
      <c r="E209" s="270">
        <v>2</v>
      </c>
      <c r="F209" s="270">
        <v>0.96</v>
      </c>
      <c r="G209" s="270">
        <f t="shared" si="9"/>
        <v>1.92</v>
      </c>
      <c r="H209" s="271">
        <v>7.20206530025583e-7</v>
      </c>
      <c r="I209" s="272">
        <v>0.999997711843838</v>
      </c>
      <c r="K209" s="251">
        <f t="shared" si="11"/>
        <v>0</v>
      </c>
      <c r="N209" s="270">
        <v>2</v>
      </c>
      <c r="O209" s="270">
        <v>0.96</v>
      </c>
      <c r="P209" s="270">
        <f t="shared" si="10"/>
        <v>1.92</v>
      </c>
      <c r="Q209" s="271">
        <v>7.20206530025583e-7</v>
      </c>
      <c r="R209" s="272">
        <v>0.999997711843838</v>
      </c>
    </row>
    <row r="210" ht="25.5" spans="1:18">
      <c r="A210" s="267" t="s">
        <v>1842</v>
      </c>
      <c r="B210" s="268" t="s">
        <v>1843</v>
      </c>
      <c r="C210" s="269" t="s">
        <v>1844</v>
      </c>
      <c r="D210" s="91" t="s">
        <v>494</v>
      </c>
      <c r="E210" s="270">
        <v>2</v>
      </c>
      <c r="F210" s="270">
        <v>0.78</v>
      </c>
      <c r="G210" s="270">
        <f t="shared" si="9"/>
        <v>1.56</v>
      </c>
      <c r="H210" s="271">
        <v>5.85167805645787e-7</v>
      </c>
      <c r="I210" s="272">
        <v>0.999998297011644</v>
      </c>
      <c r="K210" s="251">
        <f t="shared" si="11"/>
        <v>0</v>
      </c>
      <c r="N210" s="270">
        <v>2</v>
      </c>
      <c r="O210" s="270">
        <v>0.78</v>
      </c>
      <c r="P210" s="270">
        <f t="shared" si="10"/>
        <v>1.56</v>
      </c>
      <c r="Q210" s="271">
        <v>5.85167805645787e-7</v>
      </c>
      <c r="R210" s="272">
        <v>0.999998297011644</v>
      </c>
    </row>
    <row r="211" s="235" customFormat="1" ht="51" spans="1:18">
      <c r="A211" s="267" t="s">
        <v>1845</v>
      </c>
      <c r="B211" s="268" t="s">
        <v>1490</v>
      </c>
      <c r="C211" s="269" t="s">
        <v>1846</v>
      </c>
      <c r="D211" s="91" t="s">
        <v>463</v>
      </c>
      <c r="E211" s="270">
        <v>0.1848</v>
      </c>
      <c r="F211" s="270">
        <v>8.38</v>
      </c>
      <c r="G211" s="270">
        <f t="shared" si="9"/>
        <v>1.55</v>
      </c>
      <c r="H211" s="271">
        <v>5.8141672996857e-7</v>
      </c>
      <c r="I211" s="272">
        <v>0.999998878428374</v>
      </c>
      <c r="K211" s="251">
        <f t="shared" si="11"/>
        <v>0</v>
      </c>
      <c r="N211" s="270">
        <v>0.1848</v>
      </c>
      <c r="O211" s="270">
        <v>8.38</v>
      </c>
      <c r="P211" s="270">
        <f t="shared" si="10"/>
        <v>1.55</v>
      </c>
      <c r="Q211" s="271">
        <v>5.8141672996857e-7</v>
      </c>
      <c r="R211" s="272">
        <v>0.999998878428374</v>
      </c>
    </row>
    <row r="212" spans="1:18">
      <c r="A212" s="267" t="s">
        <v>1847</v>
      </c>
      <c r="B212" s="268" t="s">
        <v>1848</v>
      </c>
      <c r="C212" s="269" t="s">
        <v>1849</v>
      </c>
      <c r="D212" s="91" t="s">
        <v>494</v>
      </c>
      <c r="E212" s="270">
        <v>0.50035</v>
      </c>
      <c r="F212" s="270">
        <v>2.57</v>
      </c>
      <c r="G212" s="270">
        <f t="shared" si="9"/>
        <v>1.29</v>
      </c>
      <c r="H212" s="271">
        <v>4.83888762360939e-7</v>
      </c>
      <c r="I212" s="272">
        <v>0.999999362317136</v>
      </c>
      <c r="K212" s="251">
        <f t="shared" si="11"/>
        <v>0</v>
      </c>
      <c r="N212" s="270">
        <v>0.50035</v>
      </c>
      <c r="O212" s="270">
        <v>2.57</v>
      </c>
      <c r="P212" s="270">
        <f t="shared" si="10"/>
        <v>1.29</v>
      </c>
      <c r="Q212" s="271">
        <v>4.83888762360939e-7</v>
      </c>
      <c r="R212" s="272">
        <v>0.999999362317136</v>
      </c>
    </row>
    <row r="213" ht="38.25" spans="1:18">
      <c r="A213" s="267" t="s">
        <v>1861</v>
      </c>
      <c r="B213" s="268" t="s">
        <v>1862</v>
      </c>
      <c r="C213" s="269" t="s">
        <v>1863</v>
      </c>
      <c r="D213" s="91" t="s">
        <v>494</v>
      </c>
      <c r="E213" s="270">
        <v>0.001885</v>
      </c>
      <c r="F213" s="270">
        <v>411.72</v>
      </c>
      <c r="G213" s="270">
        <f t="shared" si="9"/>
        <v>0.78</v>
      </c>
      <c r="H213" s="271">
        <v>2.92583902822893e-7</v>
      </c>
      <c r="I213" s="272">
        <v>0.999999654901039</v>
      </c>
      <c r="K213" s="251">
        <f t="shared" si="11"/>
        <v>0</v>
      </c>
      <c r="N213" s="270">
        <v>0.001885</v>
      </c>
      <c r="O213" s="270">
        <v>411.72</v>
      </c>
      <c r="P213" s="270">
        <f t="shared" si="10"/>
        <v>0.78</v>
      </c>
      <c r="Q213" s="271">
        <v>2.92583902822893e-7</v>
      </c>
      <c r="R213" s="272">
        <v>0.999999654901039</v>
      </c>
    </row>
    <row r="214" ht="25.5" spans="1:18">
      <c r="A214" s="267" t="s">
        <v>1871</v>
      </c>
      <c r="B214" s="268" t="s">
        <v>1872</v>
      </c>
      <c r="C214" s="269" t="s">
        <v>1873</v>
      </c>
      <c r="D214" s="91" t="s">
        <v>494</v>
      </c>
      <c r="E214" s="270">
        <v>0.0334</v>
      </c>
      <c r="F214" s="270">
        <v>14.38</v>
      </c>
      <c r="G214" s="270">
        <f t="shared" si="9"/>
        <v>0.48</v>
      </c>
      <c r="H214" s="271">
        <v>1.80051632506396e-7</v>
      </c>
      <c r="I214" s="272">
        <v>0.999999834952672</v>
      </c>
      <c r="K214" s="251">
        <f t="shared" si="11"/>
        <v>0</v>
      </c>
      <c r="N214" s="270">
        <v>0.0334</v>
      </c>
      <c r="O214" s="270">
        <v>14.38</v>
      </c>
      <c r="P214" s="270">
        <f t="shared" si="10"/>
        <v>0.48</v>
      </c>
      <c r="Q214" s="271">
        <v>1.80051632506396e-7</v>
      </c>
      <c r="R214" s="272">
        <v>0.999999834952672</v>
      </c>
    </row>
    <row r="215" ht="25.5" spans="1:18">
      <c r="A215" s="267" t="s">
        <v>1878</v>
      </c>
      <c r="B215" s="268" t="s">
        <v>1393</v>
      </c>
      <c r="C215" s="269" t="s">
        <v>1879</v>
      </c>
      <c r="D215" s="91" t="s">
        <v>476</v>
      </c>
      <c r="E215" s="270">
        <v>0.001666</v>
      </c>
      <c r="F215" s="270">
        <v>186.45</v>
      </c>
      <c r="G215" s="270">
        <f t="shared" si="9"/>
        <v>0.31</v>
      </c>
      <c r="H215" s="271">
        <v>1.16283345993714e-7</v>
      </c>
      <c r="I215" s="272">
        <v>0.999999951236017</v>
      </c>
      <c r="K215" s="251">
        <f t="shared" si="11"/>
        <v>0</v>
      </c>
      <c r="N215" s="270">
        <v>0.001666</v>
      </c>
      <c r="O215" s="270">
        <v>186.45</v>
      </c>
      <c r="P215" s="270">
        <f t="shared" si="10"/>
        <v>0.31</v>
      </c>
      <c r="Q215" s="271">
        <v>1.16283345993714e-7</v>
      </c>
      <c r="R215" s="272">
        <v>0.999999951236017</v>
      </c>
    </row>
    <row r="216" ht="25.5" spans="1:18">
      <c r="A216" s="267" t="s">
        <v>1896</v>
      </c>
      <c r="B216" s="268" t="s">
        <v>1872</v>
      </c>
      <c r="C216" s="269" t="s">
        <v>1897</v>
      </c>
      <c r="D216" s="91" t="s">
        <v>494</v>
      </c>
      <c r="E216" s="270">
        <v>0.024</v>
      </c>
      <c r="F216" s="270">
        <v>3.9</v>
      </c>
      <c r="G216" s="270">
        <f t="shared" si="9"/>
        <v>0.09</v>
      </c>
      <c r="H216" s="271">
        <v>3.37596810949492e-8</v>
      </c>
      <c r="I216" s="272">
        <v>0.999999984995699</v>
      </c>
      <c r="K216" s="251">
        <f t="shared" si="11"/>
        <v>0</v>
      </c>
      <c r="N216" s="270">
        <v>0.024</v>
      </c>
      <c r="O216" s="270">
        <v>3.9</v>
      </c>
      <c r="P216" s="270">
        <f t="shared" si="10"/>
        <v>0.09</v>
      </c>
      <c r="Q216" s="271">
        <v>3.37596810949492e-8</v>
      </c>
      <c r="R216" s="272">
        <v>0.999999984995699</v>
      </c>
    </row>
    <row r="217" ht="25.5" spans="1:18">
      <c r="A217" s="267" t="s">
        <v>1904</v>
      </c>
      <c r="B217" s="268" t="s">
        <v>1905</v>
      </c>
      <c r="C217" s="269" t="s">
        <v>1906</v>
      </c>
      <c r="D217" s="91" t="s">
        <v>463</v>
      </c>
      <c r="E217" s="270">
        <v>0.0018</v>
      </c>
      <c r="F217" s="270">
        <v>23.1</v>
      </c>
      <c r="G217" s="270">
        <f t="shared" si="9"/>
        <v>0.04</v>
      </c>
      <c r="H217" s="271">
        <v>1.50043027088663e-8</v>
      </c>
      <c r="I217" s="272">
        <v>1</v>
      </c>
      <c r="K217" s="251">
        <f t="shared" si="11"/>
        <v>0</v>
      </c>
      <c r="N217" s="270">
        <v>0.0018</v>
      </c>
      <c r="O217" s="270">
        <v>23.1</v>
      </c>
      <c r="P217" s="270">
        <f t="shared" si="10"/>
        <v>0.04</v>
      </c>
      <c r="Q217" s="271">
        <v>1.50043027088663e-8</v>
      </c>
      <c r="R217" s="272">
        <v>1</v>
      </c>
    </row>
    <row r="218" spans="1:18">
      <c r="K218" s="251">
        <f t="shared" si="11"/>
        <v>0</v>
      </c>
    </row>
    <row r="219" spans="1:18">
      <c r="K219" s="251">
        <f t="shared" si="11"/>
        <v>0</v>
      </c>
    </row>
    <row r="220" spans="1:18">
      <c r="K220" s="251">
        <f t="shared" si="11"/>
        <v>0</v>
      </c>
    </row>
    <row r="221" spans="1:18">
      <c r="K221" s="251">
        <f t="shared" si="11"/>
        <v>0</v>
      </c>
    </row>
    <row r="222" s="237" customFormat="1" spans="1:18">
      <c r="A222" s="240"/>
      <c r="B222" s="240"/>
      <c r="C222" s="240"/>
      <c r="D222" s="241"/>
      <c r="E222" s="241"/>
      <c r="F222" s="241"/>
      <c r="G222" s="241"/>
      <c r="H222" s="241"/>
      <c r="I222" s="241"/>
      <c r="K222" s="251">
        <f t="shared" si="11"/>
        <v>0</v>
      </c>
      <c r="N222" s="241"/>
      <c r="O222" s="241"/>
      <c r="P222" s="241"/>
      <c r="Q222" s="241"/>
      <c r="R222" s="241"/>
    </row>
    <row r="223" spans="1:18">
      <c r="K223" s="251">
        <f t="shared" si="11"/>
        <v>0</v>
      </c>
    </row>
    <row r="224" spans="1:18">
      <c r="K224" s="251">
        <f t="shared" si="11"/>
        <v>0</v>
      </c>
    </row>
    <row r="225" spans="1:18">
      <c r="K225" s="251">
        <f t="shared" si="11"/>
        <v>0</v>
      </c>
    </row>
    <row r="226" spans="1:18">
      <c r="K226" s="251">
        <f t="shared" si="11"/>
        <v>0</v>
      </c>
    </row>
    <row r="227" s="235" customFormat="1" spans="1:18">
      <c r="A227" s="240"/>
      <c r="B227" s="240"/>
      <c r="C227" s="240"/>
      <c r="D227" s="241"/>
      <c r="E227" s="241"/>
      <c r="F227" s="241"/>
      <c r="G227" s="241"/>
      <c r="H227" s="241"/>
      <c r="I227" s="241"/>
      <c r="K227" s="251">
        <f t="shared" si="11"/>
        <v>0</v>
      </c>
      <c r="N227" s="241"/>
      <c r="O227" s="241"/>
      <c r="P227" s="241"/>
      <c r="Q227" s="241"/>
      <c r="R227" s="241"/>
    </row>
    <row r="228" spans="1:18">
      <c r="K228" s="251">
        <f t="shared" si="11"/>
        <v>0</v>
      </c>
    </row>
    <row r="229" spans="1:18">
      <c r="K229" s="251">
        <f t="shared" si="11"/>
        <v>0</v>
      </c>
    </row>
    <row r="230" spans="1:18">
      <c r="K230" s="251">
        <f t="shared" si="11"/>
        <v>0</v>
      </c>
    </row>
    <row r="231" spans="1:18">
      <c r="K231" s="251">
        <f t="shared" si="11"/>
        <v>0</v>
      </c>
    </row>
    <row r="232" spans="1:18">
      <c r="K232" s="251">
        <f t="shared" si="11"/>
        <v>0</v>
      </c>
    </row>
    <row r="233" spans="1:18">
      <c r="K233" s="251">
        <f t="shared" si="11"/>
        <v>0</v>
      </c>
    </row>
    <row r="234" spans="1:18">
      <c r="K234" s="251">
        <f t="shared" si="11"/>
        <v>0</v>
      </c>
    </row>
    <row r="235" spans="1:18">
      <c r="K235" s="251">
        <f t="shared" si="11"/>
        <v>0</v>
      </c>
    </row>
    <row r="236" s="235" customFormat="1" spans="1:18">
      <c r="A236" s="240"/>
      <c r="B236" s="240"/>
      <c r="C236" s="240"/>
      <c r="D236" s="241"/>
      <c r="E236" s="241"/>
      <c r="F236" s="241"/>
      <c r="G236" s="241"/>
      <c r="H236" s="241"/>
      <c r="I236" s="241"/>
      <c r="K236" s="251">
        <f t="shared" si="11"/>
        <v>0</v>
      </c>
      <c r="N236" s="241"/>
      <c r="O236" s="241"/>
      <c r="P236" s="241"/>
      <c r="Q236" s="241"/>
      <c r="R236" s="241"/>
    </row>
    <row r="237" spans="1:18">
      <c r="K237" s="251">
        <f t="shared" si="11"/>
        <v>0</v>
      </c>
    </row>
    <row r="238" spans="1:18">
      <c r="K238" s="251">
        <f t="shared" si="11"/>
        <v>0</v>
      </c>
    </row>
    <row r="239" spans="1:18">
      <c r="K239" s="251">
        <f t="shared" si="11"/>
        <v>0</v>
      </c>
    </row>
    <row r="240" spans="1:18">
      <c r="K240" s="251">
        <f t="shared" si="11"/>
        <v>0</v>
      </c>
    </row>
    <row r="241" spans="1:18">
      <c r="K241" s="251">
        <f t="shared" si="11"/>
        <v>0</v>
      </c>
    </row>
    <row r="242" spans="1:18">
      <c r="K242" s="251">
        <f t="shared" si="11"/>
        <v>0</v>
      </c>
    </row>
    <row r="243" spans="1:18">
      <c r="K243" s="251">
        <f t="shared" si="11"/>
        <v>0</v>
      </c>
    </row>
    <row r="244" spans="1:18">
      <c r="K244" s="251">
        <f t="shared" si="11"/>
        <v>0</v>
      </c>
    </row>
    <row r="245" spans="1:18">
      <c r="K245" s="251">
        <f t="shared" si="11"/>
        <v>0</v>
      </c>
    </row>
    <row r="246" spans="1:18">
      <c r="K246" s="251">
        <f t="shared" si="11"/>
        <v>0</v>
      </c>
    </row>
    <row r="247" spans="1:18">
      <c r="K247" s="251">
        <f t="shared" si="11"/>
        <v>0</v>
      </c>
    </row>
    <row r="248" spans="1:18">
      <c r="K248" s="251">
        <f t="shared" si="11"/>
        <v>0</v>
      </c>
    </row>
    <row r="249" spans="1:18">
      <c r="K249" s="251">
        <f t="shared" si="11"/>
        <v>0</v>
      </c>
    </row>
    <row r="250" spans="1:18">
      <c r="K250" s="251">
        <f t="shared" si="11"/>
        <v>0</v>
      </c>
    </row>
    <row r="251" spans="1:18">
      <c r="K251" s="251">
        <f t="shared" si="11"/>
        <v>0</v>
      </c>
    </row>
    <row r="252" spans="1:18">
      <c r="K252" s="251">
        <f t="shared" si="11"/>
        <v>0</v>
      </c>
    </row>
    <row r="253" s="227" customFormat="1" spans="1:18">
      <c r="A253" s="240"/>
      <c r="B253" s="240"/>
      <c r="C253" s="240"/>
      <c r="D253" s="241"/>
      <c r="E253" s="241"/>
      <c r="F253" s="241"/>
      <c r="G253" s="241"/>
      <c r="H253" s="241"/>
      <c r="I253" s="241"/>
      <c r="K253" s="251">
        <f t="shared" si="11"/>
        <v>0</v>
      </c>
      <c r="N253" s="241"/>
      <c r="O253" s="241"/>
      <c r="P253" s="241"/>
      <c r="Q253" s="241"/>
      <c r="R253" s="241"/>
    </row>
    <row r="254" spans="1:18">
      <c r="K254" s="251">
        <f t="shared" si="11"/>
        <v>0</v>
      </c>
    </row>
    <row r="255" spans="1:18">
      <c r="K255" s="251">
        <f t="shared" si="11"/>
        <v>0</v>
      </c>
    </row>
    <row r="256" spans="1:18">
      <c r="K256" s="251">
        <f t="shared" si="11"/>
        <v>0</v>
      </c>
    </row>
    <row r="257" spans="1:18">
      <c r="K257" s="251">
        <f t="shared" si="11"/>
        <v>0</v>
      </c>
    </row>
    <row r="258" spans="1:18">
      <c r="K258" s="251">
        <f t="shared" si="11"/>
        <v>0</v>
      </c>
    </row>
    <row r="259" spans="1:18">
      <c r="K259" s="251">
        <f t="shared" si="11"/>
        <v>0</v>
      </c>
    </row>
    <row r="260" spans="1:18">
      <c r="K260" s="251">
        <f t="shared" ref="K260:K323" si="12">G260-P260</f>
        <v>0</v>
      </c>
    </row>
    <row r="261" s="237" customFormat="1" spans="1:18">
      <c r="A261" s="240"/>
      <c r="B261" s="240"/>
      <c r="C261" s="240"/>
      <c r="D261" s="241"/>
      <c r="E261" s="241"/>
      <c r="F261" s="241"/>
      <c r="G261" s="241"/>
      <c r="H261" s="241"/>
      <c r="I261" s="241"/>
      <c r="K261" s="251">
        <f t="shared" si="12"/>
        <v>0</v>
      </c>
      <c r="N261" s="241"/>
      <c r="O261" s="241"/>
      <c r="P261" s="241"/>
      <c r="Q261" s="241"/>
      <c r="R261" s="241"/>
    </row>
    <row r="262" s="235" customFormat="1" spans="1:18">
      <c r="A262" s="240"/>
      <c r="B262" s="240"/>
      <c r="C262" s="240"/>
      <c r="D262" s="241"/>
      <c r="E262" s="241"/>
      <c r="F262" s="241"/>
      <c r="G262" s="241"/>
      <c r="H262" s="241"/>
      <c r="I262" s="241"/>
      <c r="K262" s="251">
        <f t="shared" si="12"/>
        <v>0</v>
      </c>
      <c r="N262" s="241"/>
      <c r="O262" s="241"/>
      <c r="P262" s="241"/>
      <c r="Q262" s="241"/>
      <c r="R262" s="241"/>
    </row>
    <row r="263" spans="1:18">
      <c r="K263" s="251">
        <f t="shared" si="12"/>
        <v>0</v>
      </c>
    </row>
    <row r="264" spans="1:18">
      <c r="K264" s="251">
        <f t="shared" si="12"/>
        <v>0</v>
      </c>
    </row>
    <row r="265" spans="1:18">
      <c r="K265" s="251">
        <f t="shared" si="12"/>
        <v>0</v>
      </c>
    </row>
    <row r="266" spans="1:18">
      <c r="K266" s="251">
        <f t="shared" si="12"/>
        <v>0</v>
      </c>
    </row>
    <row r="267" spans="1:18">
      <c r="K267" s="251">
        <f t="shared" si="12"/>
        <v>0</v>
      </c>
    </row>
    <row r="268" spans="1:18">
      <c r="K268" s="251">
        <f t="shared" si="12"/>
        <v>0</v>
      </c>
    </row>
    <row r="269" spans="1:18">
      <c r="K269" s="251">
        <f t="shared" si="12"/>
        <v>0</v>
      </c>
    </row>
    <row r="270" spans="1:18">
      <c r="K270" s="251">
        <f t="shared" si="12"/>
        <v>0</v>
      </c>
    </row>
    <row r="271" spans="1:18">
      <c r="K271" s="251">
        <f t="shared" si="12"/>
        <v>0</v>
      </c>
    </row>
    <row r="272" spans="1:18">
      <c r="K272" s="251">
        <f t="shared" si="12"/>
        <v>0</v>
      </c>
    </row>
    <row r="273" spans="11:11">
      <c r="K273" s="251">
        <f t="shared" si="12"/>
        <v>0</v>
      </c>
    </row>
    <row r="274" spans="11:11">
      <c r="K274" s="251">
        <f t="shared" si="12"/>
        <v>0</v>
      </c>
    </row>
    <row r="275" spans="11:11">
      <c r="K275" s="251">
        <f t="shared" si="12"/>
        <v>0</v>
      </c>
    </row>
    <row r="276" spans="11:11">
      <c r="K276" s="251">
        <f t="shared" si="12"/>
        <v>0</v>
      </c>
    </row>
    <row r="277" spans="11:11">
      <c r="K277" s="251">
        <f t="shared" si="12"/>
        <v>0</v>
      </c>
    </row>
    <row r="278" spans="11:11">
      <c r="K278" s="251">
        <f t="shared" si="12"/>
        <v>0</v>
      </c>
    </row>
    <row r="279" spans="11:11">
      <c r="K279" s="251">
        <f t="shared" si="12"/>
        <v>0</v>
      </c>
    </row>
    <row r="280" spans="11:11">
      <c r="K280" s="251">
        <f t="shared" si="12"/>
        <v>0</v>
      </c>
    </row>
    <row r="281" spans="11:11">
      <c r="K281" s="251">
        <f t="shared" si="12"/>
        <v>0</v>
      </c>
    </row>
    <row r="282" spans="11:11">
      <c r="K282" s="251">
        <f t="shared" si="12"/>
        <v>0</v>
      </c>
    </row>
    <row r="283" spans="11:11">
      <c r="K283" s="251">
        <f t="shared" si="12"/>
        <v>0</v>
      </c>
    </row>
    <row r="284" spans="11:11">
      <c r="K284" s="251">
        <f t="shared" si="12"/>
        <v>0</v>
      </c>
    </row>
    <row r="285" spans="11:11">
      <c r="K285" s="251">
        <f t="shared" si="12"/>
        <v>0</v>
      </c>
    </row>
    <row r="286" spans="11:11">
      <c r="K286" s="251">
        <f t="shared" si="12"/>
        <v>0</v>
      </c>
    </row>
    <row r="287" spans="11:11">
      <c r="K287" s="251">
        <f t="shared" si="12"/>
        <v>0</v>
      </c>
    </row>
    <row r="288" spans="11:11">
      <c r="K288" s="251">
        <f t="shared" si="12"/>
        <v>0</v>
      </c>
    </row>
    <row r="289" spans="1:18">
      <c r="K289" s="251">
        <f t="shared" si="12"/>
        <v>0</v>
      </c>
    </row>
    <row r="290" spans="1:18">
      <c r="K290" s="251">
        <f t="shared" si="12"/>
        <v>0</v>
      </c>
    </row>
    <row r="291" spans="1:18">
      <c r="K291" s="251">
        <f t="shared" si="12"/>
        <v>0</v>
      </c>
    </row>
    <row r="292" spans="1:18">
      <c r="K292" s="251">
        <f t="shared" si="12"/>
        <v>0</v>
      </c>
    </row>
    <row r="293" spans="1:18">
      <c r="K293" s="251">
        <f t="shared" si="12"/>
        <v>0</v>
      </c>
    </row>
    <row r="294" spans="1:18">
      <c r="K294" s="251">
        <f t="shared" si="12"/>
        <v>0</v>
      </c>
    </row>
    <row r="295" spans="1:18">
      <c r="K295" s="251">
        <f t="shared" si="12"/>
        <v>0</v>
      </c>
    </row>
    <row r="296" s="235" customFormat="1" spans="1:18">
      <c r="A296" s="240"/>
      <c r="B296" s="240"/>
      <c r="C296" s="240"/>
      <c r="D296" s="241"/>
      <c r="E296" s="241"/>
      <c r="F296" s="241"/>
      <c r="G296" s="241"/>
      <c r="H296" s="241"/>
      <c r="I296" s="241"/>
      <c r="K296" s="251">
        <f t="shared" si="12"/>
        <v>0</v>
      </c>
      <c r="N296" s="241"/>
      <c r="O296" s="241"/>
      <c r="P296" s="241"/>
      <c r="Q296" s="241"/>
      <c r="R296" s="241"/>
    </row>
    <row r="297" spans="1:18">
      <c r="K297" s="251">
        <f t="shared" si="12"/>
        <v>0</v>
      </c>
    </row>
    <row r="298" spans="1:18">
      <c r="K298" s="251">
        <f t="shared" si="12"/>
        <v>0</v>
      </c>
    </row>
    <row r="299" s="227" customFormat="1" spans="1:18">
      <c r="A299" s="240"/>
      <c r="B299" s="240"/>
      <c r="C299" s="240"/>
      <c r="D299" s="241"/>
      <c r="E299" s="241"/>
      <c r="F299" s="241"/>
      <c r="G299" s="241"/>
      <c r="H299" s="241"/>
      <c r="I299" s="241"/>
      <c r="K299" s="251">
        <f t="shared" si="12"/>
        <v>0</v>
      </c>
      <c r="N299" s="241"/>
      <c r="O299" s="241"/>
      <c r="P299" s="241"/>
      <c r="Q299" s="241"/>
      <c r="R299" s="241"/>
    </row>
    <row r="300" spans="1:18">
      <c r="K300" s="251">
        <f t="shared" si="12"/>
        <v>0</v>
      </c>
    </row>
    <row r="301" spans="1:18">
      <c r="K301" s="251">
        <f t="shared" si="12"/>
        <v>0</v>
      </c>
    </row>
    <row r="302" spans="1:18">
      <c r="K302" s="251">
        <f t="shared" si="12"/>
        <v>0</v>
      </c>
    </row>
    <row r="303" s="235" customFormat="1" spans="1:18">
      <c r="A303" s="240"/>
      <c r="B303" s="240"/>
      <c r="C303" s="240"/>
      <c r="D303" s="241"/>
      <c r="E303" s="241"/>
      <c r="F303" s="241"/>
      <c r="G303" s="241"/>
      <c r="H303" s="241"/>
      <c r="I303" s="241"/>
      <c r="K303" s="251">
        <f t="shared" si="12"/>
        <v>0</v>
      </c>
      <c r="N303" s="241"/>
      <c r="O303" s="241"/>
      <c r="P303" s="241"/>
      <c r="Q303" s="241"/>
      <c r="R303" s="241"/>
    </row>
    <row r="304" spans="1:18">
      <c r="K304" s="251">
        <f t="shared" si="12"/>
        <v>0</v>
      </c>
    </row>
    <row r="305" spans="11:11">
      <c r="K305" s="251">
        <f t="shared" si="12"/>
        <v>0</v>
      </c>
    </row>
    <row r="306" spans="11:11">
      <c r="K306" s="251">
        <f t="shared" si="12"/>
        <v>0</v>
      </c>
    </row>
    <row r="307" spans="11:11">
      <c r="K307" s="251">
        <f t="shared" si="12"/>
        <v>0</v>
      </c>
    </row>
    <row r="308" spans="11:11">
      <c r="K308" s="251">
        <f t="shared" si="12"/>
        <v>0</v>
      </c>
    </row>
    <row r="309" spans="11:11">
      <c r="K309" s="251">
        <f t="shared" si="12"/>
        <v>0</v>
      </c>
    </row>
    <row r="310" spans="11:11">
      <c r="K310" s="251">
        <f t="shared" si="12"/>
        <v>0</v>
      </c>
    </row>
    <row r="311" spans="11:11">
      <c r="K311" s="251">
        <f t="shared" si="12"/>
        <v>0</v>
      </c>
    </row>
    <row r="312" spans="11:11">
      <c r="K312" s="251">
        <f t="shared" si="12"/>
        <v>0</v>
      </c>
    </row>
    <row r="313" spans="11:11">
      <c r="K313" s="251">
        <f t="shared" si="12"/>
        <v>0</v>
      </c>
    </row>
    <row r="314" spans="11:11">
      <c r="K314" s="251">
        <f t="shared" si="12"/>
        <v>0</v>
      </c>
    </row>
    <row r="315" spans="11:11">
      <c r="K315" s="251">
        <f t="shared" si="12"/>
        <v>0</v>
      </c>
    </row>
    <row r="316" spans="11:11">
      <c r="K316" s="251">
        <f t="shared" si="12"/>
        <v>0</v>
      </c>
    </row>
    <row r="317" spans="11:11">
      <c r="K317" s="251">
        <f t="shared" si="12"/>
        <v>0</v>
      </c>
    </row>
    <row r="318" spans="11:11">
      <c r="K318" s="251">
        <f t="shared" si="12"/>
        <v>0</v>
      </c>
    </row>
    <row r="319" spans="11:11">
      <c r="K319" s="251">
        <f t="shared" si="12"/>
        <v>0</v>
      </c>
    </row>
    <row r="320" spans="11:11">
      <c r="K320" s="251">
        <f t="shared" si="12"/>
        <v>0</v>
      </c>
    </row>
    <row r="321" spans="1:18">
      <c r="K321" s="251">
        <f t="shared" si="12"/>
        <v>0</v>
      </c>
    </row>
    <row r="322" spans="1:18">
      <c r="K322" s="251">
        <f t="shared" si="12"/>
        <v>0</v>
      </c>
    </row>
    <row r="323" spans="1:18">
      <c r="K323" s="251">
        <f t="shared" si="12"/>
        <v>0</v>
      </c>
    </row>
    <row r="324" spans="1:18">
      <c r="K324" s="251">
        <f t="shared" ref="K324:K387" si="13">G324-P324</f>
        <v>0</v>
      </c>
    </row>
    <row r="325" spans="1:18">
      <c r="K325" s="251">
        <f t="shared" si="13"/>
        <v>0</v>
      </c>
    </row>
    <row r="326" s="227" customFormat="1" spans="1:18">
      <c r="A326" s="240"/>
      <c r="B326" s="240"/>
      <c r="C326" s="240"/>
      <c r="D326" s="241"/>
      <c r="E326" s="241"/>
      <c r="F326" s="241"/>
      <c r="G326" s="241"/>
      <c r="H326" s="241"/>
      <c r="I326" s="241"/>
      <c r="K326" s="251">
        <f t="shared" si="13"/>
        <v>0</v>
      </c>
      <c r="N326" s="241"/>
      <c r="O326" s="241"/>
      <c r="P326" s="241"/>
      <c r="Q326" s="241"/>
      <c r="R326" s="241"/>
    </row>
    <row r="327" spans="1:18">
      <c r="K327" s="251">
        <f t="shared" si="13"/>
        <v>0</v>
      </c>
    </row>
    <row r="328" spans="1:18">
      <c r="K328" s="251">
        <f t="shared" si="13"/>
        <v>0</v>
      </c>
    </row>
    <row r="329" spans="1:18">
      <c r="K329" s="251">
        <f t="shared" si="13"/>
        <v>0</v>
      </c>
    </row>
    <row r="330" spans="1:18">
      <c r="K330" s="251">
        <f t="shared" si="13"/>
        <v>0</v>
      </c>
    </row>
    <row r="331" spans="1:18">
      <c r="K331" s="251">
        <f t="shared" si="13"/>
        <v>0</v>
      </c>
    </row>
    <row r="332" spans="1:18">
      <c r="K332" s="251">
        <f t="shared" si="13"/>
        <v>0</v>
      </c>
    </row>
    <row r="333" spans="1:18">
      <c r="K333" s="251">
        <f t="shared" si="13"/>
        <v>0</v>
      </c>
    </row>
    <row r="334" s="235" customFormat="1" spans="1:18">
      <c r="A334" s="240"/>
      <c r="B334" s="240"/>
      <c r="C334" s="240"/>
      <c r="D334" s="241"/>
      <c r="E334" s="241"/>
      <c r="F334" s="241"/>
      <c r="G334" s="241"/>
      <c r="H334" s="241"/>
      <c r="I334" s="241"/>
      <c r="K334" s="251">
        <f t="shared" si="13"/>
        <v>0</v>
      </c>
      <c r="N334" s="241"/>
      <c r="O334" s="241"/>
      <c r="P334" s="241"/>
      <c r="Q334" s="241"/>
      <c r="R334" s="241"/>
    </row>
    <row r="335" spans="1:18">
      <c r="K335" s="251">
        <f t="shared" si="13"/>
        <v>0</v>
      </c>
    </row>
    <row r="336" spans="1:18">
      <c r="K336" s="251">
        <f t="shared" si="13"/>
        <v>0</v>
      </c>
    </row>
    <row r="337" spans="11:11">
      <c r="K337" s="251">
        <f t="shared" si="13"/>
        <v>0</v>
      </c>
    </row>
    <row r="338" spans="11:11">
      <c r="K338" s="251">
        <f t="shared" si="13"/>
        <v>0</v>
      </c>
    </row>
    <row r="339" spans="11:11">
      <c r="K339" s="251">
        <f t="shared" si="13"/>
        <v>0</v>
      </c>
    </row>
    <row r="340" spans="11:11">
      <c r="K340" s="251">
        <f t="shared" si="13"/>
        <v>0</v>
      </c>
    </row>
    <row r="341" spans="11:11">
      <c r="K341" s="251">
        <f t="shared" si="13"/>
        <v>0</v>
      </c>
    </row>
    <row r="342" spans="11:11">
      <c r="K342" s="251">
        <f t="shared" si="13"/>
        <v>0</v>
      </c>
    </row>
    <row r="343" spans="11:11">
      <c r="K343" s="251">
        <f t="shared" si="13"/>
        <v>0</v>
      </c>
    </row>
    <row r="344" spans="11:11">
      <c r="K344" s="251">
        <f t="shared" si="13"/>
        <v>0</v>
      </c>
    </row>
    <row r="345" spans="11:11">
      <c r="K345" s="251">
        <f t="shared" si="13"/>
        <v>0</v>
      </c>
    </row>
    <row r="346" spans="11:11">
      <c r="K346" s="251">
        <f t="shared" si="13"/>
        <v>0</v>
      </c>
    </row>
    <row r="347" spans="11:11">
      <c r="K347" s="251">
        <f t="shared" si="13"/>
        <v>0</v>
      </c>
    </row>
    <row r="348" spans="11:11">
      <c r="K348" s="251">
        <f t="shared" si="13"/>
        <v>0</v>
      </c>
    </row>
    <row r="349" spans="11:11">
      <c r="K349" s="251">
        <f t="shared" si="13"/>
        <v>0</v>
      </c>
    </row>
    <row r="350" spans="11:11">
      <c r="K350" s="251">
        <f t="shared" si="13"/>
        <v>0</v>
      </c>
    </row>
    <row r="351" spans="11:11">
      <c r="K351" s="251">
        <f t="shared" si="13"/>
        <v>0</v>
      </c>
    </row>
    <row r="352" spans="11:11">
      <c r="K352" s="251">
        <f t="shared" si="13"/>
        <v>0</v>
      </c>
    </row>
    <row r="353" spans="11:11">
      <c r="K353" s="251">
        <f t="shared" si="13"/>
        <v>0</v>
      </c>
    </row>
    <row r="354" spans="11:11">
      <c r="K354" s="251">
        <f t="shared" si="13"/>
        <v>0</v>
      </c>
    </row>
    <row r="355" spans="11:11">
      <c r="K355" s="251">
        <f t="shared" si="13"/>
        <v>0</v>
      </c>
    </row>
    <row r="356" spans="11:11">
      <c r="K356" s="251">
        <f t="shared" si="13"/>
        <v>0</v>
      </c>
    </row>
    <row r="357" spans="11:11">
      <c r="K357" s="251">
        <f t="shared" si="13"/>
        <v>0</v>
      </c>
    </row>
    <row r="358" spans="11:11">
      <c r="K358" s="251">
        <f t="shared" si="13"/>
        <v>0</v>
      </c>
    </row>
    <row r="359" spans="11:11">
      <c r="K359" s="251">
        <f t="shared" si="13"/>
        <v>0</v>
      </c>
    </row>
    <row r="360" spans="11:11">
      <c r="K360" s="251">
        <f t="shared" si="13"/>
        <v>0</v>
      </c>
    </row>
    <row r="361" spans="11:11">
      <c r="K361" s="251">
        <f t="shared" si="13"/>
        <v>0</v>
      </c>
    </row>
    <row r="362" spans="11:11">
      <c r="K362" s="251">
        <f t="shared" si="13"/>
        <v>0</v>
      </c>
    </row>
    <row r="363" spans="11:11">
      <c r="K363" s="251">
        <f t="shared" si="13"/>
        <v>0</v>
      </c>
    </row>
    <row r="364" spans="11:11">
      <c r="K364" s="251">
        <f t="shared" si="13"/>
        <v>0</v>
      </c>
    </row>
    <row r="365" spans="11:11">
      <c r="K365" s="251">
        <f t="shared" si="13"/>
        <v>0</v>
      </c>
    </row>
    <row r="366" spans="11:11">
      <c r="K366" s="251">
        <f t="shared" si="13"/>
        <v>0</v>
      </c>
    </row>
    <row r="367" spans="11:11">
      <c r="K367" s="251">
        <f t="shared" si="13"/>
        <v>0</v>
      </c>
    </row>
    <row r="368" spans="11:11">
      <c r="K368" s="251">
        <f t="shared" si="13"/>
        <v>0</v>
      </c>
    </row>
    <row r="369" spans="11:11">
      <c r="K369" s="251">
        <f t="shared" si="13"/>
        <v>0</v>
      </c>
    </row>
    <row r="370" spans="11:11">
      <c r="K370" s="251">
        <f t="shared" si="13"/>
        <v>0</v>
      </c>
    </row>
    <row r="371" spans="11:11">
      <c r="K371" s="251">
        <f t="shared" si="13"/>
        <v>0</v>
      </c>
    </row>
    <row r="372" spans="11:11">
      <c r="K372" s="251">
        <f t="shared" si="13"/>
        <v>0</v>
      </c>
    </row>
    <row r="373" spans="11:11">
      <c r="K373" s="251">
        <f t="shared" si="13"/>
        <v>0</v>
      </c>
    </row>
    <row r="374" spans="11:11">
      <c r="K374" s="251">
        <f t="shared" si="13"/>
        <v>0</v>
      </c>
    </row>
    <row r="375" spans="11:11">
      <c r="K375" s="251">
        <f t="shared" si="13"/>
        <v>0</v>
      </c>
    </row>
    <row r="376" spans="11:11">
      <c r="K376" s="251">
        <f t="shared" si="13"/>
        <v>0</v>
      </c>
    </row>
    <row r="377" spans="11:11">
      <c r="K377" s="251">
        <f t="shared" si="13"/>
        <v>0</v>
      </c>
    </row>
    <row r="378" spans="11:11">
      <c r="K378" s="251">
        <f t="shared" si="13"/>
        <v>0</v>
      </c>
    </row>
    <row r="379" spans="11:11">
      <c r="K379" s="251">
        <f t="shared" si="13"/>
        <v>0</v>
      </c>
    </row>
    <row r="380" spans="11:11">
      <c r="K380" s="251">
        <f t="shared" si="13"/>
        <v>0</v>
      </c>
    </row>
    <row r="381" spans="11:11">
      <c r="K381" s="251">
        <f t="shared" si="13"/>
        <v>0</v>
      </c>
    </row>
    <row r="382" spans="11:11">
      <c r="K382" s="251">
        <f t="shared" si="13"/>
        <v>0</v>
      </c>
    </row>
    <row r="383" spans="11:11">
      <c r="K383" s="251">
        <f t="shared" si="13"/>
        <v>0</v>
      </c>
    </row>
    <row r="384" spans="11:11">
      <c r="K384" s="251">
        <f t="shared" si="13"/>
        <v>0</v>
      </c>
    </row>
    <row r="385" spans="11:11">
      <c r="K385" s="251">
        <f t="shared" si="13"/>
        <v>0</v>
      </c>
    </row>
    <row r="386" spans="11:11">
      <c r="K386" s="251">
        <f t="shared" si="13"/>
        <v>0</v>
      </c>
    </row>
    <row r="387" spans="11:11">
      <c r="K387" s="251">
        <f t="shared" si="13"/>
        <v>0</v>
      </c>
    </row>
    <row r="388" spans="11:11">
      <c r="K388" s="251">
        <f t="shared" ref="K388:K451" si="14">G388-P388</f>
        <v>0</v>
      </c>
    </row>
    <row r="389" spans="11:11">
      <c r="K389" s="251">
        <f t="shared" si="14"/>
        <v>0</v>
      </c>
    </row>
    <row r="390" spans="11:11">
      <c r="K390" s="251">
        <f t="shared" si="14"/>
        <v>0</v>
      </c>
    </row>
    <row r="391" spans="11:11">
      <c r="K391" s="251">
        <f t="shared" si="14"/>
        <v>0</v>
      </c>
    </row>
    <row r="392" spans="11:11">
      <c r="K392" s="251">
        <f t="shared" si="14"/>
        <v>0</v>
      </c>
    </row>
    <row r="393" spans="11:11">
      <c r="K393" s="251">
        <f t="shared" si="14"/>
        <v>0</v>
      </c>
    </row>
    <row r="394" spans="11:11">
      <c r="K394" s="251">
        <f t="shared" si="14"/>
        <v>0</v>
      </c>
    </row>
    <row r="395" spans="11:11">
      <c r="K395" s="251">
        <f t="shared" si="14"/>
        <v>0</v>
      </c>
    </row>
    <row r="396" spans="11:11">
      <c r="K396" s="251">
        <f t="shared" si="14"/>
        <v>0</v>
      </c>
    </row>
    <row r="397" spans="11:11">
      <c r="K397" s="251">
        <f t="shared" si="14"/>
        <v>0</v>
      </c>
    </row>
    <row r="398" spans="11:11">
      <c r="K398" s="251">
        <f t="shared" si="14"/>
        <v>0</v>
      </c>
    </row>
    <row r="399" spans="11:11">
      <c r="K399" s="251">
        <f t="shared" si="14"/>
        <v>0</v>
      </c>
    </row>
    <row r="400" spans="11:11">
      <c r="K400" s="251">
        <f t="shared" si="14"/>
        <v>0</v>
      </c>
    </row>
    <row r="401" spans="11:11">
      <c r="K401" s="251">
        <f t="shared" si="14"/>
        <v>0</v>
      </c>
    </row>
    <row r="402" spans="11:11">
      <c r="K402" s="251">
        <f t="shared" si="14"/>
        <v>0</v>
      </c>
    </row>
    <row r="403" spans="11:11">
      <c r="K403" s="251">
        <f t="shared" si="14"/>
        <v>0</v>
      </c>
    </row>
    <row r="404" spans="11:11">
      <c r="K404" s="251">
        <f t="shared" si="14"/>
        <v>0</v>
      </c>
    </row>
    <row r="405" spans="11:11">
      <c r="K405" s="251">
        <f t="shared" si="14"/>
        <v>0</v>
      </c>
    </row>
    <row r="406" spans="11:11">
      <c r="K406" s="251">
        <f t="shared" si="14"/>
        <v>0</v>
      </c>
    </row>
    <row r="407" spans="11:11">
      <c r="K407" s="251">
        <f t="shared" si="14"/>
        <v>0</v>
      </c>
    </row>
    <row r="408" spans="11:11">
      <c r="K408" s="251">
        <f t="shared" si="14"/>
        <v>0</v>
      </c>
    </row>
    <row r="409" spans="11:11">
      <c r="K409" s="251">
        <f t="shared" si="14"/>
        <v>0</v>
      </c>
    </row>
    <row r="410" spans="11:11">
      <c r="K410" s="251">
        <f t="shared" si="14"/>
        <v>0</v>
      </c>
    </row>
    <row r="411" spans="11:11">
      <c r="K411" s="251">
        <f t="shared" si="14"/>
        <v>0</v>
      </c>
    </row>
    <row r="412" spans="11:11">
      <c r="K412" s="251">
        <f t="shared" si="14"/>
        <v>0</v>
      </c>
    </row>
    <row r="413" spans="11:11">
      <c r="K413" s="251">
        <f t="shared" si="14"/>
        <v>0</v>
      </c>
    </row>
    <row r="414" spans="11:11">
      <c r="K414" s="251">
        <f t="shared" si="14"/>
        <v>0</v>
      </c>
    </row>
    <row r="415" spans="11:11">
      <c r="K415" s="251">
        <f t="shared" si="14"/>
        <v>0</v>
      </c>
    </row>
    <row r="416" spans="11:11">
      <c r="K416" s="251">
        <f t="shared" si="14"/>
        <v>0</v>
      </c>
    </row>
    <row r="417" spans="1:18">
      <c r="K417" s="251">
        <f t="shared" si="14"/>
        <v>0</v>
      </c>
    </row>
    <row r="418" spans="1:18">
      <c r="K418" s="251">
        <f t="shared" si="14"/>
        <v>0</v>
      </c>
    </row>
    <row r="419" spans="1:18">
      <c r="K419" s="251">
        <f t="shared" si="14"/>
        <v>0</v>
      </c>
    </row>
    <row r="420" spans="1:18">
      <c r="K420" s="251">
        <f t="shared" si="14"/>
        <v>0</v>
      </c>
    </row>
    <row r="421" spans="1:18">
      <c r="K421" s="251">
        <f t="shared" si="14"/>
        <v>0</v>
      </c>
    </row>
    <row r="422" spans="1:18">
      <c r="K422" s="251">
        <f t="shared" si="14"/>
        <v>0</v>
      </c>
    </row>
    <row r="423" spans="1:18">
      <c r="K423" s="251">
        <f t="shared" si="14"/>
        <v>0</v>
      </c>
    </row>
    <row r="424" spans="1:18">
      <c r="K424" s="251">
        <f t="shared" si="14"/>
        <v>0</v>
      </c>
    </row>
    <row r="425" spans="1:18">
      <c r="K425" s="251">
        <f t="shared" si="14"/>
        <v>0</v>
      </c>
    </row>
    <row r="426" spans="1:18">
      <c r="K426" s="251">
        <f t="shared" si="14"/>
        <v>0</v>
      </c>
    </row>
    <row r="427" s="235" customFormat="1" spans="1:18">
      <c r="A427" s="240"/>
      <c r="B427" s="240"/>
      <c r="C427" s="240"/>
      <c r="D427" s="241"/>
      <c r="E427" s="241"/>
      <c r="F427" s="241"/>
      <c r="G427" s="241"/>
      <c r="H427" s="241"/>
      <c r="I427" s="241"/>
      <c r="K427" s="251">
        <f t="shared" si="14"/>
        <v>0</v>
      </c>
      <c r="N427" s="241"/>
      <c r="O427" s="241"/>
      <c r="P427" s="241"/>
      <c r="Q427" s="241"/>
      <c r="R427" s="241"/>
    </row>
    <row r="428" spans="1:18">
      <c r="K428" s="251">
        <f t="shared" si="14"/>
        <v>0</v>
      </c>
    </row>
    <row r="429" spans="1:18">
      <c r="K429" s="251">
        <f t="shared" si="14"/>
        <v>0</v>
      </c>
    </row>
    <row r="430" spans="1:18">
      <c r="K430" s="251">
        <f t="shared" si="14"/>
        <v>0</v>
      </c>
    </row>
    <row r="431" spans="1:18">
      <c r="K431" s="251">
        <f t="shared" si="14"/>
        <v>0</v>
      </c>
    </row>
    <row r="432" spans="1:18">
      <c r="K432" s="251">
        <f t="shared" si="14"/>
        <v>0</v>
      </c>
    </row>
    <row r="433" spans="11:11">
      <c r="K433" s="251">
        <f t="shared" si="14"/>
        <v>0</v>
      </c>
    </row>
    <row r="434" spans="11:11">
      <c r="K434" s="251">
        <f t="shared" si="14"/>
        <v>0</v>
      </c>
    </row>
    <row r="435" spans="11:11">
      <c r="K435" s="251">
        <f t="shared" si="14"/>
        <v>0</v>
      </c>
    </row>
    <row r="436" spans="11:11">
      <c r="K436" s="251">
        <f t="shared" si="14"/>
        <v>0</v>
      </c>
    </row>
    <row r="437" spans="11:11">
      <c r="K437" s="251">
        <f t="shared" si="14"/>
        <v>0</v>
      </c>
    </row>
    <row r="438" spans="11:11">
      <c r="K438" s="251">
        <f t="shared" si="14"/>
        <v>0</v>
      </c>
    </row>
    <row r="439" spans="11:11">
      <c r="K439" s="251">
        <f t="shared" si="14"/>
        <v>0</v>
      </c>
    </row>
    <row r="440" spans="11:11">
      <c r="K440" s="251">
        <f t="shared" si="14"/>
        <v>0</v>
      </c>
    </row>
    <row r="441" spans="11:11">
      <c r="K441" s="251">
        <f t="shared" si="14"/>
        <v>0</v>
      </c>
    </row>
    <row r="442" spans="11:11">
      <c r="K442" s="251">
        <f t="shared" si="14"/>
        <v>0</v>
      </c>
    </row>
    <row r="443" spans="11:11">
      <c r="K443" s="251">
        <f t="shared" si="14"/>
        <v>0</v>
      </c>
    </row>
    <row r="444" spans="11:11">
      <c r="K444" s="251">
        <f t="shared" si="14"/>
        <v>0</v>
      </c>
    </row>
    <row r="445" spans="11:11">
      <c r="K445" s="251">
        <f t="shared" si="14"/>
        <v>0</v>
      </c>
    </row>
    <row r="446" spans="11:11">
      <c r="K446" s="251">
        <f t="shared" si="14"/>
        <v>0</v>
      </c>
    </row>
    <row r="447" spans="11:11">
      <c r="K447" s="251">
        <f t="shared" si="14"/>
        <v>0</v>
      </c>
    </row>
    <row r="448" spans="11:11">
      <c r="K448" s="251">
        <f t="shared" si="14"/>
        <v>0</v>
      </c>
    </row>
    <row r="449" spans="11:11">
      <c r="K449" s="251">
        <f t="shared" si="14"/>
        <v>0</v>
      </c>
    </row>
    <row r="450" spans="11:11">
      <c r="K450" s="251">
        <f t="shared" si="14"/>
        <v>0</v>
      </c>
    </row>
    <row r="451" spans="11:11">
      <c r="K451" s="251">
        <f t="shared" si="14"/>
        <v>0</v>
      </c>
    </row>
    <row r="452" spans="11:11">
      <c r="K452" s="251">
        <f t="shared" ref="K452:K515" si="15">G452-P452</f>
        <v>0</v>
      </c>
    </row>
    <row r="453" spans="11:11">
      <c r="K453" s="251">
        <f t="shared" si="15"/>
        <v>0</v>
      </c>
    </row>
    <row r="454" spans="11:11">
      <c r="K454" s="251">
        <f t="shared" si="15"/>
        <v>0</v>
      </c>
    </row>
    <row r="455" spans="11:11">
      <c r="K455" s="251">
        <f t="shared" si="15"/>
        <v>0</v>
      </c>
    </row>
    <row r="456" spans="11:11">
      <c r="K456" s="251">
        <f t="shared" si="15"/>
        <v>0</v>
      </c>
    </row>
    <row r="457" spans="11:11">
      <c r="K457" s="251">
        <f t="shared" si="15"/>
        <v>0</v>
      </c>
    </row>
    <row r="458" spans="11:11">
      <c r="K458" s="251">
        <f t="shared" si="15"/>
        <v>0</v>
      </c>
    </row>
    <row r="459" spans="11:11">
      <c r="K459" s="251">
        <f t="shared" si="15"/>
        <v>0</v>
      </c>
    </row>
    <row r="460" spans="11:11">
      <c r="K460" s="251">
        <f t="shared" si="15"/>
        <v>0</v>
      </c>
    </row>
    <row r="461" spans="11:11">
      <c r="K461" s="251">
        <f t="shared" si="15"/>
        <v>0</v>
      </c>
    </row>
    <row r="462" spans="11:11">
      <c r="K462" s="251">
        <f t="shared" si="15"/>
        <v>0</v>
      </c>
    </row>
    <row r="463" spans="11:11">
      <c r="K463" s="251">
        <f t="shared" si="15"/>
        <v>0</v>
      </c>
    </row>
    <row r="464" spans="11:11">
      <c r="K464" s="251">
        <f t="shared" si="15"/>
        <v>0</v>
      </c>
    </row>
    <row r="465" spans="11:11">
      <c r="K465" s="251">
        <f t="shared" si="15"/>
        <v>0</v>
      </c>
    </row>
    <row r="466" spans="11:11">
      <c r="K466" s="251">
        <f t="shared" si="15"/>
        <v>0</v>
      </c>
    </row>
    <row r="467" spans="11:11">
      <c r="K467" s="251">
        <f t="shared" si="15"/>
        <v>0</v>
      </c>
    </row>
    <row r="468" spans="11:11">
      <c r="K468" s="251">
        <f t="shared" si="15"/>
        <v>0</v>
      </c>
    </row>
    <row r="469" spans="11:11">
      <c r="K469" s="251">
        <f t="shared" si="15"/>
        <v>0</v>
      </c>
    </row>
    <row r="470" spans="11:11">
      <c r="K470" s="251">
        <f t="shared" si="15"/>
        <v>0</v>
      </c>
    </row>
    <row r="471" spans="11:11">
      <c r="K471" s="251">
        <f t="shared" si="15"/>
        <v>0</v>
      </c>
    </row>
    <row r="472" spans="11:11">
      <c r="K472" s="251">
        <f t="shared" si="15"/>
        <v>0</v>
      </c>
    </row>
    <row r="473" spans="11:11">
      <c r="K473" s="251">
        <f t="shared" si="15"/>
        <v>0</v>
      </c>
    </row>
    <row r="474" spans="11:11">
      <c r="K474" s="251">
        <f t="shared" si="15"/>
        <v>0</v>
      </c>
    </row>
    <row r="475" spans="11:11">
      <c r="K475" s="251">
        <f t="shared" si="15"/>
        <v>0</v>
      </c>
    </row>
    <row r="476" spans="11:11">
      <c r="K476" s="251">
        <f t="shared" si="15"/>
        <v>0</v>
      </c>
    </row>
    <row r="477" spans="11:11">
      <c r="K477" s="251">
        <f t="shared" si="15"/>
        <v>0</v>
      </c>
    </row>
    <row r="478" spans="11:11">
      <c r="K478" s="251">
        <f t="shared" si="15"/>
        <v>0</v>
      </c>
    </row>
    <row r="479" spans="11:11">
      <c r="K479" s="251">
        <f t="shared" si="15"/>
        <v>0</v>
      </c>
    </row>
    <row r="480" spans="11:11">
      <c r="K480" s="251">
        <f t="shared" si="15"/>
        <v>0</v>
      </c>
    </row>
    <row r="481" spans="11:11">
      <c r="K481" s="251">
        <f t="shared" si="15"/>
        <v>0</v>
      </c>
    </row>
    <row r="482" spans="11:11">
      <c r="K482" s="251">
        <f t="shared" si="15"/>
        <v>0</v>
      </c>
    </row>
    <row r="483" spans="11:11">
      <c r="K483" s="251">
        <f t="shared" si="15"/>
        <v>0</v>
      </c>
    </row>
    <row r="484" spans="11:11">
      <c r="K484" s="251">
        <f t="shared" si="15"/>
        <v>0</v>
      </c>
    </row>
    <row r="485" spans="11:11">
      <c r="K485" s="251">
        <f t="shared" si="15"/>
        <v>0</v>
      </c>
    </row>
    <row r="486" spans="11:11">
      <c r="K486" s="251">
        <f t="shared" si="15"/>
        <v>0</v>
      </c>
    </row>
    <row r="487" spans="11:11">
      <c r="K487" s="251">
        <f t="shared" si="15"/>
        <v>0</v>
      </c>
    </row>
    <row r="488" spans="11:11">
      <c r="K488" s="251">
        <f t="shared" si="15"/>
        <v>0</v>
      </c>
    </row>
    <row r="489" spans="11:11">
      <c r="K489" s="251">
        <f t="shared" si="15"/>
        <v>0</v>
      </c>
    </row>
    <row r="490" spans="11:11">
      <c r="K490" s="251">
        <f t="shared" si="15"/>
        <v>0</v>
      </c>
    </row>
    <row r="491" spans="11:11">
      <c r="K491" s="251">
        <f t="shared" si="15"/>
        <v>0</v>
      </c>
    </row>
    <row r="492" spans="11:11">
      <c r="K492" s="251">
        <f t="shared" si="15"/>
        <v>0</v>
      </c>
    </row>
    <row r="493" spans="11:11">
      <c r="K493" s="251">
        <f t="shared" si="15"/>
        <v>0</v>
      </c>
    </row>
    <row r="494" spans="11:11">
      <c r="K494" s="251">
        <f t="shared" si="15"/>
        <v>0</v>
      </c>
    </row>
    <row r="495" spans="11:11">
      <c r="K495" s="251">
        <f t="shared" si="15"/>
        <v>0</v>
      </c>
    </row>
    <row r="496" spans="11:11">
      <c r="K496" s="251">
        <f t="shared" si="15"/>
        <v>0</v>
      </c>
    </row>
    <row r="497" spans="11:11">
      <c r="K497" s="251">
        <f t="shared" si="15"/>
        <v>0</v>
      </c>
    </row>
    <row r="498" spans="11:11">
      <c r="K498" s="251">
        <f t="shared" si="15"/>
        <v>0</v>
      </c>
    </row>
    <row r="499" spans="11:11">
      <c r="K499" s="251">
        <f t="shared" si="15"/>
        <v>0</v>
      </c>
    </row>
    <row r="500" spans="11:11">
      <c r="K500" s="251">
        <f t="shared" si="15"/>
        <v>0</v>
      </c>
    </row>
    <row r="501" spans="11:11">
      <c r="K501" s="251">
        <f t="shared" si="15"/>
        <v>0</v>
      </c>
    </row>
    <row r="502" spans="11:11">
      <c r="K502" s="251">
        <f t="shared" si="15"/>
        <v>0</v>
      </c>
    </row>
    <row r="503" spans="11:11">
      <c r="K503" s="251">
        <f t="shared" si="15"/>
        <v>0</v>
      </c>
    </row>
    <row r="504" spans="11:11">
      <c r="K504" s="251">
        <f t="shared" si="15"/>
        <v>0</v>
      </c>
    </row>
    <row r="505" spans="11:11">
      <c r="K505" s="251">
        <f t="shared" si="15"/>
        <v>0</v>
      </c>
    </row>
    <row r="506" spans="11:11">
      <c r="K506" s="251">
        <f t="shared" si="15"/>
        <v>0</v>
      </c>
    </row>
    <row r="507" spans="11:11">
      <c r="K507" s="251">
        <f t="shared" si="15"/>
        <v>0</v>
      </c>
    </row>
    <row r="508" spans="11:11">
      <c r="K508" s="251">
        <f t="shared" si="15"/>
        <v>0</v>
      </c>
    </row>
    <row r="509" spans="11:11">
      <c r="K509" s="251">
        <f t="shared" si="15"/>
        <v>0</v>
      </c>
    </row>
    <row r="510" spans="11:11">
      <c r="K510" s="251">
        <f t="shared" si="15"/>
        <v>0</v>
      </c>
    </row>
    <row r="511" spans="11:11">
      <c r="K511" s="251">
        <f t="shared" si="15"/>
        <v>0</v>
      </c>
    </row>
    <row r="512" spans="11:11">
      <c r="K512" s="251">
        <f t="shared" si="15"/>
        <v>0</v>
      </c>
    </row>
    <row r="513" spans="11:11">
      <c r="K513" s="251">
        <f t="shared" si="15"/>
        <v>0</v>
      </c>
    </row>
    <row r="514" spans="11:11">
      <c r="K514" s="251">
        <f t="shared" si="15"/>
        <v>0</v>
      </c>
    </row>
    <row r="515" spans="11:11">
      <c r="K515" s="251">
        <f t="shared" si="15"/>
        <v>0</v>
      </c>
    </row>
    <row r="516" spans="11:11">
      <c r="K516" s="251">
        <f t="shared" ref="K516:K570" si="16">G516-P516</f>
        <v>0</v>
      </c>
    </row>
    <row r="517" spans="11:11">
      <c r="K517" s="251">
        <f t="shared" si="16"/>
        <v>0</v>
      </c>
    </row>
    <row r="518" spans="11:11">
      <c r="K518" s="251">
        <f t="shared" si="16"/>
        <v>0</v>
      </c>
    </row>
    <row r="519" spans="11:11">
      <c r="K519" s="251">
        <f t="shared" si="16"/>
        <v>0</v>
      </c>
    </row>
    <row r="520" spans="11:11">
      <c r="K520" s="251">
        <f t="shared" si="16"/>
        <v>0</v>
      </c>
    </row>
    <row r="521" spans="11:11">
      <c r="K521" s="251">
        <f t="shared" si="16"/>
        <v>0</v>
      </c>
    </row>
    <row r="522" spans="11:11">
      <c r="K522" s="251">
        <f t="shared" si="16"/>
        <v>0</v>
      </c>
    </row>
    <row r="523" spans="11:11">
      <c r="K523" s="251">
        <f t="shared" si="16"/>
        <v>0</v>
      </c>
    </row>
    <row r="524" spans="11:11">
      <c r="K524" s="251">
        <f t="shared" si="16"/>
        <v>0</v>
      </c>
    </row>
    <row r="525" spans="11:11">
      <c r="K525" s="251">
        <f t="shared" si="16"/>
        <v>0</v>
      </c>
    </row>
    <row r="526" spans="11:11">
      <c r="K526" s="251">
        <f t="shared" si="16"/>
        <v>0</v>
      </c>
    </row>
    <row r="527" spans="11:11">
      <c r="K527" s="251">
        <f t="shared" si="16"/>
        <v>0</v>
      </c>
    </row>
    <row r="528" spans="11:11">
      <c r="K528" s="251">
        <f t="shared" si="16"/>
        <v>0</v>
      </c>
    </row>
    <row r="529" spans="11:11">
      <c r="K529" s="251">
        <f t="shared" si="16"/>
        <v>0</v>
      </c>
    </row>
    <row r="530" spans="11:11">
      <c r="K530" s="251">
        <f t="shared" si="16"/>
        <v>0</v>
      </c>
    </row>
    <row r="531" spans="11:11">
      <c r="K531" s="251">
        <f t="shared" si="16"/>
        <v>0</v>
      </c>
    </row>
    <row r="532" spans="11:11">
      <c r="K532" s="251">
        <f t="shared" si="16"/>
        <v>0</v>
      </c>
    </row>
    <row r="533" spans="11:11">
      <c r="K533" s="251">
        <f t="shared" si="16"/>
        <v>0</v>
      </c>
    </row>
    <row r="534" spans="11:11">
      <c r="K534" s="251">
        <f t="shared" si="16"/>
        <v>0</v>
      </c>
    </row>
    <row r="535" spans="11:11">
      <c r="K535" s="251">
        <f t="shared" si="16"/>
        <v>0</v>
      </c>
    </row>
    <row r="536" spans="11:11">
      <c r="K536" s="251">
        <f t="shared" si="16"/>
        <v>0</v>
      </c>
    </row>
    <row r="537" spans="11:11">
      <c r="K537" s="251">
        <f t="shared" si="16"/>
        <v>0</v>
      </c>
    </row>
    <row r="538" spans="11:11">
      <c r="K538" s="251">
        <f t="shared" si="16"/>
        <v>0</v>
      </c>
    </row>
    <row r="539" spans="11:11">
      <c r="K539" s="251">
        <f t="shared" si="16"/>
        <v>0</v>
      </c>
    </row>
    <row r="540" spans="11:11">
      <c r="K540" s="251">
        <f t="shared" si="16"/>
        <v>0</v>
      </c>
    </row>
    <row r="541" spans="11:11">
      <c r="K541" s="251">
        <f t="shared" si="16"/>
        <v>0</v>
      </c>
    </row>
    <row r="542" spans="11:11">
      <c r="K542" s="251">
        <f t="shared" si="16"/>
        <v>0</v>
      </c>
    </row>
    <row r="543" spans="11:11">
      <c r="K543" s="251">
        <f t="shared" si="16"/>
        <v>0</v>
      </c>
    </row>
    <row r="544" spans="11:11">
      <c r="K544" s="251">
        <f t="shared" si="16"/>
        <v>0</v>
      </c>
    </row>
    <row r="545" spans="11:11">
      <c r="K545" s="251">
        <f t="shared" si="16"/>
        <v>0</v>
      </c>
    </row>
    <row r="546" spans="11:11">
      <c r="K546" s="251">
        <f t="shared" si="16"/>
        <v>0</v>
      </c>
    </row>
    <row r="547" spans="11:11">
      <c r="K547" s="251">
        <f t="shared" si="16"/>
        <v>0</v>
      </c>
    </row>
    <row r="548" spans="11:11">
      <c r="K548" s="251">
        <f t="shared" si="16"/>
        <v>0</v>
      </c>
    </row>
    <row r="549" spans="11:11">
      <c r="K549" s="251">
        <f t="shared" si="16"/>
        <v>0</v>
      </c>
    </row>
    <row r="550" spans="11:11">
      <c r="K550" s="251">
        <f t="shared" si="16"/>
        <v>0</v>
      </c>
    </row>
    <row r="551" spans="11:11">
      <c r="K551" s="251">
        <f t="shared" si="16"/>
        <v>0</v>
      </c>
    </row>
    <row r="552" spans="11:11">
      <c r="K552" s="251">
        <f t="shared" si="16"/>
        <v>0</v>
      </c>
    </row>
    <row r="553" spans="11:11">
      <c r="K553" s="251">
        <f t="shared" si="16"/>
        <v>0</v>
      </c>
    </row>
    <row r="554" spans="11:11">
      <c r="K554" s="251">
        <f t="shared" si="16"/>
        <v>0</v>
      </c>
    </row>
    <row r="555" spans="11:11">
      <c r="K555" s="251">
        <f t="shared" si="16"/>
        <v>0</v>
      </c>
    </row>
    <row r="556" spans="11:11">
      <c r="K556" s="251">
        <f t="shared" si="16"/>
        <v>0</v>
      </c>
    </row>
    <row r="557" spans="11:11">
      <c r="K557" s="251">
        <f t="shared" si="16"/>
        <v>0</v>
      </c>
    </row>
    <row r="558" spans="11:11">
      <c r="K558" s="251">
        <f t="shared" si="16"/>
        <v>0</v>
      </c>
    </row>
    <row r="559" spans="11:11">
      <c r="K559" s="251">
        <f t="shared" si="16"/>
        <v>0</v>
      </c>
    </row>
    <row r="560" spans="11:11">
      <c r="K560" s="251">
        <f t="shared" si="16"/>
        <v>0</v>
      </c>
    </row>
    <row r="561" spans="11:11">
      <c r="K561" s="251">
        <f t="shared" si="16"/>
        <v>0</v>
      </c>
    </row>
    <row r="562" spans="11:11">
      <c r="K562" s="251">
        <f t="shared" si="16"/>
        <v>0</v>
      </c>
    </row>
    <row r="563" spans="11:11">
      <c r="K563" s="251">
        <f t="shared" si="16"/>
        <v>0</v>
      </c>
    </row>
    <row r="564" spans="11:11">
      <c r="K564" s="251">
        <f t="shared" si="16"/>
        <v>0</v>
      </c>
    </row>
    <row r="565" spans="11:11">
      <c r="K565" s="251">
        <f t="shared" si="16"/>
        <v>0</v>
      </c>
    </row>
    <row r="566" spans="11:11">
      <c r="K566" s="251">
        <f t="shared" si="16"/>
        <v>0</v>
      </c>
    </row>
    <row r="567" spans="11:11">
      <c r="K567" s="251">
        <f t="shared" si="16"/>
        <v>0</v>
      </c>
    </row>
    <row r="568" spans="11:11">
      <c r="K568" s="251">
        <f t="shared" si="16"/>
        <v>0</v>
      </c>
    </row>
    <row r="569" spans="11:11">
      <c r="K569" s="251">
        <f t="shared" si="16"/>
        <v>0</v>
      </c>
    </row>
    <row r="570" spans="11:11">
      <c r="K570" s="251">
        <f t="shared" si="16"/>
        <v>0</v>
      </c>
    </row>
  </sheetData>
  <autoFilter xmlns:etc="http://www.wps.cn/officeDocument/2017/etCustomData" ref="A2:R570" etc:filterBottomFollowUsedRange="0">
    <sortState ref="A2:R570">
      <sortCondition ref="G2:G140" descending="1"/>
    </sortState>
    <extLst/>
  </autoFilter>
  <conditionalFormatting sqref="B34">
    <cfRule type="duplicateValues" dxfId="0" priority="1"/>
  </conditionalFormatting>
  <conditionalFormatting sqref="B75">
    <cfRule type="duplicateValues" dxfId="0" priority="3"/>
  </conditionalFormatting>
  <conditionalFormatting sqref="B116">
    <cfRule type="duplicateValues" dxfId="0" priority="5"/>
  </conditionalFormatting>
  <conditionalFormatting sqref="B117:B1048576;B1:B17;B100:B115">
    <cfRule type="duplicateValues" dxfId="0" priority="6"/>
  </conditionalFormatting>
  <conditionalFormatting sqref="B35:B58;B18:B33">
    <cfRule type="duplicateValues" dxfId="0" priority="2"/>
  </conditionalFormatting>
  <conditionalFormatting sqref="B76:B99;B59:B74">
    <cfRule type="duplicateValues" dxfId="0" priority="4"/>
  </conditionalFormatting>
  <pageMargins left="0.393700787401575" right="0.393700787401575" top="0.393700787401575" bottom="0.393700787401575" header="0" footer="0"/>
  <pageSetup paperSize="9" fitToHeight="0" orientation="landscape"/>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W191"/>
  <sheetViews>
    <sheetView zoomScale="90" zoomScaleNormal="90" topLeftCell="A35" workbookViewId="0">
      <pane xSplit="8" topLeftCell="I1" activePane="topRight" state="frozen"/>
      <selection/>
      <selection pane="topRight" activeCell="I47" sqref="I47"/>
    </sheetView>
  </sheetViews>
  <sheetFormatPr defaultColWidth="9" defaultRowHeight="12.75"/>
  <cols>
    <col min="1" max="1" width="65.4380952380952" style="137" customWidth="1"/>
    <col min="2" max="2" width="8.1047619047619" style="137" customWidth="1"/>
    <col min="3" max="3" width="9.33333333333333" style="137" customWidth="1"/>
    <col min="4" max="4" width="13.6666666666667" style="137" customWidth="1"/>
    <col min="5" max="5" width="14" style="137" customWidth="1"/>
    <col min="6" max="7" width="7.21904761904762" style="137" customWidth="1"/>
    <col min="8" max="8" width="4.21904761904762" style="136" customWidth="1"/>
    <col min="9" max="23" width="14.8857142857143" style="138" customWidth="1"/>
    <col min="24" max="16384" width="8.88571428571429" style="137"/>
  </cols>
  <sheetData>
    <row r="1" s="135" customFormat="1" spans="1:23">
      <c r="I1" s="139" t="s">
        <v>1921</v>
      </c>
      <c r="J1" s="140" t="s">
        <v>1922</v>
      </c>
      <c r="K1" s="140" t="s">
        <v>1923</v>
      </c>
      <c r="L1" s="141"/>
      <c r="M1" s="141"/>
      <c r="N1" s="141"/>
      <c r="O1" s="141"/>
      <c r="P1" s="141"/>
      <c r="Q1" s="141"/>
      <c r="R1" s="142"/>
      <c r="S1" s="142"/>
      <c r="T1" s="142"/>
      <c r="U1" s="142"/>
      <c r="V1" s="142"/>
      <c r="W1" s="142"/>
    </row>
    <row r="2" s="135" customFormat="1" spans="1:23">
      <c r="A2" s="143" t="s">
        <v>27</v>
      </c>
      <c r="B2" s="144" t="s">
        <v>135</v>
      </c>
      <c r="C2" s="144" t="s">
        <v>981</v>
      </c>
      <c r="D2" s="144" t="s">
        <v>137</v>
      </c>
      <c r="E2" s="144" t="s">
        <v>982</v>
      </c>
      <c r="F2" s="144" t="s">
        <v>278</v>
      </c>
      <c r="G2" s="144" t="s">
        <v>983</v>
      </c>
      <c r="I2" s="139" t="s">
        <v>1924</v>
      </c>
      <c r="J2" s="140" t="s">
        <v>1925</v>
      </c>
      <c r="K2" s="140" t="s">
        <v>1926</v>
      </c>
      <c r="L2" s="141"/>
      <c r="M2" s="141"/>
      <c r="N2" s="141"/>
      <c r="O2" s="141"/>
      <c r="P2" s="141"/>
      <c r="Q2" s="141"/>
      <c r="R2" s="142"/>
      <c r="S2" s="142"/>
      <c r="T2" s="142"/>
      <c r="U2" s="142"/>
      <c r="V2" s="142"/>
      <c r="W2" s="142"/>
    </row>
    <row r="3" s="135" customFormat="1" spans="1:23">
      <c r="A3" s="145" t="s">
        <v>1927</v>
      </c>
      <c r="B3" s="146"/>
      <c r="C3" s="146"/>
      <c r="D3" s="146"/>
      <c r="E3" s="146"/>
      <c r="F3" s="147"/>
      <c r="G3" s="148"/>
      <c r="I3" s="140"/>
      <c r="J3" s="140"/>
      <c r="K3" s="141"/>
      <c r="L3" s="141"/>
      <c r="M3" s="141"/>
      <c r="N3" s="141"/>
      <c r="O3" s="141"/>
      <c r="P3" s="141"/>
      <c r="Q3" s="141"/>
      <c r="R3" s="142"/>
      <c r="S3" s="142"/>
      <c r="T3" s="142"/>
      <c r="U3" s="142"/>
      <c r="V3" s="142"/>
      <c r="W3" s="142"/>
    </row>
    <row r="4" s="135" customFormat="1" spans="1:23">
      <c r="B4" s="146"/>
      <c r="C4" s="146"/>
      <c r="D4" s="146"/>
      <c r="E4" s="146"/>
      <c r="F4" s="147"/>
      <c r="G4" s="148"/>
      <c r="I4" s="140"/>
      <c r="J4" s="140"/>
      <c r="K4" s="141"/>
      <c r="L4" s="141"/>
      <c r="M4" s="141"/>
      <c r="N4" s="141"/>
      <c r="O4" s="141"/>
      <c r="P4" s="141"/>
      <c r="Q4" s="141"/>
      <c r="R4" s="142"/>
      <c r="S4" s="142"/>
      <c r="T4" s="142"/>
      <c r="U4" s="142"/>
      <c r="V4" s="142"/>
      <c r="W4" s="142"/>
    </row>
    <row r="5" s="135" customFormat="1" spans="1:23">
      <c r="A5" s="145"/>
      <c r="B5" s="145"/>
      <c r="C5" s="146"/>
      <c r="D5" s="146"/>
      <c r="E5" s="146"/>
      <c r="F5" s="147"/>
      <c r="G5" s="148"/>
      <c r="I5" s="140"/>
      <c r="J5" s="140"/>
      <c r="K5" s="141"/>
      <c r="L5" s="141"/>
      <c r="M5" s="141"/>
      <c r="N5" s="141"/>
      <c r="O5" s="141"/>
      <c r="P5" s="141"/>
      <c r="Q5" s="141"/>
      <c r="R5" s="142"/>
      <c r="S5" s="142"/>
      <c r="T5" s="142"/>
      <c r="U5" s="142"/>
      <c r="V5" s="142"/>
      <c r="W5" s="142"/>
    </row>
    <row r="6" s="135" customFormat="1" spans="1:23">
      <c r="I6" s="149"/>
      <c r="J6" s="149"/>
      <c r="K6" s="149"/>
      <c r="L6" s="149"/>
      <c r="M6" s="149"/>
      <c r="N6" s="149"/>
      <c r="O6" s="149"/>
      <c r="P6" s="149"/>
      <c r="Q6" s="149"/>
      <c r="R6" s="142"/>
      <c r="S6" s="142"/>
      <c r="T6" s="142"/>
      <c r="U6" s="142"/>
      <c r="V6" s="142"/>
      <c r="W6" s="142"/>
    </row>
    <row r="7" s="135" customFormat="1" spans="1:23">
      <c r="I7" s="149"/>
      <c r="J7" s="149"/>
      <c r="K7" s="149"/>
      <c r="L7" s="149"/>
      <c r="M7" s="149"/>
      <c r="N7" s="149"/>
      <c r="O7" s="149"/>
      <c r="P7" s="149"/>
      <c r="Q7" s="149"/>
      <c r="R7" s="142"/>
      <c r="S7" s="142"/>
      <c r="T7" s="142"/>
      <c r="U7" s="142"/>
      <c r="V7" s="142"/>
      <c r="W7" s="142"/>
    </row>
    <row r="8" s="135" customFormat="1" spans="1:23">
      <c r="A8" s="150"/>
      <c r="I8" s="141" t="s">
        <v>1928</v>
      </c>
      <c r="J8" s="141" t="s">
        <v>1929</v>
      </c>
      <c r="K8" s="141" t="s">
        <v>1930</v>
      </c>
      <c r="L8" s="141" t="s">
        <v>1931</v>
      </c>
      <c r="M8" s="141" t="s">
        <v>1932</v>
      </c>
      <c r="N8" s="141"/>
      <c r="O8" s="141"/>
      <c r="P8" s="141"/>
      <c r="Q8" s="141"/>
      <c r="R8" s="141"/>
      <c r="S8" s="141"/>
      <c r="T8" s="141"/>
      <c r="U8" s="141"/>
      <c r="V8" s="141"/>
      <c r="W8" s="141"/>
    </row>
    <row r="9" s="135" customFormat="1" spans="1:23">
      <c r="A9" s="151" t="s">
        <v>27</v>
      </c>
      <c r="B9" s="152" t="s">
        <v>135</v>
      </c>
      <c r="C9" s="152" t="s">
        <v>981</v>
      </c>
      <c r="D9" s="152" t="s">
        <v>137</v>
      </c>
      <c r="E9" s="152" t="s">
        <v>982</v>
      </c>
      <c r="F9" s="153"/>
      <c r="G9" s="153"/>
      <c r="I9" s="141" t="s">
        <v>1933</v>
      </c>
      <c r="J9" s="141" t="s">
        <v>257</v>
      </c>
      <c r="K9" s="141" t="s">
        <v>1934</v>
      </c>
      <c r="L9" s="141" t="s">
        <v>1935</v>
      </c>
      <c r="M9" s="141" t="s">
        <v>1936</v>
      </c>
      <c r="N9" s="141"/>
      <c r="O9" s="141"/>
      <c r="P9" s="141"/>
      <c r="Q9" s="141"/>
      <c r="R9" s="141"/>
      <c r="S9" s="141"/>
      <c r="T9" s="141"/>
      <c r="U9" s="141"/>
      <c r="V9" s="141"/>
      <c r="W9" s="141"/>
    </row>
    <row r="10" s="135" customFormat="1" spans="1:23">
      <c r="A10" s="154" t="s">
        <v>1937</v>
      </c>
      <c r="B10" s="155" t="s">
        <v>1938</v>
      </c>
      <c r="C10" s="155"/>
      <c r="D10" s="155"/>
      <c r="E10" s="155"/>
      <c r="F10" s="156"/>
      <c r="G10" s="156"/>
      <c r="I10" s="141"/>
      <c r="J10" s="141">
        <v>1.8</v>
      </c>
      <c r="K10" s="141"/>
      <c r="L10" s="141"/>
      <c r="M10" s="141"/>
      <c r="N10" s="141"/>
      <c r="O10" s="141"/>
      <c r="P10" s="141"/>
      <c r="Q10" s="141"/>
      <c r="R10" s="141"/>
      <c r="S10" s="141"/>
      <c r="T10" s="141"/>
      <c r="U10" s="141"/>
      <c r="V10" s="141"/>
      <c r="W10" s="141"/>
    </row>
    <row r="11" s="135" customFormat="1" spans="1:23">
      <c r="A11" s="157" t="s">
        <v>1939</v>
      </c>
      <c r="B11" s="155" t="s">
        <v>219</v>
      </c>
      <c r="C11" s="158"/>
      <c r="D11" s="158"/>
      <c r="E11" s="158"/>
      <c r="F11" s="159"/>
      <c r="G11" s="159"/>
      <c r="I11" s="160"/>
      <c r="J11" s="140"/>
      <c r="K11" s="141"/>
      <c r="L11" s="160"/>
      <c r="M11" s="160">
        <v>39000</v>
      </c>
      <c r="N11" s="141"/>
      <c r="O11" s="141"/>
      <c r="P11" s="160"/>
      <c r="Q11" s="141"/>
      <c r="R11" s="141"/>
      <c r="S11" s="141"/>
      <c r="T11" s="141"/>
      <c r="U11" s="141"/>
      <c r="V11" s="141"/>
      <c r="W11" s="141"/>
    </row>
    <row r="12" s="135" customFormat="1" spans="1:23">
      <c r="A12" s="157" t="s">
        <v>1940</v>
      </c>
      <c r="B12" s="155" t="s">
        <v>219</v>
      </c>
      <c r="C12" s="158"/>
      <c r="D12" s="158"/>
      <c r="E12" s="158"/>
      <c r="F12" s="159"/>
      <c r="G12" s="159"/>
      <c r="I12" s="160"/>
      <c r="J12" s="140"/>
      <c r="K12" s="141">
        <v>18000</v>
      </c>
      <c r="L12" s="160"/>
      <c r="M12" s="160">
        <v>20500</v>
      </c>
      <c r="N12" s="141"/>
      <c r="O12" s="141"/>
      <c r="P12" s="160"/>
      <c r="Q12" s="141"/>
      <c r="R12" s="141"/>
      <c r="S12" s="141"/>
      <c r="T12" s="141"/>
      <c r="U12" s="141"/>
      <c r="V12" s="141"/>
      <c r="W12" s="141"/>
    </row>
    <row r="13" s="135" customFormat="1" spans="1:23">
      <c r="A13" s="157" t="s">
        <v>1941</v>
      </c>
      <c r="B13" s="155" t="s">
        <v>219</v>
      </c>
      <c r="C13" s="158"/>
      <c r="D13" s="158"/>
      <c r="E13" s="158"/>
      <c r="F13" s="159"/>
      <c r="G13" s="159"/>
      <c r="I13" s="160"/>
      <c r="J13" s="140">
        <v>15000</v>
      </c>
      <c r="K13" s="141">
        <v>14000</v>
      </c>
      <c r="L13" s="160"/>
      <c r="M13" s="160"/>
      <c r="N13" s="141"/>
      <c r="O13" s="141"/>
      <c r="P13" s="160"/>
      <c r="Q13" s="141"/>
      <c r="R13" s="141"/>
      <c r="S13" s="141"/>
      <c r="T13" s="141"/>
      <c r="U13" s="141"/>
      <c r="V13" s="141"/>
      <c r="W13" s="141"/>
    </row>
    <row r="14" s="135" customFormat="1" spans="1:23">
      <c r="A14" s="157" t="s">
        <v>1942</v>
      </c>
      <c r="B14" s="155"/>
      <c r="C14" s="158"/>
      <c r="D14" s="158"/>
      <c r="E14" s="158"/>
      <c r="F14" s="159"/>
      <c r="G14" s="159"/>
      <c r="I14" s="160"/>
      <c r="J14" s="140"/>
      <c r="K14" s="141"/>
      <c r="L14" s="160"/>
      <c r="M14" s="160"/>
      <c r="N14" s="141"/>
      <c r="O14" s="141"/>
      <c r="P14" s="160"/>
      <c r="Q14" s="141"/>
      <c r="R14" s="141"/>
      <c r="S14" s="141"/>
      <c r="T14" s="141"/>
      <c r="U14" s="141"/>
      <c r="V14" s="141"/>
      <c r="W14" s="141"/>
    </row>
    <row r="15" s="135" customFormat="1" spans="1:23">
      <c r="A15" s="157"/>
      <c r="B15" s="155"/>
      <c r="C15" s="158"/>
      <c r="D15" s="158"/>
      <c r="E15" s="158"/>
      <c r="F15" s="159"/>
      <c r="G15" s="159"/>
      <c r="I15" s="160"/>
      <c r="J15" s="140"/>
      <c r="K15" s="141"/>
      <c r="L15" s="160"/>
      <c r="M15" s="160"/>
      <c r="N15" s="141"/>
      <c r="O15" s="141"/>
      <c r="P15" s="160"/>
      <c r="Q15" s="141"/>
      <c r="R15" s="141"/>
      <c r="S15" s="141"/>
      <c r="T15" s="141"/>
      <c r="U15" s="141"/>
      <c r="V15" s="141"/>
      <c r="W15" s="141"/>
    </row>
    <row r="16" s="135" customFormat="1" spans="1:23">
      <c r="A16" s="161"/>
      <c r="B16" s="156"/>
      <c r="C16" s="159"/>
      <c r="D16" s="159"/>
      <c r="E16" s="159"/>
      <c r="G16" s="162"/>
      <c r="H16" s="163"/>
      <c r="I16" s="149" t="s">
        <v>1943</v>
      </c>
      <c r="J16" s="164"/>
      <c r="K16" s="164"/>
      <c r="L16" s="149"/>
      <c r="M16" s="149"/>
      <c r="N16" s="164"/>
      <c r="O16" s="149"/>
      <c r="P16" s="149"/>
      <c r="Q16" s="149"/>
      <c r="R16" s="149"/>
      <c r="S16" s="149"/>
      <c r="T16" s="149"/>
      <c r="U16" s="149"/>
      <c r="V16" s="142"/>
      <c r="W16" s="142"/>
    </row>
    <row r="17" s="136" customFormat="1" spans="1:23">
      <c r="I17" s="165"/>
      <c r="J17" s="165"/>
      <c r="K17" s="165"/>
      <c r="L17" s="165"/>
      <c r="M17" s="165"/>
      <c r="N17" s="165"/>
      <c r="O17" s="165"/>
      <c r="P17" s="165"/>
      <c r="Q17" s="165"/>
      <c r="R17" s="165"/>
      <c r="S17" s="165"/>
      <c r="T17" s="165"/>
      <c r="U17" s="165"/>
      <c r="V17" s="165"/>
      <c r="W17" s="165"/>
    </row>
    <row r="18" s="136" customFormat="1" spans="1:23">
      <c r="I18" s="165"/>
      <c r="J18" s="165"/>
      <c r="K18" s="165"/>
      <c r="L18" s="165"/>
      <c r="M18" s="165"/>
      <c r="N18" s="165"/>
      <c r="O18" s="165"/>
      <c r="P18" s="165"/>
      <c r="Q18" s="165"/>
      <c r="R18" s="165"/>
      <c r="S18" s="165"/>
      <c r="T18" s="165"/>
      <c r="U18" s="165"/>
      <c r="V18" s="165"/>
      <c r="W18" s="165"/>
    </row>
    <row r="19" s="136" customFormat="1" spans="1:23">
      <c r="I19" s="165"/>
      <c r="J19" s="165"/>
      <c r="K19" s="165"/>
      <c r="L19" s="165"/>
      <c r="M19" s="165"/>
      <c r="N19" s="165"/>
      <c r="O19" s="165"/>
      <c r="P19" s="165"/>
      <c r="Q19" s="165"/>
      <c r="R19" s="165"/>
      <c r="S19" s="165"/>
      <c r="T19" s="165"/>
      <c r="U19" s="165"/>
      <c r="V19" s="165"/>
      <c r="W19" s="165"/>
    </row>
    <row r="20" s="136" customFormat="1" spans="1:23">
      <c r="I20" s="165"/>
      <c r="J20" s="165"/>
      <c r="K20" s="165"/>
      <c r="L20" s="165"/>
      <c r="M20" s="165"/>
      <c r="N20" s="165"/>
      <c r="O20" s="165"/>
      <c r="P20" s="165"/>
      <c r="Q20" s="165"/>
      <c r="R20" s="165"/>
      <c r="S20" s="165"/>
      <c r="T20" s="165"/>
      <c r="U20" s="165"/>
      <c r="V20" s="165"/>
      <c r="W20" s="165"/>
    </row>
    <row r="21" s="136" customFormat="1" spans="1:23">
      <c r="I21" s="165"/>
      <c r="J21" s="165"/>
      <c r="K21" s="165"/>
      <c r="L21" s="165"/>
      <c r="M21" s="165"/>
      <c r="N21" s="165"/>
      <c r="O21" s="165"/>
      <c r="P21" s="165"/>
      <c r="Q21" s="165"/>
      <c r="R21" s="165"/>
      <c r="S21" s="165"/>
      <c r="T21" s="165"/>
      <c r="U21" s="165"/>
      <c r="V21" s="165"/>
      <c r="W21" s="165"/>
    </row>
    <row r="22" s="136" customFormat="1" spans="1:23">
      <c r="I22" s="165"/>
      <c r="J22" s="165"/>
      <c r="K22" s="165"/>
      <c r="L22" s="165"/>
      <c r="M22" s="165"/>
      <c r="N22" s="165"/>
      <c r="O22" s="165"/>
      <c r="P22" s="165"/>
      <c r="Q22" s="165"/>
      <c r="R22" s="165"/>
      <c r="S22" s="165"/>
      <c r="T22" s="165"/>
      <c r="U22" s="165"/>
      <c r="V22" s="165"/>
      <c r="W22" s="165"/>
    </row>
    <row r="23" s="136" customFormat="1" spans="1:23">
      <c r="I23" s="165"/>
      <c r="J23" s="165"/>
      <c r="K23" s="165"/>
      <c r="L23" s="165"/>
      <c r="M23" s="165"/>
      <c r="N23" s="165"/>
      <c r="O23" s="165"/>
      <c r="P23" s="165"/>
      <c r="Q23" s="165"/>
      <c r="R23" s="165"/>
      <c r="S23" s="165"/>
      <c r="T23" s="165"/>
      <c r="U23" s="165"/>
      <c r="V23" s="165"/>
      <c r="W23" s="165"/>
    </row>
    <row r="24" s="136" customFormat="1" spans="1:23">
      <c r="I24" s="165"/>
      <c r="J24" s="165"/>
      <c r="K24" s="165"/>
      <c r="L24" s="165"/>
      <c r="M24" s="165"/>
      <c r="N24" s="165"/>
      <c r="O24" s="165"/>
      <c r="P24" s="165"/>
      <c r="Q24" s="165"/>
      <c r="R24" s="165"/>
      <c r="S24" s="165"/>
      <c r="T24" s="165"/>
      <c r="U24" s="165"/>
      <c r="V24" s="165"/>
      <c r="W24" s="165"/>
    </row>
    <row r="25" s="136" customFormat="1" spans="1:23">
      <c r="I25" s="165"/>
      <c r="J25" s="165"/>
      <c r="K25" s="165"/>
      <c r="L25" s="165"/>
      <c r="M25" s="165"/>
      <c r="N25" s="165"/>
      <c r="O25" s="165"/>
      <c r="P25" s="165"/>
      <c r="Q25" s="165"/>
      <c r="R25" s="165"/>
      <c r="S25" s="165"/>
      <c r="T25" s="165"/>
      <c r="U25" s="165"/>
      <c r="V25" s="165"/>
      <c r="W25" s="165"/>
    </row>
    <row r="26" s="136" customFormat="1" spans="1:23">
      <c r="C26" s="166"/>
      <c r="I26" s="167" t="s">
        <v>1944</v>
      </c>
      <c r="J26" s="167" t="s">
        <v>1945</v>
      </c>
      <c r="K26" s="167" t="s">
        <v>1946</v>
      </c>
      <c r="L26" s="168"/>
      <c r="M26" s="168"/>
      <c r="N26" s="168"/>
      <c r="O26" s="168"/>
      <c r="P26" s="168"/>
      <c r="Q26" s="168"/>
      <c r="R26" s="168"/>
      <c r="S26" s="168"/>
      <c r="T26" s="168"/>
      <c r="U26" s="168"/>
      <c r="V26" s="168"/>
      <c r="W26" s="168"/>
    </row>
    <row r="27" spans="1:23">
      <c r="A27" s="169" t="s">
        <v>27</v>
      </c>
      <c r="B27" s="82" t="s">
        <v>135</v>
      </c>
      <c r="C27" s="82" t="s">
        <v>981</v>
      </c>
      <c r="D27" s="82" t="s">
        <v>137</v>
      </c>
      <c r="E27" s="82" t="s">
        <v>982</v>
      </c>
      <c r="F27" s="82" t="s">
        <v>278</v>
      </c>
      <c r="G27" s="82" t="s">
        <v>983</v>
      </c>
      <c r="I27" s="167" t="s">
        <v>1947</v>
      </c>
      <c r="J27" s="167" t="s">
        <v>1948</v>
      </c>
      <c r="K27" s="167" t="s">
        <v>1949</v>
      </c>
      <c r="L27" s="170"/>
      <c r="M27" s="170"/>
      <c r="N27" s="170"/>
      <c r="O27" s="170"/>
      <c r="P27" s="170"/>
      <c r="Q27" s="170"/>
      <c r="R27" s="170"/>
      <c r="S27" s="170"/>
      <c r="T27" s="170"/>
      <c r="U27" s="170"/>
      <c r="V27" s="170"/>
      <c r="W27" s="171"/>
    </row>
    <row r="28" ht="51" spans="1:23">
      <c r="A28" s="172" t="s">
        <v>886</v>
      </c>
      <c r="B28" s="173" t="s">
        <v>494</v>
      </c>
      <c r="C28" s="174">
        <v>52</v>
      </c>
      <c r="D28" s="174">
        <v>168.11</v>
      </c>
      <c r="E28" s="174">
        <f t="shared" ref="E28:E34" si="0">ROUND(C28*D28,2)</f>
        <v>8741.72</v>
      </c>
      <c r="F28" s="175"/>
      <c r="G28" s="175"/>
      <c r="H28" s="136" t="s">
        <v>1950</v>
      </c>
      <c r="I28" s="170"/>
      <c r="J28" s="176"/>
      <c r="K28" s="170"/>
      <c r="L28" s="170"/>
      <c r="M28" s="170"/>
      <c r="N28" s="170"/>
      <c r="O28" s="170"/>
      <c r="P28" s="170"/>
      <c r="Q28" s="170"/>
      <c r="R28" s="170"/>
      <c r="S28" s="170"/>
      <c r="T28" s="170"/>
      <c r="U28" s="170"/>
      <c r="V28" s="170"/>
      <c r="W28" s="170"/>
    </row>
    <row r="29" ht="51" spans="1:23">
      <c r="A29" s="172" t="s">
        <v>887</v>
      </c>
      <c r="B29" s="173" t="s">
        <v>494</v>
      </c>
      <c r="C29" s="174">
        <v>4</v>
      </c>
      <c r="D29" s="174">
        <v>14.88</v>
      </c>
      <c r="E29" s="174">
        <f t="shared" si="0"/>
        <v>59.52</v>
      </c>
      <c r="F29" s="175"/>
      <c r="G29" s="175"/>
      <c r="H29" s="136" t="s">
        <v>1950</v>
      </c>
      <c r="I29" s="170"/>
      <c r="J29" s="170"/>
      <c r="K29" s="170"/>
      <c r="L29" s="170"/>
      <c r="M29" s="170"/>
      <c r="N29" s="170"/>
      <c r="O29" s="170"/>
      <c r="P29" s="170"/>
      <c r="Q29" s="170"/>
      <c r="R29" s="170"/>
      <c r="S29" s="170"/>
      <c r="T29" s="170"/>
      <c r="U29" s="170"/>
      <c r="V29" s="170"/>
      <c r="W29" s="170"/>
    </row>
    <row r="30" ht="63.75" spans="1:23">
      <c r="A30" s="172" t="s">
        <v>888</v>
      </c>
      <c r="B30" s="173" t="s">
        <v>494</v>
      </c>
      <c r="C30" s="174">
        <v>4</v>
      </c>
      <c r="D30" s="174">
        <v>82.55</v>
      </c>
      <c r="E30" s="174">
        <f t="shared" si="0"/>
        <v>330.2</v>
      </c>
      <c r="F30" s="175"/>
      <c r="G30" s="175"/>
      <c r="I30" s="170"/>
      <c r="J30" s="170">
        <v>280</v>
      </c>
      <c r="K30" s="170"/>
      <c r="L30" s="170"/>
      <c r="M30" s="170"/>
      <c r="N30" s="170"/>
      <c r="O30" s="170"/>
      <c r="P30" s="170"/>
      <c r="Q30" s="170"/>
      <c r="R30" s="170"/>
      <c r="S30" s="170"/>
      <c r="T30" s="170"/>
      <c r="U30" s="170"/>
      <c r="V30" s="170"/>
      <c r="W30" s="170"/>
    </row>
    <row r="31" ht="63.75" spans="1:23">
      <c r="A31" s="172" t="s">
        <v>889</v>
      </c>
      <c r="B31" s="173" t="s">
        <v>494</v>
      </c>
      <c r="C31" s="174">
        <v>4</v>
      </c>
      <c r="D31" s="174">
        <v>601.94</v>
      </c>
      <c r="E31" s="174">
        <f t="shared" si="0"/>
        <v>2407.76</v>
      </c>
      <c r="F31" s="175"/>
      <c r="G31" s="175"/>
      <c r="I31" s="170"/>
      <c r="J31" s="170">
        <v>480</v>
      </c>
      <c r="K31" s="170"/>
      <c r="L31" s="170"/>
      <c r="M31" s="170"/>
      <c r="N31" s="170"/>
      <c r="O31" s="170"/>
      <c r="P31" s="170"/>
      <c r="Q31" s="170"/>
      <c r="R31" s="170"/>
      <c r="S31" s="170"/>
      <c r="T31" s="170"/>
      <c r="U31" s="170"/>
      <c r="V31" s="170"/>
      <c r="W31" s="170"/>
    </row>
    <row r="32" s="135" customFormat="1" ht="38.25" spans="1:23">
      <c r="A32" s="172" t="s">
        <v>859</v>
      </c>
      <c r="B32" s="173" t="s">
        <v>494</v>
      </c>
      <c r="C32" s="174">
        <v>2</v>
      </c>
      <c r="D32" s="174">
        <v>35.28</v>
      </c>
      <c r="E32" s="174">
        <f t="shared" si="0"/>
        <v>70.56</v>
      </c>
      <c r="F32" s="177"/>
      <c r="G32" s="177"/>
      <c r="I32" s="141"/>
      <c r="J32" s="178">
        <v>280</v>
      </c>
      <c r="K32" s="141"/>
      <c r="L32" s="141"/>
      <c r="M32" s="141"/>
      <c r="N32" s="141"/>
      <c r="O32" s="141"/>
      <c r="P32" s="141"/>
      <c r="Q32" s="141"/>
      <c r="R32" s="141"/>
      <c r="S32" s="141"/>
      <c r="T32" s="141"/>
      <c r="U32" s="141"/>
      <c r="V32" s="141"/>
      <c r="W32" s="141"/>
    </row>
    <row r="33" s="135" customFormat="1" ht="38.25" spans="1:23">
      <c r="A33" s="172" t="s">
        <v>861</v>
      </c>
      <c r="B33" s="173" t="s">
        <v>494</v>
      </c>
      <c r="C33" s="174">
        <v>2</v>
      </c>
      <c r="D33" s="174">
        <v>88.22</v>
      </c>
      <c r="E33" s="174">
        <f t="shared" si="0"/>
        <v>176.44</v>
      </c>
      <c r="F33" s="177"/>
      <c r="G33" s="177"/>
      <c r="I33" s="141"/>
      <c r="J33" s="178">
        <v>480</v>
      </c>
      <c r="K33" s="141"/>
      <c r="L33" s="141"/>
      <c r="M33" s="141"/>
      <c r="N33" s="141"/>
      <c r="O33" s="141"/>
      <c r="P33" s="141"/>
      <c r="Q33" s="141"/>
      <c r="R33" s="141"/>
      <c r="S33" s="141"/>
      <c r="T33" s="141"/>
      <c r="U33" s="141"/>
      <c r="V33" s="141"/>
      <c r="W33" s="141"/>
    </row>
    <row r="34" s="135" customFormat="1" ht="51" spans="1:23">
      <c r="A34" s="172" t="s">
        <v>863</v>
      </c>
      <c r="B34" s="173" t="s">
        <v>494</v>
      </c>
      <c r="C34" s="174">
        <v>2</v>
      </c>
      <c r="D34" s="174">
        <v>19.84</v>
      </c>
      <c r="E34" s="174">
        <f t="shared" si="0"/>
        <v>39.68</v>
      </c>
      <c r="F34" s="177"/>
      <c r="G34" s="177"/>
      <c r="I34" s="141"/>
      <c r="J34" s="178">
        <v>280</v>
      </c>
      <c r="K34" s="141"/>
      <c r="L34" s="141"/>
      <c r="M34" s="141"/>
      <c r="N34" s="141"/>
      <c r="O34" s="141"/>
      <c r="P34" s="141"/>
      <c r="Q34" s="141"/>
      <c r="R34" s="141"/>
      <c r="S34" s="141"/>
      <c r="T34" s="141"/>
      <c r="U34" s="141"/>
      <c r="V34" s="141"/>
      <c r="W34" s="141"/>
    </row>
    <row r="35" s="135" customFormat="1" spans="1:23">
      <c r="I35" s="149"/>
      <c r="J35" s="149"/>
      <c r="K35" s="149"/>
      <c r="L35" s="149"/>
      <c r="M35" s="149"/>
      <c r="N35" s="149"/>
      <c r="O35" s="149"/>
      <c r="P35" s="149"/>
      <c r="Q35" s="149"/>
      <c r="R35" s="142"/>
      <c r="S35" s="142"/>
      <c r="T35" s="142"/>
      <c r="U35" s="142"/>
      <c r="V35" s="142"/>
      <c r="W35" s="142"/>
    </row>
    <row r="36" s="135" customFormat="1" spans="1:23">
      <c r="I36" s="149"/>
      <c r="J36" s="149"/>
      <c r="K36" s="149"/>
      <c r="L36" s="149"/>
      <c r="M36" s="149"/>
      <c r="N36" s="149"/>
      <c r="O36" s="149"/>
      <c r="P36" s="149"/>
      <c r="Q36" s="149"/>
      <c r="R36" s="142"/>
      <c r="S36" s="142"/>
      <c r="T36" s="142"/>
      <c r="U36" s="142"/>
      <c r="V36" s="142"/>
      <c r="W36" s="142"/>
    </row>
    <row r="37" s="135" customFormat="1" spans="1:23">
      <c r="I37" s="149"/>
      <c r="J37" s="149"/>
      <c r="K37" s="149"/>
      <c r="L37" s="149"/>
      <c r="M37" s="149"/>
      <c r="N37" s="149"/>
      <c r="O37" s="149"/>
      <c r="P37" s="149"/>
      <c r="Q37" s="149"/>
      <c r="R37" s="142"/>
      <c r="S37" s="142"/>
      <c r="T37" s="142"/>
      <c r="U37" s="142"/>
      <c r="V37" s="142"/>
      <c r="W37" s="142"/>
    </row>
    <row r="38" s="135" customFormat="1" spans="1:23">
      <c r="I38" s="149"/>
      <c r="J38" s="149"/>
      <c r="K38" s="149"/>
      <c r="L38" s="149"/>
      <c r="M38" s="149"/>
      <c r="N38" s="149"/>
      <c r="O38" s="149"/>
      <c r="P38" s="149"/>
      <c r="Q38" s="149"/>
      <c r="R38" s="142"/>
      <c r="S38" s="142"/>
      <c r="T38" s="142"/>
      <c r="U38" s="142"/>
      <c r="V38" s="142"/>
      <c r="W38" s="142"/>
    </row>
    <row r="39" s="135" customFormat="1" spans="1:23">
      <c r="I39" s="149"/>
      <c r="J39" s="149"/>
      <c r="K39" s="149"/>
      <c r="L39" s="149"/>
      <c r="M39" s="149"/>
      <c r="N39" s="149"/>
      <c r="O39" s="149"/>
      <c r="P39" s="149"/>
      <c r="Q39" s="149"/>
      <c r="R39" s="142"/>
      <c r="S39" s="142"/>
      <c r="T39" s="142"/>
      <c r="U39" s="142"/>
      <c r="V39" s="142"/>
      <c r="W39" s="142"/>
    </row>
    <row r="40" s="135" customFormat="1" spans="1:23">
      <c r="I40" s="149"/>
      <c r="J40" s="149"/>
      <c r="K40" s="149"/>
      <c r="L40" s="149"/>
      <c r="M40" s="149"/>
      <c r="N40" s="149"/>
      <c r="O40" s="149"/>
      <c r="P40" s="149"/>
      <c r="Q40" s="149"/>
      <c r="R40" s="142"/>
      <c r="S40" s="142"/>
      <c r="T40" s="142"/>
      <c r="U40" s="142"/>
      <c r="V40" s="142"/>
      <c r="W40" s="142"/>
    </row>
    <row r="41" s="135" customFormat="1" spans="1:23">
      <c r="I41" s="149"/>
      <c r="J41" s="149"/>
      <c r="K41" s="149"/>
      <c r="L41" s="149"/>
      <c r="M41" s="149"/>
      <c r="N41" s="149"/>
      <c r="O41" s="149"/>
      <c r="P41" s="149"/>
      <c r="Q41" s="149"/>
      <c r="R41" s="142"/>
      <c r="S41" s="142"/>
      <c r="T41" s="142"/>
      <c r="U41" s="142"/>
      <c r="V41" s="142"/>
      <c r="W41" s="142"/>
    </row>
    <row r="42" s="135" customFormat="1" spans="1:23">
      <c r="I42" s="149"/>
      <c r="J42" s="149"/>
      <c r="K42" s="149"/>
      <c r="L42" s="149"/>
      <c r="M42" s="149"/>
      <c r="N42" s="149"/>
      <c r="O42" s="149"/>
      <c r="P42" s="149"/>
      <c r="Q42" s="149"/>
      <c r="R42" s="142"/>
      <c r="S42" s="142"/>
      <c r="T42" s="142"/>
      <c r="U42" s="142"/>
      <c r="V42" s="142"/>
      <c r="W42" s="142"/>
    </row>
    <row r="43" s="135" customFormat="1" spans="1:23">
      <c r="I43" s="149"/>
      <c r="J43" s="149"/>
      <c r="K43" s="149"/>
      <c r="L43" s="149"/>
      <c r="M43" s="149"/>
      <c r="N43" s="149"/>
      <c r="O43" s="149"/>
      <c r="P43" s="149"/>
      <c r="Q43" s="149"/>
      <c r="R43" s="142"/>
      <c r="S43" s="142"/>
      <c r="T43" s="142"/>
      <c r="U43" s="142"/>
      <c r="V43" s="142"/>
      <c r="W43" s="142"/>
    </row>
    <row r="44" s="136" customFormat="1" spans="1:23">
      <c r="I44" s="168" t="s">
        <v>1951</v>
      </c>
      <c r="J44" s="168" t="s">
        <v>1952</v>
      </c>
      <c r="K44" s="168" t="s">
        <v>1953</v>
      </c>
      <c r="L44" s="168" t="s">
        <v>1954</v>
      </c>
      <c r="M44" s="168" t="s">
        <v>1955</v>
      </c>
      <c r="N44" s="168" t="s">
        <v>1956</v>
      </c>
      <c r="O44" s="168" t="s">
        <v>1919</v>
      </c>
      <c r="P44" s="168" t="s">
        <v>1957</v>
      </c>
      <c r="Q44" s="168" t="s">
        <v>1958</v>
      </c>
      <c r="R44" s="168"/>
      <c r="S44" s="168"/>
      <c r="T44" s="168"/>
      <c r="U44" s="168"/>
      <c r="V44" s="168"/>
      <c r="W44" s="168"/>
    </row>
    <row r="45" spans="1:23">
      <c r="A45" s="169" t="s">
        <v>27</v>
      </c>
      <c r="B45" s="82" t="s">
        <v>135</v>
      </c>
      <c r="C45" s="82" t="s">
        <v>981</v>
      </c>
      <c r="D45" s="82" t="s">
        <v>137</v>
      </c>
      <c r="E45" s="82" t="s">
        <v>982</v>
      </c>
      <c r="F45" s="82" t="s">
        <v>278</v>
      </c>
      <c r="G45" s="82" t="s">
        <v>983</v>
      </c>
      <c r="I45" s="170"/>
      <c r="J45" s="170" t="s">
        <v>1959</v>
      </c>
      <c r="K45" s="170" t="s">
        <v>1960</v>
      </c>
      <c r="L45" s="170" t="s">
        <v>1961</v>
      </c>
      <c r="M45" s="170" t="s">
        <v>1962</v>
      </c>
      <c r="N45" s="170" t="s">
        <v>1963</v>
      </c>
      <c r="O45" s="170" t="s">
        <v>1964</v>
      </c>
      <c r="P45" s="170" t="s">
        <v>1965</v>
      </c>
      <c r="Q45" s="170" t="s">
        <v>1966</v>
      </c>
      <c r="R45" s="170"/>
      <c r="S45" s="170"/>
      <c r="T45" s="170"/>
      <c r="U45" s="170"/>
      <c r="V45" s="170"/>
      <c r="W45" s="170"/>
    </row>
    <row r="46" ht="38.25" spans="1:23">
      <c r="A46" s="179" t="s">
        <v>644</v>
      </c>
      <c r="B46" s="180" t="s">
        <v>494</v>
      </c>
      <c r="C46" s="181">
        <v>26</v>
      </c>
      <c r="D46" s="181">
        <v>10683.14</v>
      </c>
      <c r="E46" s="181">
        <v>277761.64</v>
      </c>
      <c r="F46" s="182">
        <v>0.104190493186779</v>
      </c>
      <c r="G46" s="183">
        <v>0.104190493186779</v>
      </c>
      <c r="I46" s="170"/>
      <c r="J46" s="170"/>
      <c r="K46" s="170"/>
      <c r="L46" s="170"/>
      <c r="M46" s="170"/>
      <c r="N46" s="170"/>
      <c r="O46" s="170"/>
      <c r="P46" s="170"/>
      <c r="Q46" s="170"/>
      <c r="R46" s="170"/>
      <c r="S46" s="170"/>
      <c r="T46" s="170"/>
      <c r="U46" s="170"/>
      <c r="V46" s="170"/>
      <c r="W46" s="170"/>
    </row>
    <row r="47" ht="38.25" spans="1:23">
      <c r="A47" s="179" t="s">
        <v>643</v>
      </c>
      <c r="B47" s="180" t="s">
        <v>494</v>
      </c>
      <c r="C47" s="181">
        <v>1</v>
      </c>
      <c r="D47" s="181">
        <v>20262.94</v>
      </c>
      <c r="E47" s="181">
        <v>20262.94</v>
      </c>
      <c r="F47" s="182">
        <v>0.00760078213828989</v>
      </c>
      <c r="G47" s="183">
        <v>0.771091169459211</v>
      </c>
      <c r="I47" s="170"/>
      <c r="J47" s="170"/>
      <c r="K47" s="170"/>
      <c r="L47" s="170"/>
      <c r="M47" s="170"/>
      <c r="N47" s="170"/>
      <c r="O47" s="170"/>
      <c r="P47" s="170"/>
      <c r="Q47" s="170"/>
      <c r="R47" s="170"/>
      <c r="S47" s="170"/>
      <c r="T47" s="170"/>
      <c r="U47" s="170"/>
      <c r="V47" s="170"/>
      <c r="W47" s="170"/>
    </row>
    <row r="48" ht="38.25" spans="1:23">
      <c r="A48" s="179" t="s">
        <v>648</v>
      </c>
      <c r="B48" s="180" t="s">
        <v>494</v>
      </c>
      <c r="C48" s="181">
        <v>1</v>
      </c>
      <c r="D48" s="181">
        <v>10737.3</v>
      </c>
      <c r="E48" s="181">
        <v>10737.3</v>
      </c>
      <c r="F48" s="182">
        <v>0.00402764248689776</v>
      </c>
      <c r="G48" s="183">
        <v>0.838894019193415</v>
      </c>
      <c r="I48" s="170"/>
      <c r="J48" s="170"/>
      <c r="K48" s="170"/>
      <c r="L48" s="170"/>
      <c r="M48" s="170"/>
      <c r="N48" s="170"/>
      <c r="O48" s="170"/>
      <c r="P48" s="170"/>
      <c r="Q48" s="170"/>
      <c r="R48" s="170"/>
      <c r="S48" s="170"/>
      <c r="T48" s="170"/>
      <c r="U48" s="170"/>
      <c r="V48" s="170"/>
      <c r="W48" s="170"/>
    </row>
    <row r="49" ht="38.25" spans="1:23">
      <c r="A49" s="179" t="s">
        <v>641</v>
      </c>
      <c r="B49" s="180" t="s">
        <v>494</v>
      </c>
      <c r="C49" s="181">
        <v>2</v>
      </c>
      <c r="D49" s="181">
        <v>5083.3</v>
      </c>
      <c r="E49" s="181">
        <v>10166.6</v>
      </c>
      <c r="F49" s="182">
        <v>0.00381356859799901</v>
      </c>
      <c r="G49" s="183">
        <v>0.850385942174709</v>
      </c>
      <c r="I49" s="170"/>
      <c r="J49" s="170"/>
      <c r="K49" s="170"/>
      <c r="L49" s="170"/>
      <c r="M49" s="170"/>
      <c r="N49" s="170"/>
      <c r="O49" s="170"/>
      <c r="P49" s="170"/>
      <c r="Q49" s="170"/>
      <c r="R49" s="170"/>
      <c r="S49" s="170"/>
      <c r="T49" s="170"/>
      <c r="U49" s="170"/>
      <c r="V49" s="170"/>
      <c r="W49" s="170"/>
    </row>
    <row r="50" ht="63.75" spans="1:23">
      <c r="A50" s="179" t="s">
        <v>649</v>
      </c>
      <c r="B50" s="180" t="s">
        <v>494</v>
      </c>
      <c r="C50" s="181">
        <v>2</v>
      </c>
      <c r="D50" s="181">
        <v>4262.89</v>
      </c>
      <c r="E50" s="181">
        <v>8525.78</v>
      </c>
      <c r="F50" s="182">
        <v>0.00319808459872996</v>
      </c>
      <c r="G50" s="183">
        <v>0.871437714086081</v>
      </c>
      <c r="I50" s="170"/>
      <c r="J50" s="170"/>
      <c r="K50" s="170"/>
      <c r="L50" s="170"/>
      <c r="M50" s="170"/>
      <c r="N50" s="170"/>
      <c r="O50" s="170"/>
      <c r="P50" s="170"/>
      <c r="Q50" s="170"/>
      <c r="R50" s="170"/>
      <c r="S50" s="170"/>
      <c r="T50" s="170"/>
      <c r="U50" s="170"/>
      <c r="V50" s="170"/>
      <c r="W50" s="170"/>
    </row>
    <row r="51" s="136" customFormat="1" spans="1:23">
      <c r="I51" s="165"/>
      <c r="J51" s="165"/>
      <c r="K51" s="165"/>
      <c r="L51" s="165"/>
      <c r="M51" s="165"/>
      <c r="N51" s="165"/>
      <c r="O51" s="165"/>
      <c r="P51" s="165"/>
      <c r="Q51" s="165"/>
      <c r="R51" s="165"/>
      <c r="S51" s="165"/>
      <c r="T51" s="165"/>
      <c r="U51" s="165"/>
      <c r="V51" s="165"/>
      <c r="W51" s="165"/>
    </row>
    <row r="52" s="136" customFormat="1" spans="1:23">
      <c r="I52" s="165"/>
      <c r="J52" s="165"/>
      <c r="K52" s="165"/>
      <c r="L52" s="165"/>
      <c r="M52" s="165"/>
      <c r="N52" s="165"/>
      <c r="O52" s="165"/>
      <c r="P52" s="165"/>
      <c r="Q52" s="165"/>
      <c r="R52" s="165"/>
      <c r="S52" s="165"/>
      <c r="T52" s="165"/>
      <c r="U52" s="165"/>
      <c r="V52" s="165"/>
      <c r="W52" s="165"/>
    </row>
    <row r="53" s="136" customFormat="1" spans="1:23">
      <c r="I53" s="165"/>
      <c r="J53" s="165"/>
      <c r="K53" s="165"/>
      <c r="L53" s="165"/>
      <c r="M53" s="165"/>
      <c r="N53" s="165"/>
      <c r="O53" s="165"/>
      <c r="P53" s="165"/>
      <c r="Q53" s="165"/>
      <c r="R53" s="165"/>
      <c r="S53" s="165"/>
      <c r="T53" s="165"/>
      <c r="U53" s="165"/>
      <c r="V53" s="165"/>
      <c r="W53" s="165"/>
    </row>
    <row r="54" s="136" customFormat="1" spans="1:23">
      <c r="I54" s="165"/>
      <c r="J54" s="165"/>
      <c r="K54" s="165"/>
      <c r="L54" s="165"/>
      <c r="M54" s="165"/>
      <c r="N54" s="165"/>
      <c r="O54" s="165"/>
      <c r="P54" s="165"/>
      <c r="Q54" s="165"/>
      <c r="R54" s="165"/>
      <c r="S54" s="165"/>
      <c r="T54" s="165"/>
      <c r="U54" s="165"/>
      <c r="V54" s="165"/>
      <c r="W54" s="165"/>
    </row>
    <row r="55" s="136" customFormat="1" spans="1:23">
      <c r="I55" s="165"/>
      <c r="J55" s="165"/>
      <c r="K55" s="165"/>
      <c r="L55" s="165"/>
      <c r="M55" s="165"/>
      <c r="N55" s="165"/>
      <c r="O55" s="165"/>
      <c r="P55" s="165"/>
      <c r="Q55" s="165"/>
      <c r="R55" s="165"/>
      <c r="S55" s="165"/>
      <c r="T55" s="165"/>
      <c r="U55" s="165"/>
      <c r="V55" s="165"/>
      <c r="W55" s="165"/>
    </row>
    <row r="56" s="136" customFormat="1" spans="1:23">
      <c r="I56" s="165"/>
      <c r="J56" s="165"/>
      <c r="K56" s="165"/>
      <c r="L56" s="165"/>
      <c r="M56" s="165"/>
      <c r="N56" s="165"/>
      <c r="O56" s="165"/>
      <c r="P56" s="165"/>
      <c r="Q56" s="165"/>
      <c r="R56" s="165"/>
      <c r="S56" s="165"/>
      <c r="T56" s="165"/>
      <c r="U56" s="165"/>
      <c r="V56" s="165"/>
      <c r="W56" s="165"/>
    </row>
    <row r="57" s="136" customFormat="1" spans="1:23">
      <c r="I57" s="168" t="s">
        <v>1967</v>
      </c>
      <c r="J57" s="168" t="s">
        <v>1968</v>
      </c>
      <c r="K57" s="168" t="s">
        <v>1969</v>
      </c>
      <c r="L57" s="168" t="s">
        <v>1970</v>
      </c>
      <c r="M57" s="168"/>
      <c r="N57" s="168"/>
      <c r="O57" s="168"/>
      <c r="P57" s="168"/>
      <c r="Q57" s="168"/>
      <c r="R57" s="168"/>
      <c r="S57" s="168"/>
      <c r="T57" s="168"/>
      <c r="U57" s="168"/>
      <c r="V57" s="168"/>
      <c r="W57" s="168"/>
    </row>
    <row r="58" spans="1:23">
      <c r="A58" s="169" t="s">
        <v>27</v>
      </c>
      <c r="B58" s="82" t="s">
        <v>135</v>
      </c>
      <c r="C58" s="82" t="s">
        <v>981</v>
      </c>
      <c r="D58" s="82" t="s">
        <v>137</v>
      </c>
      <c r="E58" s="82" t="s">
        <v>982</v>
      </c>
      <c r="F58" s="82" t="s">
        <v>278</v>
      </c>
      <c r="G58" s="82" t="s">
        <v>983</v>
      </c>
      <c r="I58" s="170" t="s">
        <v>1971</v>
      </c>
      <c r="J58" s="170" t="s">
        <v>1972</v>
      </c>
      <c r="K58" s="170" t="s">
        <v>1973</v>
      </c>
      <c r="L58" s="170" t="s">
        <v>1974</v>
      </c>
      <c r="M58" s="170"/>
      <c r="N58" s="170"/>
      <c r="O58" s="170"/>
      <c r="P58" s="170"/>
      <c r="Q58" s="170"/>
      <c r="R58" s="170"/>
      <c r="S58" s="170"/>
      <c r="T58" s="170"/>
      <c r="U58" s="170"/>
      <c r="V58" s="170"/>
      <c r="W58" s="170"/>
    </row>
    <row r="59" ht="25.5" spans="1:23">
      <c r="A59" s="184" t="s">
        <v>991</v>
      </c>
      <c r="B59" s="185" t="s">
        <v>476</v>
      </c>
      <c r="C59" s="186">
        <v>2544.728691</v>
      </c>
      <c r="D59" s="186">
        <v>102.5</v>
      </c>
      <c r="E59" s="186">
        <v>260834.69</v>
      </c>
      <c r="F59" s="187">
        <v>0.0978410661433327</v>
      </c>
      <c r="G59" s="188">
        <v>0.202031559330111</v>
      </c>
      <c r="I59" s="170">
        <v>110</v>
      </c>
      <c r="J59" s="170"/>
      <c r="K59" s="170"/>
      <c r="L59" s="170"/>
      <c r="M59" s="170"/>
      <c r="N59" s="170"/>
      <c r="O59" s="170"/>
      <c r="P59" s="170"/>
      <c r="Q59" s="170"/>
      <c r="R59" s="170"/>
      <c r="S59" s="170"/>
      <c r="T59" s="170"/>
      <c r="U59" s="170"/>
      <c r="V59" s="170"/>
      <c r="W59" s="170"/>
    </row>
    <row r="60" ht="25.5" spans="1:23">
      <c r="A60" s="184" t="s">
        <v>1011</v>
      </c>
      <c r="B60" s="185" t="s">
        <v>476</v>
      </c>
      <c r="C60" s="186">
        <v>491.395343</v>
      </c>
      <c r="D60" s="186">
        <v>205</v>
      </c>
      <c r="E60" s="186">
        <v>100736.05</v>
      </c>
      <c r="F60" s="187">
        <v>0.0377868546973873</v>
      </c>
      <c r="G60" s="188">
        <v>0.279469129464911</v>
      </c>
      <c r="I60" s="170">
        <v>140</v>
      </c>
      <c r="J60" s="170"/>
      <c r="K60" s="170"/>
      <c r="L60" s="170"/>
      <c r="M60" s="170"/>
      <c r="N60" s="170"/>
      <c r="O60" s="170"/>
      <c r="P60" s="170"/>
      <c r="Q60" s="170"/>
      <c r="R60" s="170"/>
      <c r="S60" s="170"/>
      <c r="T60" s="170"/>
      <c r="U60" s="170"/>
      <c r="V60" s="170"/>
      <c r="W60" s="170"/>
    </row>
    <row r="61" ht="25.5" spans="1:23">
      <c r="A61" s="184" t="s">
        <v>1520</v>
      </c>
      <c r="B61" s="185" t="s">
        <v>476</v>
      </c>
      <c r="C61" s="186">
        <v>2.423973</v>
      </c>
      <c r="D61" s="186">
        <v>207.68</v>
      </c>
      <c r="E61" s="186">
        <v>503.41</v>
      </c>
      <c r="F61" s="187">
        <v>0.00018883290066676</v>
      </c>
      <c r="G61" s="188">
        <v>0.996976569235878</v>
      </c>
      <c r="I61" s="170">
        <v>160</v>
      </c>
      <c r="J61" s="170"/>
      <c r="K61" s="170"/>
      <c r="L61" s="170"/>
      <c r="M61" s="170"/>
      <c r="N61" s="170"/>
      <c r="O61" s="170"/>
      <c r="P61" s="170"/>
      <c r="Q61" s="170"/>
      <c r="R61" s="170"/>
      <c r="S61" s="170"/>
      <c r="T61" s="170"/>
      <c r="U61" s="170"/>
      <c r="V61" s="170"/>
      <c r="W61" s="170"/>
    </row>
    <row r="62" s="136" customFormat="1" spans="1:23">
      <c r="I62" s="165" t="s">
        <v>1975</v>
      </c>
      <c r="J62" s="165"/>
      <c r="K62" s="165"/>
      <c r="L62" s="165"/>
      <c r="M62" s="165"/>
      <c r="N62" s="165"/>
      <c r="O62" s="165"/>
      <c r="P62" s="165"/>
      <c r="Q62" s="165"/>
      <c r="R62" s="165"/>
      <c r="S62" s="165"/>
      <c r="T62" s="165"/>
      <c r="U62" s="165"/>
      <c r="V62" s="165"/>
      <c r="W62" s="165"/>
    </row>
    <row r="63" s="136" customFormat="1" spans="1:23">
      <c r="I63" s="165"/>
      <c r="J63" s="165"/>
      <c r="K63" s="165"/>
      <c r="L63" s="165"/>
      <c r="M63" s="165"/>
      <c r="N63" s="165"/>
      <c r="O63" s="165"/>
      <c r="P63" s="165"/>
      <c r="Q63" s="165"/>
      <c r="R63" s="165"/>
      <c r="S63" s="165"/>
      <c r="T63" s="165"/>
      <c r="U63" s="165"/>
      <c r="V63" s="165"/>
      <c r="W63" s="165"/>
    </row>
    <row r="64" s="136" customFormat="1" spans="1:23">
      <c r="I64" s="165"/>
      <c r="J64" s="165"/>
      <c r="K64" s="165"/>
      <c r="L64" s="165"/>
      <c r="M64" s="165"/>
      <c r="N64" s="165"/>
      <c r="O64" s="165"/>
      <c r="P64" s="165"/>
      <c r="Q64" s="165"/>
      <c r="R64" s="165"/>
      <c r="S64" s="165"/>
      <c r="T64" s="165"/>
      <c r="U64" s="165"/>
      <c r="V64" s="165"/>
      <c r="W64" s="165"/>
    </row>
    <row r="65" s="136" customFormat="1" spans="1:23">
      <c r="I65" s="165"/>
      <c r="J65" s="165"/>
      <c r="K65" s="165"/>
      <c r="L65" s="165"/>
      <c r="M65" s="165"/>
      <c r="N65" s="165"/>
      <c r="O65" s="165"/>
      <c r="P65" s="165"/>
      <c r="Q65" s="165"/>
      <c r="R65" s="165"/>
      <c r="S65" s="165"/>
      <c r="T65" s="165"/>
      <c r="U65" s="165"/>
      <c r="V65" s="165"/>
      <c r="W65" s="165"/>
    </row>
    <row r="66" s="136" customFormat="1" spans="1:23">
      <c r="I66" s="165"/>
      <c r="J66" s="165"/>
      <c r="K66" s="165"/>
      <c r="L66" s="165"/>
      <c r="M66" s="165"/>
      <c r="N66" s="165"/>
      <c r="O66" s="165"/>
      <c r="P66" s="165"/>
      <c r="Q66" s="165"/>
      <c r="R66" s="165"/>
      <c r="S66" s="165"/>
      <c r="T66" s="165"/>
      <c r="U66" s="165"/>
      <c r="V66" s="165"/>
      <c r="W66" s="165"/>
    </row>
    <row r="67" s="136" customFormat="1" spans="1:23">
      <c r="I67" s="165"/>
      <c r="J67" s="165"/>
      <c r="K67" s="165"/>
      <c r="L67" s="165"/>
      <c r="M67" s="165"/>
      <c r="N67" s="165"/>
      <c r="O67" s="165"/>
      <c r="P67" s="165"/>
      <c r="Q67" s="165"/>
      <c r="R67" s="165"/>
      <c r="S67" s="165"/>
      <c r="T67" s="165"/>
      <c r="U67" s="165"/>
      <c r="V67" s="165"/>
      <c r="W67" s="165"/>
    </row>
    <row r="68" s="136" customFormat="1" spans="1:23">
      <c r="I68" s="168" t="s">
        <v>1976</v>
      </c>
      <c r="J68" s="168"/>
      <c r="K68" s="168"/>
      <c r="L68" s="168"/>
      <c r="M68" s="168"/>
      <c r="N68" s="168"/>
      <c r="O68" s="168"/>
      <c r="P68" s="168"/>
      <c r="Q68" s="168"/>
      <c r="R68" s="168"/>
      <c r="S68" s="168"/>
      <c r="T68" s="168"/>
      <c r="U68" s="168"/>
      <c r="V68" s="168"/>
      <c r="W68" s="168"/>
    </row>
    <row r="69" spans="1:23">
      <c r="A69" s="169" t="s">
        <v>27</v>
      </c>
      <c r="B69" s="82" t="s">
        <v>135</v>
      </c>
      <c r="C69" s="82" t="s">
        <v>981</v>
      </c>
      <c r="D69" s="82" t="s">
        <v>137</v>
      </c>
      <c r="E69" s="82" t="s">
        <v>982</v>
      </c>
      <c r="F69" s="82" t="s">
        <v>278</v>
      </c>
      <c r="G69" s="82" t="s">
        <v>983</v>
      </c>
      <c r="I69" s="170"/>
      <c r="J69" s="170"/>
      <c r="K69" s="170"/>
      <c r="L69" s="170"/>
      <c r="M69" s="170"/>
      <c r="N69" s="170"/>
      <c r="O69" s="170"/>
      <c r="P69" s="170"/>
      <c r="Q69" s="170"/>
      <c r="R69" s="170"/>
      <c r="S69" s="170"/>
      <c r="T69" s="170"/>
      <c r="U69" s="170"/>
      <c r="V69" s="170"/>
      <c r="W69" s="170"/>
    </row>
    <row r="70" ht="51" spans="1:23">
      <c r="A70" s="189" t="s">
        <v>615</v>
      </c>
      <c r="B70" s="190" t="s">
        <v>494</v>
      </c>
      <c r="C70" s="191">
        <v>4</v>
      </c>
      <c r="D70" s="191">
        <v>26426.23</v>
      </c>
      <c r="E70" s="191">
        <v>105704.92</v>
      </c>
      <c r="F70" s="192">
        <v>0.0396507154374124</v>
      </c>
      <c r="G70" s="193">
        <v>0.241682274767524</v>
      </c>
      <c r="I70" s="170">
        <v>12840</v>
      </c>
      <c r="J70" s="170"/>
      <c r="K70" s="170"/>
      <c r="L70" s="170"/>
      <c r="M70" s="170"/>
      <c r="N70" s="170"/>
      <c r="O70" s="170"/>
      <c r="P70" s="170"/>
      <c r="Q70" s="170"/>
      <c r="R70" s="170"/>
      <c r="S70" s="170"/>
      <c r="T70" s="170"/>
      <c r="U70" s="170"/>
      <c r="V70" s="170"/>
      <c r="W70" s="170"/>
    </row>
    <row r="71" ht="51" spans="1:23">
      <c r="A71" s="189" t="s">
        <v>619</v>
      </c>
      <c r="B71" s="190" t="s">
        <v>494</v>
      </c>
      <c r="C71" s="191">
        <v>1</v>
      </c>
      <c r="D71" s="191">
        <v>97218</v>
      </c>
      <c r="E71" s="191">
        <v>97218</v>
      </c>
      <c r="F71" s="192">
        <v>0.0364672075187642</v>
      </c>
      <c r="G71" s="193">
        <v>0.315936336983675</v>
      </c>
      <c r="I71" s="176">
        <v>113820</v>
      </c>
      <c r="J71" s="170"/>
      <c r="K71" s="170"/>
      <c r="L71" s="170"/>
      <c r="M71" s="170"/>
      <c r="N71" s="170"/>
      <c r="O71" s="170"/>
      <c r="P71" s="170"/>
      <c r="Q71" s="170"/>
      <c r="R71" s="170"/>
      <c r="S71" s="170"/>
      <c r="T71" s="170"/>
      <c r="U71" s="170"/>
      <c r="V71" s="170"/>
      <c r="W71" s="170"/>
    </row>
    <row r="72" ht="51" spans="1:23">
      <c r="A72" s="189" t="s">
        <v>618</v>
      </c>
      <c r="B72" s="190" t="s">
        <v>494</v>
      </c>
      <c r="C72" s="191">
        <v>1</v>
      </c>
      <c r="D72" s="191">
        <v>97218</v>
      </c>
      <c r="E72" s="191">
        <v>97218</v>
      </c>
      <c r="F72" s="192">
        <v>0.0364672075187642</v>
      </c>
      <c r="G72" s="193">
        <v>0.35240354450244</v>
      </c>
      <c r="I72" s="176">
        <v>113820</v>
      </c>
      <c r="J72" s="170"/>
      <c r="K72" s="170"/>
      <c r="L72" s="170"/>
      <c r="M72" s="170"/>
      <c r="N72" s="170"/>
      <c r="O72" s="170"/>
      <c r="P72" s="170"/>
      <c r="Q72" s="170"/>
      <c r="R72" s="170"/>
      <c r="S72" s="170"/>
      <c r="T72" s="170"/>
      <c r="U72" s="170"/>
      <c r="V72" s="170"/>
      <c r="W72" s="170"/>
    </row>
    <row r="73" ht="51" spans="1:23">
      <c r="A73" s="189" t="s">
        <v>614</v>
      </c>
      <c r="B73" s="190" t="s">
        <v>494</v>
      </c>
      <c r="C73" s="191">
        <v>4</v>
      </c>
      <c r="D73" s="191">
        <v>18464.45</v>
      </c>
      <c r="E73" s="191">
        <v>73857.8</v>
      </c>
      <c r="F73" s="192">
        <v>0.0277046197152727</v>
      </c>
      <c r="G73" s="193">
        <v>0.450608622531641</v>
      </c>
      <c r="I73" s="170">
        <v>4760</v>
      </c>
      <c r="J73" s="170"/>
      <c r="K73" s="170"/>
      <c r="L73" s="170"/>
      <c r="M73" s="170"/>
      <c r="N73" s="170"/>
      <c r="O73" s="170"/>
      <c r="P73" s="170"/>
      <c r="Q73" s="170"/>
      <c r="R73" s="170"/>
      <c r="S73" s="170"/>
      <c r="T73" s="170"/>
      <c r="U73" s="170"/>
      <c r="V73" s="170"/>
      <c r="W73" s="170"/>
    </row>
    <row r="74" spans="1:23">
      <c r="A74" s="194" t="s">
        <v>617</v>
      </c>
      <c r="B74" s="190" t="s">
        <v>494</v>
      </c>
      <c r="C74" s="191">
        <v>1</v>
      </c>
      <c r="D74" s="191">
        <v>66521</v>
      </c>
      <c r="E74" s="191">
        <v>66521</v>
      </c>
      <c r="F74" s="192">
        <v>0.0249525305124124</v>
      </c>
      <c r="G74" s="193">
        <v>0.526200674686477</v>
      </c>
      <c r="I74" s="170">
        <v>184240</v>
      </c>
      <c r="J74" s="170"/>
      <c r="K74" s="170"/>
      <c r="L74" s="170"/>
      <c r="M74" s="170"/>
      <c r="N74" s="170"/>
      <c r="O74" s="170"/>
      <c r="P74" s="170"/>
      <c r="Q74" s="170"/>
      <c r="R74" s="170"/>
      <c r="S74" s="170"/>
      <c r="T74" s="170"/>
      <c r="U74" s="170"/>
      <c r="V74" s="170"/>
      <c r="W74" s="170"/>
    </row>
    <row r="75" ht="38.25" spans="1:23">
      <c r="A75" s="189" t="s">
        <v>622</v>
      </c>
      <c r="B75" s="190" t="s">
        <v>494</v>
      </c>
      <c r="C75" s="191">
        <v>2</v>
      </c>
      <c r="D75" s="191">
        <v>19700</v>
      </c>
      <c r="E75" s="191">
        <v>39400</v>
      </c>
      <c r="F75" s="192">
        <v>0.0147792381682333</v>
      </c>
      <c r="G75" s="193">
        <v>0.629325292217423</v>
      </c>
      <c r="I75" s="170"/>
      <c r="J75" s="170"/>
      <c r="K75" s="170"/>
      <c r="L75" s="170"/>
      <c r="M75" s="170"/>
      <c r="N75" s="170"/>
      <c r="O75" s="170"/>
      <c r="P75" s="170"/>
      <c r="Q75" s="170"/>
      <c r="R75" s="170"/>
      <c r="S75" s="170"/>
      <c r="T75" s="170"/>
      <c r="U75" s="170"/>
      <c r="V75" s="170"/>
      <c r="W75" s="170"/>
    </row>
    <row r="76" ht="51" spans="1:23">
      <c r="A76" s="189" t="s">
        <v>616</v>
      </c>
      <c r="B76" s="190" t="s">
        <v>494</v>
      </c>
      <c r="C76" s="191">
        <v>1</v>
      </c>
      <c r="D76" s="191">
        <v>21761.28</v>
      </c>
      <c r="E76" s="191">
        <v>21761.28</v>
      </c>
      <c r="F76" s="192">
        <v>0.00816282081130996</v>
      </c>
      <c r="G76" s="193">
        <v>0.747951282499527</v>
      </c>
      <c r="I76" s="170">
        <v>12840</v>
      </c>
      <c r="J76" s="170"/>
      <c r="K76" s="170"/>
      <c r="L76" s="170"/>
      <c r="M76" s="170"/>
      <c r="N76" s="170"/>
      <c r="O76" s="170"/>
      <c r="P76" s="170"/>
      <c r="Q76" s="170"/>
      <c r="R76" s="170"/>
      <c r="S76" s="170"/>
      <c r="T76" s="170"/>
      <c r="U76" s="170"/>
      <c r="V76" s="170"/>
      <c r="W76" s="170"/>
    </row>
    <row r="77" ht="51" spans="1:23">
      <c r="A77" s="189" t="s">
        <v>620</v>
      </c>
      <c r="B77" s="190" t="s">
        <v>494</v>
      </c>
      <c r="C77" s="191">
        <v>2</v>
      </c>
      <c r="D77" s="191">
        <v>2915.87</v>
      </c>
      <c r="E77" s="191">
        <v>5831.74</v>
      </c>
      <c r="F77" s="192">
        <v>0.0021875298069851</v>
      </c>
      <c r="G77" s="193">
        <v>0.923400453931173</v>
      </c>
      <c r="I77" s="170">
        <v>2540</v>
      </c>
      <c r="J77" s="170"/>
      <c r="K77" s="170"/>
      <c r="L77" s="170"/>
      <c r="M77" s="170"/>
      <c r="N77" s="170"/>
      <c r="O77" s="170"/>
      <c r="P77" s="170"/>
      <c r="Q77" s="170"/>
      <c r="R77" s="170"/>
      <c r="S77" s="170"/>
      <c r="T77" s="170"/>
      <c r="U77" s="170"/>
      <c r="V77" s="170"/>
      <c r="W77" s="170"/>
    </row>
    <row r="78" ht="51" spans="1:23">
      <c r="A78" s="189" t="s">
        <v>621</v>
      </c>
      <c r="B78" s="190" t="s">
        <v>494</v>
      </c>
      <c r="C78" s="191">
        <v>4</v>
      </c>
      <c r="D78" s="191">
        <v>831</v>
      </c>
      <c r="E78" s="191">
        <v>3324</v>
      </c>
      <c r="F78" s="192">
        <v>0.00124685755510679</v>
      </c>
      <c r="G78" s="193">
        <v>0.960653935675865</v>
      </c>
      <c r="I78" s="170">
        <v>890</v>
      </c>
      <c r="J78" s="170"/>
      <c r="K78" s="170"/>
      <c r="L78" s="170"/>
      <c r="M78" s="170"/>
      <c r="N78" s="170"/>
      <c r="O78" s="170"/>
      <c r="P78" s="170"/>
      <c r="Q78" s="170"/>
      <c r="R78" s="170"/>
      <c r="S78" s="170"/>
      <c r="T78" s="170"/>
      <c r="U78" s="170"/>
      <c r="V78" s="170"/>
      <c r="W78" s="170"/>
    </row>
    <row r="79" ht="38.25" spans="1:23">
      <c r="A79" s="195" t="s">
        <v>612</v>
      </c>
      <c r="B79" s="196" t="s">
        <v>494</v>
      </c>
      <c r="C79" s="197">
        <v>1</v>
      </c>
      <c r="D79" s="197">
        <v>63890</v>
      </c>
      <c r="E79" s="197">
        <v>63890</v>
      </c>
      <c r="F79" s="198">
        <v>0.0239656225017367</v>
      </c>
      <c r="G79" s="199">
        <v>0.550166297188214</v>
      </c>
      <c r="I79" s="170">
        <v>55990</v>
      </c>
      <c r="J79" s="170"/>
      <c r="K79" s="170"/>
      <c r="L79" s="170"/>
      <c r="M79" s="170"/>
      <c r="N79" s="170"/>
      <c r="O79" s="170"/>
      <c r="P79" s="170"/>
      <c r="Q79" s="170"/>
      <c r="R79" s="170"/>
      <c r="S79" s="170"/>
      <c r="T79" s="170"/>
      <c r="U79" s="170"/>
      <c r="V79" s="170"/>
      <c r="W79" s="170"/>
    </row>
    <row r="80" s="136" customFormat="1" spans="1:23">
      <c r="I80" s="165"/>
      <c r="J80" s="165"/>
      <c r="K80" s="165"/>
      <c r="L80" s="165"/>
      <c r="M80" s="165"/>
      <c r="N80" s="165"/>
      <c r="O80" s="165"/>
      <c r="P80" s="165"/>
      <c r="Q80" s="165"/>
      <c r="R80" s="165"/>
      <c r="S80" s="165"/>
      <c r="T80" s="165"/>
      <c r="U80" s="165"/>
      <c r="V80" s="165"/>
      <c r="W80" s="165"/>
    </row>
    <row r="81" s="136" customFormat="1" spans="1:23">
      <c r="I81" s="165"/>
      <c r="J81" s="165"/>
      <c r="K81" s="165"/>
      <c r="L81" s="165"/>
      <c r="M81" s="165"/>
      <c r="N81" s="165"/>
      <c r="O81" s="165"/>
      <c r="P81" s="165"/>
      <c r="Q81" s="165"/>
      <c r="R81" s="165"/>
      <c r="S81" s="165"/>
      <c r="T81" s="165"/>
      <c r="U81" s="165"/>
      <c r="V81" s="165"/>
      <c r="W81" s="165"/>
    </row>
    <row r="82" s="136" customFormat="1" spans="1:23">
      <c r="I82" s="165"/>
      <c r="J82" s="165"/>
      <c r="K82" s="165"/>
      <c r="L82" s="165"/>
      <c r="M82" s="165"/>
      <c r="N82" s="165"/>
      <c r="O82" s="165"/>
      <c r="P82" s="165"/>
      <c r="Q82" s="165"/>
      <c r="R82" s="165"/>
      <c r="S82" s="165"/>
      <c r="T82" s="165"/>
      <c r="U82" s="165"/>
      <c r="V82" s="165"/>
      <c r="W82" s="165"/>
    </row>
    <row r="83" s="136" customFormat="1" spans="1:23">
      <c r="I83" s="165"/>
      <c r="J83" s="165"/>
      <c r="K83" s="165"/>
      <c r="L83" s="165"/>
      <c r="M83" s="165"/>
      <c r="N83" s="165"/>
      <c r="O83" s="165"/>
      <c r="P83" s="165"/>
      <c r="Q83" s="165"/>
      <c r="R83" s="165"/>
      <c r="S83" s="165"/>
      <c r="T83" s="165"/>
      <c r="U83" s="165"/>
      <c r="V83" s="165"/>
      <c r="W83" s="165"/>
    </row>
    <row r="84" s="136" customFormat="1" spans="1:23">
      <c r="I84" s="165"/>
      <c r="J84" s="165"/>
      <c r="K84" s="165"/>
      <c r="L84" s="165"/>
      <c r="M84" s="165"/>
      <c r="N84" s="165"/>
      <c r="O84" s="165"/>
      <c r="P84" s="165"/>
      <c r="Q84" s="165"/>
      <c r="R84" s="165"/>
      <c r="S84" s="165"/>
      <c r="T84" s="165"/>
      <c r="U84" s="165"/>
      <c r="V84" s="165"/>
      <c r="W84" s="165"/>
    </row>
    <row r="85" s="136" customFormat="1" spans="1:23">
      <c r="I85" s="165"/>
      <c r="J85" s="165"/>
      <c r="K85" s="165"/>
      <c r="L85" s="165"/>
      <c r="M85" s="165"/>
      <c r="N85" s="165"/>
      <c r="O85" s="165"/>
      <c r="P85" s="165"/>
      <c r="Q85" s="165"/>
      <c r="R85" s="165"/>
      <c r="S85" s="165"/>
      <c r="T85" s="165"/>
      <c r="U85" s="165"/>
      <c r="V85" s="165"/>
      <c r="W85" s="165"/>
    </row>
    <row r="86" s="136" customFormat="1" spans="1:23">
      <c r="I86" s="168" t="s">
        <v>1977</v>
      </c>
      <c r="J86" s="168" t="s">
        <v>1919</v>
      </c>
      <c r="K86" s="168" t="s">
        <v>1920</v>
      </c>
      <c r="L86" s="168"/>
      <c r="M86" s="168"/>
      <c r="N86" s="168"/>
      <c r="O86" s="168"/>
      <c r="P86" s="168"/>
      <c r="Q86" s="168"/>
      <c r="R86" s="168"/>
      <c r="S86" s="168"/>
      <c r="T86" s="168"/>
      <c r="U86" s="168"/>
      <c r="V86" s="168"/>
      <c r="W86" s="168"/>
    </row>
    <row r="87" spans="1:23">
      <c r="A87" s="169" t="s">
        <v>27</v>
      </c>
      <c r="B87" s="82" t="s">
        <v>135</v>
      </c>
      <c r="C87" s="82" t="s">
        <v>981</v>
      </c>
      <c r="D87" s="82" t="s">
        <v>137</v>
      </c>
      <c r="E87" s="82" t="s">
        <v>982</v>
      </c>
      <c r="F87" s="82" t="s">
        <v>278</v>
      </c>
      <c r="G87" s="82" t="s">
        <v>983</v>
      </c>
      <c r="I87" s="170"/>
      <c r="J87" s="170"/>
      <c r="K87" s="170"/>
      <c r="L87" s="170"/>
      <c r="M87" s="170"/>
      <c r="N87" s="170"/>
      <c r="O87" s="170"/>
      <c r="P87" s="170"/>
      <c r="Q87" s="170"/>
      <c r="R87" s="170"/>
      <c r="S87" s="170"/>
      <c r="T87" s="170"/>
      <c r="U87" s="170"/>
      <c r="V87" s="170"/>
      <c r="W87" s="170"/>
    </row>
    <row r="88" ht="38.25" spans="1:23">
      <c r="A88" s="195" t="s">
        <v>686</v>
      </c>
      <c r="B88" s="196" t="s">
        <v>494</v>
      </c>
      <c r="C88" s="197">
        <v>7</v>
      </c>
      <c r="D88" s="197">
        <v>5079.28</v>
      </c>
      <c r="E88" s="197">
        <v>35554.96</v>
      </c>
      <c r="F88" s="198">
        <v>0.0133369345660408</v>
      </c>
      <c r="G88" s="199">
        <v>0.656309836690319</v>
      </c>
      <c r="I88" s="170">
        <v>4634.73</v>
      </c>
      <c r="J88" s="170">
        <v>5877.4</v>
      </c>
      <c r="K88" s="170">
        <v>2529.56</v>
      </c>
      <c r="L88" s="170"/>
      <c r="M88" s="170"/>
      <c r="N88" s="170"/>
      <c r="O88" s="170"/>
      <c r="P88" s="170"/>
      <c r="Q88" s="170"/>
      <c r="R88" s="170"/>
      <c r="S88" s="170"/>
      <c r="T88" s="170"/>
      <c r="U88" s="170"/>
      <c r="V88" s="170"/>
      <c r="W88" s="170"/>
    </row>
    <row r="89" ht="38.25" spans="1:23">
      <c r="A89" s="195" t="s">
        <v>683</v>
      </c>
      <c r="B89" s="196" t="s">
        <v>494</v>
      </c>
      <c r="C89" s="197">
        <v>1</v>
      </c>
      <c r="D89" s="197">
        <v>27426.53</v>
      </c>
      <c r="E89" s="197">
        <v>27426.53</v>
      </c>
      <c r="F89" s="198">
        <v>0.0102878989593451</v>
      </c>
      <c r="G89" s="199">
        <v>0.692791016965981</v>
      </c>
      <c r="I89" s="170">
        <v>28027.33</v>
      </c>
      <c r="J89" s="170"/>
      <c r="K89" s="170">
        <v>10148.3</v>
      </c>
      <c r="L89" s="170"/>
      <c r="M89" s="170"/>
      <c r="N89" s="170"/>
      <c r="O89" s="170"/>
      <c r="P89" s="170"/>
      <c r="Q89" s="170"/>
      <c r="R89" s="170"/>
      <c r="S89" s="170"/>
      <c r="T89" s="170"/>
      <c r="U89" s="170"/>
      <c r="V89" s="170"/>
      <c r="W89" s="170"/>
    </row>
    <row r="90" ht="38.25" spans="1:23">
      <c r="A90" s="195" t="s">
        <v>633</v>
      </c>
      <c r="B90" s="196" t="s">
        <v>494</v>
      </c>
      <c r="C90" s="197">
        <v>4</v>
      </c>
      <c r="D90" s="197">
        <v>6834.27</v>
      </c>
      <c r="E90" s="197">
        <v>27337.08</v>
      </c>
      <c r="F90" s="198">
        <v>0.0102543455874124</v>
      </c>
      <c r="G90" s="199">
        <v>0.703045362553393</v>
      </c>
      <c r="I90" s="170">
        <v>7831.09</v>
      </c>
      <c r="J90" s="170">
        <v>6633.41</v>
      </c>
      <c r="K90" s="170">
        <v>4658.58</v>
      </c>
      <c r="L90" s="170"/>
      <c r="M90" s="170"/>
      <c r="N90" s="170"/>
      <c r="O90" s="170"/>
      <c r="P90" s="170"/>
      <c r="Q90" s="170"/>
      <c r="R90" s="170"/>
      <c r="S90" s="170"/>
      <c r="T90" s="170"/>
      <c r="U90" s="170"/>
      <c r="V90" s="170"/>
      <c r="W90" s="170"/>
    </row>
    <row r="91" ht="38.25" spans="1:23">
      <c r="A91" s="195" t="s">
        <v>684</v>
      </c>
      <c r="B91" s="196" t="s">
        <v>494</v>
      </c>
      <c r="C91" s="197">
        <v>1</v>
      </c>
      <c r="D91" s="197">
        <v>25361.65</v>
      </c>
      <c r="E91" s="197">
        <v>25361.65</v>
      </c>
      <c r="F91" s="198">
        <v>0.00951334684490799</v>
      </c>
      <c r="G91" s="199">
        <v>0.722372862503917</v>
      </c>
      <c r="I91" s="170">
        <v>22907.18</v>
      </c>
      <c r="J91" s="170"/>
      <c r="K91" s="170">
        <f>6686.32+1729.54</f>
        <v>8415.86</v>
      </c>
      <c r="L91" s="170"/>
      <c r="M91" s="170"/>
      <c r="N91" s="170"/>
      <c r="O91" s="170"/>
      <c r="P91" s="170"/>
      <c r="Q91" s="170"/>
      <c r="R91" s="170"/>
      <c r="S91" s="170"/>
      <c r="T91" s="170"/>
      <c r="U91" s="170"/>
      <c r="V91" s="170"/>
      <c r="W91" s="170"/>
    </row>
    <row r="92" ht="38.25" spans="1:23">
      <c r="A92" s="195" t="s">
        <v>682</v>
      </c>
      <c r="B92" s="196" t="s">
        <v>494</v>
      </c>
      <c r="C92" s="197">
        <v>2</v>
      </c>
      <c r="D92" s="197">
        <v>11363.84</v>
      </c>
      <c r="E92" s="197">
        <v>22727.68</v>
      </c>
      <c r="F92" s="198">
        <v>0.00852532476475617</v>
      </c>
      <c r="G92" s="199">
        <v>0.739788461688217</v>
      </c>
      <c r="I92" s="170">
        <v>6507.42</v>
      </c>
      <c r="J92" s="170">
        <v>5658.63</v>
      </c>
      <c r="K92" s="170">
        <v>3475.64</v>
      </c>
      <c r="L92" s="170"/>
      <c r="M92" s="170"/>
      <c r="N92" s="170"/>
      <c r="O92" s="170"/>
      <c r="P92" s="170"/>
      <c r="Q92" s="170"/>
      <c r="R92" s="170"/>
      <c r="S92" s="170"/>
      <c r="T92" s="170"/>
      <c r="U92" s="170"/>
      <c r="V92" s="170"/>
      <c r="W92" s="170"/>
    </row>
    <row r="93" ht="38.25" spans="1:23">
      <c r="A93" s="195" t="s">
        <v>685</v>
      </c>
      <c r="B93" s="196" t="s">
        <v>494</v>
      </c>
      <c r="C93" s="197">
        <v>1</v>
      </c>
      <c r="D93" s="197">
        <v>17923.43</v>
      </c>
      <c r="E93" s="197">
        <v>17923.43</v>
      </c>
      <c r="F93" s="198">
        <v>0.0067232142325294</v>
      </c>
      <c r="G93" s="199">
        <v>0.77781438369174</v>
      </c>
      <c r="I93" s="170">
        <v>15128.66</v>
      </c>
      <c r="J93" s="170">
        <v>13440.54</v>
      </c>
      <c r="K93" s="170">
        <v>6878.71</v>
      </c>
      <c r="L93" s="170"/>
      <c r="M93" s="170"/>
      <c r="N93" s="170"/>
      <c r="O93" s="170"/>
      <c r="P93" s="170"/>
      <c r="Q93" s="170"/>
      <c r="R93" s="170"/>
      <c r="S93" s="170"/>
      <c r="T93" s="170"/>
      <c r="U93" s="170"/>
      <c r="V93" s="170"/>
      <c r="W93" s="170"/>
    </row>
    <row r="94" ht="25.5" spans="1:23">
      <c r="A94" s="195" t="s">
        <v>1115</v>
      </c>
      <c r="B94" s="196" t="s">
        <v>494</v>
      </c>
      <c r="C94" s="197">
        <v>1</v>
      </c>
      <c r="D94" s="197">
        <v>16948.98</v>
      </c>
      <c r="E94" s="197">
        <v>16948.98</v>
      </c>
      <c r="F94" s="198">
        <v>0.00635769066316303</v>
      </c>
      <c r="G94" s="199">
        <v>0.784172074354903</v>
      </c>
      <c r="I94" s="170">
        <v>13084.24</v>
      </c>
      <c r="J94" s="170">
        <v>11474.3</v>
      </c>
      <c r="K94" s="170">
        <v>14973.98</v>
      </c>
      <c r="L94" s="170"/>
      <c r="M94" s="170"/>
      <c r="N94" s="170"/>
      <c r="O94" s="170"/>
      <c r="P94" s="170"/>
      <c r="Q94" s="170"/>
      <c r="R94" s="170"/>
      <c r="S94" s="170"/>
      <c r="T94" s="170"/>
      <c r="U94" s="170"/>
      <c r="V94" s="170"/>
      <c r="W94" s="170"/>
    </row>
    <row r="95" ht="38.25" spans="1:23">
      <c r="A95" s="195" t="s">
        <v>681</v>
      </c>
      <c r="B95" s="196" t="s">
        <v>494</v>
      </c>
      <c r="C95" s="197">
        <v>3</v>
      </c>
      <c r="D95" s="197">
        <v>4647.23</v>
      </c>
      <c r="E95" s="197">
        <v>13941.69</v>
      </c>
      <c r="F95" s="198">
        <v>0.00522963342582936</v>
      </c>
      <c r="G95" s="199">
        <v>0.812179387121949</v>
      </c>
      <c r="I95" s="170">
        <v>6908.41</v>
      </c>
      <c r="J95" s="170">
        <v>6007.32</v>
      </c>
      <c r="K95" s="170">
        <v>3687.71</v>
      </c>
      <c r="L95" s="170"/>
      <c r="M95" s="170"/>
      <c r="N95" s="170"/>
      <c r="O95" s="170"/>
      <c r="P95" s="170"/>
      <c r="Q95" s="170"/>
      <c r="R95" s="170"/>
      <c r="S95" s="170"/>
      <c r="T95" s="170"/>
      <c r="U95" s="170"/>
      <c r="V95" s="170"/>
      <c r="W95" s="170"/>
    </row>
    <row r="96" ht="38.25" spans="1:23">
      <c r="A96" s="195" t="s">
        <v>679</v>
      </c>
      <c r="B96" s="196" t="s">
        <v>494</v>
      </c>
      <c r="C96" s="197">
        <v>1</v>
      </c>
      <c r="D96" s="197">
        <v>13736.82</v>
      </c>
      <c r="E96" s="197">
        <v>13736.82</v>
      </c>
      <c r="F96" s="198">
        <v>0.00515278513843023</v>
      </c>
      <c r="G96" s="199">
        <v>0.817332172260379</v>
      </c>
      <c r="I96" s="170">
        <v>10297.5</v>
      </c>
      <c r="J96" s="170"/>
      <c r="K96" s="170">
        <f>4319.28+1219.39</f>
        <v>5538.67</v>
      </c>
      <c r="L96" s="170"/>
      <c r="M96" s="170"/>
      <c r="N96" s="170"/>
      <c r="O96" s="170"/>
      <c r="P96" s="170"/>
      <c r="Q96" s="170"/>
      <c r="R96" s="170"/>
      <c r="S96" s="170"/>
      <c r="T96" s="170"/>
      <c r="U96" s="170"/>
      <c r="V96" s="170"/>
      <c r="W96" s="170"/>
    </row>
    <row r="97" ht="38.25" spans="1:23">
      <c r="A97" s="195" t="s">
        <v>700</v>
      </c>
      <c r="B97" s="196" t="s">
        <v>494</v>
      </c>
      <c r="C97" s="197">
        <v>1</v>
      </c>
      <c r="D97" s="197">
        <v>11575.18</v>
      </c>
      <c r="E97" s="197">
        <v>11575.18</v>
      </c>
      <c r="F97" s="198">
        <v>0.00434193761574038</v>
      </c>
      <c r="G97" s="199">
        <v>0.82642222146834</v>
      </c>
      <c r="I97" s="170">
        <v>18032.06</v>
      </c>
      <c r="J97" s="170">
        <v>14950.62</v>
      </c>
      <c r="K97" s="170">
        <v>10250.21</v>
      </c>
      <c r="L97" s="170"/>
      <c r="M97" s="170"/>
      <c r="N97" s="170"/>
      <c r="O97" s="170"/>
      <c r="P97" s="170"/>
      <c r="Q97" s="170"/>
      <c r="R97" s="170"/>
      <c r="S97" s="170"/>
      <c r="T97" s="170"/>
      <c r="U97" s="170"/>
      <c r="V97" s="170"/>
      <c r="W97" s="170"/>
    </row>
    <row r="98" ht="51" spans="1:23">
      <c r="A98" s="195" t="s">
        <v>701</v>
      </c>
      <c r="B98" s="196" t="s">
        <v>494</v>
      </c>
      <c r="C98" s="197">
        <v>1</v>
      </c>
      <c r="D98" s="197">
        <v>9888</v>
      </c>
      <c r="E98" s="197">
        <v>9888</v>
      </c>
      <c r="F98" s="198">
        <v>0.00370906362963175</v>
      </c>
      <c r="G98" s="199">
        <v>0.857846081481557</v>
      </c>
      <c r="I98" s="170">
        <v>13315.89</v>
      </c>
      <c r="J98" s="170">
        <v>13330.5</v>
      </c>
      <c r="K98" s="170"/>
      <c r="L98" s="170"/>
      <c r="M98" s="170"/>
      <c r="N98" s="170"/>
      <c r="O98" s="170"/>
      <c r="P98" s="170"/>
      <c r="Q98" s="170"/>
      <c r="R98" s="170"/>
      <c r="S98" s="170"/>
      <c r="T98" s="170"/>
      <c r="U98" s="170"/>
      <c r="V98" s="170"/>
      <c r="W98" s="170"/>
    </row>
    <row r="99" ht="38.25" spans="1:23">
      <c r="A99" s="195" t="s">
        <v>687</v>
      </c>
      <c r="B99" s="196" t="s">
        <v>494</v>
      </c>
      <c r="C99" s="197">
        <v>7</v>
      </c>
      <c r="D99" s="197">
        <v>1356.4</v>
      </c>
      <c r="E99" s="197">
        <v>9494.8</v>
      </c>
      <c r="F99" s="198">
        <v>0.0035615713340036</v>
      </c>
      <c r="G99" s="199">
        <v>0.861407652815561</v>
      </c>
      <c r="I99" s="170">
        <v>1204.28</v>
      </c>
      <c r="J99" s="170">
        <v>935.45</v>
      </c>
      <c r="K99" s="170">
        <v>952.98</v>
      </c>
      <c r="L99" s="170"/>
      <c r="M99" s="170"/>
      <c r="N99" s="170"/>
      <c r="O99" s="170"/>
      <c r="P99" s="170"/>
      <c r="Q99" s="170"/>
      <c r="R99" s="170"/>
      <c r="S99" s="170"/>
      <c r="T99" s="170"/>
      <c r="U99" s="170"/>
      <c r="V99" s="170"/>
      <c r="W99" s="170"/>
    </row>
    <row r="100" ht="38.25" spans="1:23">
      <c r="A100" s="195" t="s">
        <v>666</v>
      </c>
      <c r="B100" s="196" t="s">
        <v>494</v>
      </c>
      <c r="C100" s="197">
        <v>1</v>
      </c>
      <c r="D100" s="197">
        <v>8232.82</v>
      </c>
      <c r="E100" s="197">
        <v>8232.82</v>
      </c>
      <c r="F100" s="198">
        <v>0.00308819308569022</v>
      </c>
      <c r="G100" s="199">
        <v>0.877671664264804</v>
      </c>
      <c r="I100" s="170">
        <v>7741.59</v>
      </c>
      <c r="J100" s="170">
        <v>2742.65</v>
      </c>
      <c r="K100" s="170">
        <f>1776.93+1219.39</f>
        <v>2996.32</v>
      </c>
      <c r="L100" s="170"/>
      <c r="M100" s="170"/>
      <c r="N100" s="170"/>
      <c r="O100" s="170"/>
      <c r="P100" s="170"/>
      <c r="Q100" s="170"/>
      <c r="R100" s="170"/>
      <c r="S100" s="170"/>
      <c r="T100" s="170"/>
      <c r="U100" s="170"/>
      <c r="V100" s="170"/>
      <c r="W100" s="170"/>
    </row>
    <row r="101" ht="38.25" spans="1:23">
      <c r="A101" s="195" t="s">
        <v>698</v>
      </c>
      <c r="B101" s="196" t="s">
        <v>494</v>
      </c>
      <c r="C101" s="197">
        <v>3</v>
      </c>
      <c r="D101" s="197">
        <v>2719.37</v>
      </c>
      <c r="E101" s="197">
        <v>8158.11</v>
      </c>
      <c r="F101" s="198">
        <v>0.00306016879930574</v>
      </c>
      <c r="G101" s="199">
        <v>0.88073183306411</v>
      </c>
      <c r="I101" s="170">
        <v>3820.93</v>
      </c>
      <c r="J101" s="170">
        <v>2635.8</v>
      </c>
      <c r="K101" s="170">
        <v>2717.01</v>
      </c>
      <c r="L101" s="170"/>
      <c r="M101" s="170"/>
      <c r="N101" s="170"/>
      <c r="O101" s="170"/>
      <c r="P101" s="170"/>
      <c r="Q101" s="170"/>
      <c r="R101" s="170"/>
      <c r="S101" s="170"/>
      <c r="T101" s="170"/>
      <c r="U101" s="170"/>
      <c r="V101" s="170"/>
      <c r="W101" s="170"/>
    </row>
    <row r="102" ht="25.5" spans="1:23">
      <c r="A102" s="195" t="s">
        <v>1199</v>
      </c>
      <c r="B102" s="196" t="s">
        <v>494</v>
      </c>
      <c r="C102" s="197">
        <v>3</v>
      </c>
      <c r="D102" s="197">
        <v>2551.46</v>
      </c>
      <c r="E102" s="197">
        <v>7654.38</v>
      </c>
      <c r="F102" s="198">
        <v>0.0028712158642173</v>
      </c>
      <c r="G102" s="199">
        <v>0.886583169772681</v>
      </c>
      <c r="I102" s="170">
        <v>2487.59</v>
      </c>
      <c r="J102" s="170">
        <v>2107.13</v>
      </c>
      <c r="K102" s="170">
        <v>1981.45</v>
      </c>
      <c r="L102" s="170"/>
      <c r="M102" s="170"/>
      <c r="N102" s="170"/>
      <c r="O102" s="170"/>
      <c r="P102" s="170"/>
      <c r="Q102" s="170"/>
      <c r="R102" s="170"/>
      <c r="S102" s="170"/>
      <c r="T102" s="170"/>
      <c r="U102" s="170"/>
      <c r="V102" s="170"/>
      <c r="W102" s="170"/>
    </row>
    <row r="103" ht="38.25" spans="1:23">
      <c r="A103" s="195" t="s">
        <v>692</v>
      </c>
      <c r="B103" s="196" t="s">
        <v>112</v>
      </c>
      <c r="C103" s="197">
        <v>3</v>
      </c>
      <c r="D103" s="197">
        <v>2367.44</v>
      </c>
      <c r="E103" s="197">
        <v>7102.32</v>
      </c>
      <c r="F103" s="198">
        <v>0.00266413398038089</v>
      </c>
      <c r="G103" s="199">
        <v>0.889247303753062</v>
      </c>
      <c r="I103" s="170">
        <v>3476.98</v>
      </c>
      <c r="J103" s="170">
        <v>11873.27</v>
      </c>
      <c r="K103" s="170">
        <v>2706.33</v>
      </c>
      <c r="L103" s="170"/>
      <c r="M103" s="170"/>
      <c r="N103" s="170"/>
      <c r="O103" s="170"/>
      <c r="P103" s="170"/>
      <c r="Q103" s="170"/>
      <c r="R103" s="170"/>
      <c r="S103" s="170"/>
      <c r="T103" s="170"/>
      <c r="U103" s="170"/>
      <c r="V103" s="170"/>
      <c r="W103" s="170"/>
    </row>
    <row r="104" ht="38.25" spans="1:23">
      <c r="A104" s="195" t="s">
        <v>670</v>
      </c>
      <c r="B104" s="196" t="s">
        <v>494</v>
      </c>
      <c r="C104" s="197">
        <v>1</v>
      </c>
      <c r="D104" s="197">
        <v>7053.62</v>
      </c>
      <c r="E104" s="197">
        <v>7053.62</v>
      </c>
      <c r="F104" s="198">
        <v>0.00264586624183284</v>
      </c>
      <c r="G104" s="199">
        <v>0.894548668999066</v>
      </c>
      <c r="I104" s="170">
        <v>12010.83</v>
      </c>
      <c r="J104" s="170">
        <v>7421.25</v>
      </c>
      <c r="K104" s="170">
        <f>1729.54+3034.58</f>
        <v>4764.12</v>
      </c>
      <c r="L104" s="170"/>
      <c r="M104" s="170"/>
      <c r="N104" s="170"/>
      <c r="O104" s="170"/>
      <c r="P104" s="170"/>
      <c r="Q104" s="170"/>
      <c r="R104" s="170"/>
      <c r="S104" s="170"/>
      <c r="T104" s="170"/>
      <c r="U104" s="170"/>
      <c r="V104" s="170"/>
      <c r="W104" s="170"/>
    </row>
    <row r="105" ht="76.5" spans="1:23">
      <c r="A105" s="195" t="s">
        <v>663</v>
      </c>
      <c r="B105" s="196" t="s">
        <v>494</v>
      </c>
      <c r="C105" s="197">
        <v>320</v>
      </c>
      <c r="D105" s="197">
        <v>22</v>
      </c>
      <c r="E105" s="197">
        <v>7040</v>
      </c>
      <c r="F105" s="198">
        <v>0.00264075727676047</v>
      </c>
      <c r="G105" s="199">
        <v>0.897189426275827</v>
      </c>
      <c r="I105" s="170">
        <v>33.07</v>
      </c>
      <c r="J105" s="170">
        <v>217.48</v>
      </c>
      <c r="K105" s="170"/>
      <c r="L105" s="170"/>
      <c r="M105" s="170"/>
      <c r="N105" s="170"/>
      <c r="O105" s="170"/>
      <c r="P105" s="170"/>
      <c r="Q105" s="170"/>
      <c r="R105" s="170"/>
      <c r="S105" s="170"/>
      <c r="T105" s="170"/>
      <c r="U105" s="170"/>
      <c r="V105" s="170"/>
      <c r="W105" s="170"/>
    </row>
    <row r="106" ht="38.25" spans="1:23">
      <c r="A106" s="195" t="s">
        <v>678</v>
      </c>
      <c r="B106" s="196" t="s">
        <v>494</v>
      </c>
      <c r="C106" s="197">
        <v>1</v>
      </c>
      <c r="D106" s="197">
        <v>6750.22</v>
      </c>
      <c r="E106" s="197">
        <v>6750.22</v>
      </c>
      <c r="F106" s="198">
        <v>0.00253205860578609</v>
      </c>
      <c r="G106" s="199">
        <v>0.899721484881613</v>
      </c>
      <c r="I106" s="170">
        <v>6380.36</v>
      </c>
      <c r="J106" s="170">
        <v>6960.8</v>
      </c>
      <c r="K106" s="170">
        <v>3631.14</v>
      </c>
      <c r="L106" s="170"/>
      <c r="M106" s="170"/>
      <c r="N106" s="170"/>
      <c r="O106" s="170"/>
      <c r="P106" s="170"/>
      <c r="Q106" s="170"/>
      <c r="R106" s="170"/>
      <c r="S106" s="170"/>
      <c r="T106" s="170"/>
      <c r="U106" s="170"/>
      <c r="V106" s="170"/>
      <c r="W106" s="170"/>
    </row>
    <row r="107" ht="38.25" spans="1:23">
      <c r="A107" s="195" t="s">
        <v>699</v>
      </c>
      <c r="B107" s="196" t="s">
        <v>494</v>
      </c>
      <c r="C107" s="197">
        <v>1</v>
      </c>
      <c r="D107" s="197">
        <v>6678.99</v>
      </c>
      <c r="E107" s="197">
        <v>6678.99</v>
      </c>
      <c r="F107" s="198">
        <v>0.00250533969373728</v>
      </c>
      <c r="G107" s="199">
        <v>0.904739895236058</v>
      </c>
      <c r="I107" s="170">
        <v>11482.2</v>
      </c>
      <c r="J107" s="170">
        <v>9025.15</v>
      </c>
      <c r="K107" s="170">
        <v>8538.73</v>
      </c>
      <c r="L107" s="170"/>
      <c r="M107" s="170"/>
      <c r="N107" s="170"/>
      <c r="O107" s="170"/>
      <c r="P107" s="170"/>
      <c r="Q107" s="170"/>
      <c r="R107" s="170"/>
      <c r="S107" s="170"/>
      <c r="T107" s="170"/>
      <c r="U107" s="170"/>
      <c r="V107" s="170"/>
      <c r="W107" s="170"/>
    </row>
    <row r="108" ht="38.25" spans="1:23">
      <c r="A108" s="195" t="s">
        <v>675</v>
      </c>
      <c r="B108" s="196" t="s">
        <v>494</v>
      </c>
      <c r="C108" s="197">
        <v>2</v>
      </c>
      <c r="D108" s="197">
        <v>3325.54</v>
      </c>
      <c r="E108" s="197">
        <v>6651.08</v>
      </c>
      <c r="F108" s="198">
        <v>0.00249487044152217</v>
      </c>
      <c r="G108" s="199">
        <v>0.907234765677581</v>
      </c>
      <c r="I108" s="170">
        <v>3816.11</v>
      </c>
      <c r="J108" s="170">
        <v>3318.36</v>
      </c>
      <c r="K108" s="170">
        <v>2036.76</v>
      </c>
      <c r="L108" s="170"/>
      <c r="M108" s="170"/>
      <c r="N108" s="170"/>
      <c r="O108" s="170"/>
      <c r="P108" s="170"/>
      <c r="Q108" s="170"/>
      <c r="R108" s="170"/>
      <c r="S108" s="170"/>
      <c r="T108" s="170"/>
      <c r="U108" s="170"/>
      <c r="V108" s="170"/>
      <c r="W108" s="170"/>
    </row>
    <row r="109" ht="38.25" spans="1:23">
      <c r="A109" s="195" t="s">
        <v>630</v>
      </c>
      <c r="B109" s="196" t="s">
        <v>494</v>
      </c>
      <c r="C109" s="197">
        <v>2</v>
      </c>
      <c r="D109" s="197">
        <v>3251</v>
      </c>
      <c r="E109" s="197">
        <v>6502</v>
      </c>
      <c r="F109" s="198">
        <v>0.00243894940532622</v>
      </c>
      <c r="G109" s="199">
        <v>0.912132350133387</v>
      </c>
      <c r="I109" s="170">
        <v>4997.9</v>
      </c>
      <c r="J109" s="170"/>
      <c r="K109" s="170"/>
      <c r="L109" s="170"/>
      <c r="M109" s="170"/>
      <c r="N109" s="170"/>
      <c r="O109" s="170"/>
      <c r="P109" s="170"/>
      <c r="Q109" s="170"/>
      <c r="R109" s="170"/>
      <c r="S109" s="170"/>
      <c r="T109" s="170"/>
      <c r="U109" s="170"/>
      <c r="V109" s="170"/>
      <c r="W109" s="170"/>
    </row>
    <row r="110" ht="38.25" spans="1:23">
      <c r="A110" s="195" t="s">
        <v>623</v>
      </c>
      <c r="B110" s="196" t="s">
        <v>494</v>
      </c>
      <c r="C110" s="197">
        <v>4</v>
      </c>
      <c r="D110" s="197">
        <v>1379.03</v>
      </c>
      <c r="E110" s="197">
        <v>5516.12</v>
      </c>
      <c r="F110" s="198">
        <v>0.00206913835646079</v>
      </c>
      <c r="G110" s="199">
        <v>0.925469592287633</v>
      </c>
      <c r="I110" s="170">
        <v>1630.36</v>
      </c>
      <c r="J110" s="170">
        <v>1380</v>
      </c>
      <c r="K110" s="170"/>
      <c r="L110" s="170"/>
      <c r="M110" s="170"/>
      <c r="N110" s="170"/>
      <c r="O110" s="170"/>
      <c r="P110" s="170"/>
      <c r="Q110" s="170"/>
      <c r="R110" s="170"/>
      <c r="S110" s="170"/>
      <c r="T110" s="170"/>
      <c r="U110" s="170"/>
      <c r="V110" s="170"/>
      <c r="W110" s="170"/>
    </row>
    <row r="111" ht="38.25" spans="1:23">
      <c r="A111" s="195" t="s">
        <v>697</v>
      </c>
      <c r="B111" s="196" t="s">
        <v>494</v>
      </c>
      <c r="C111" s="197">
        <v>1</v>
      </c>
      <c r="D111" s="197">
        <v>4627.37</v>
      </c>
      <c r="E111" s="197">
        <v>4627.37</v>
      </c>
      <c r="F111" s="198">
        <v>0.00173576150564817</v>
      </c>
      <c r="G111" s="199">
        <v>0.934787335540277</v>
      </c>
      <c r="I111" s="170">
        <v>6996.74</v>
      </c>
      <c r="J111" s="170">
        <v>5683.98</v>
      </c>
      <c r="K111" s="170">
        <v>3403.67</v>
      </c>
      <c r="L111" s="170"/>
      <c r="M111" s="170"/>
      <c r="N111" s="170"/>
      <c r="O111" s="170"/>
      <c r="P111" s="170"/>
      <c r="Q111" s="170"/>
      <c r="R111" s="170"/>
      <c r="S111" s="170"/>
      <c r="T111" s="170"/>
      <c r="U111" s="170"/>
      <c r="V111" s="170"/>
      <c r="W111" s="170"/>
    </row>
    <row r="112" ht="38.25" spans="1:23">
      <c r="A112" s="195" t="s">
        <v>653</v>
      </c>
      <c r="B112" s="196" t="s">
        <v>494</v>
      </c>
      <c r="C112" s="197">
        <v>1</v>
      </c>
      <c r="D112" s="197">
        <v>4400.11</v>
      </c>
      <c r="E112" s="197">
        <v>4400.11</v>
      </c>
      <c r="F112" s="198">
        <v>0.00165051455980774</v>
      </c>
      <c r="G112" s="199">
        <v>0.936437850100085</v>
      </c>
      <c r="I112" s="170">
        <v>3479.51</v>
      </c>
      <c r="J112" s="170">
        <v>2171.46</v>
      </c>
      <c r="K112" s="170"/>
      <c r="L112" s="170"/>
      <c r="M112" s="170"/>
      <c r="N112" s="170"/>
      <c r="O112" s="170"/>
      <c r="P112" s="170"/>
      <c r="Q112" s="170"/>
      <c r="R112" s="170"/>
      <c r="S112" s="170"/>
      <c r="T112" s="170"/>
      <c r="U112" s="170"/>
      <c r="V112" s="170"/>
      <c r="W112" s="170"/>
    </row>
    <row r="113" ht="38.25" spans="1:23">
      <c r="A113" s="195" t="s">
        <v>694</v>
      </c>
      <c r="B113" s="196" t="s">
        <v>494</v>
      </c>
      <c r="C113" s="197">
        <v>1</v>
      </c>
      <c r="D113" s="197">
        <v>4326.9</v>
      </c>
      <c r="E113" s="197">
        <v>4326.9</v>
      </c>
      <c r="F113" s="198">
        <v>0.00162305293477484</v>
      </c>
      <c r="G113" s="199">
        <v>0.93806090303486</v>
      </c>
      <c r="I113" s="170">
        <v>7480.85</v>
      </c>
      <c r="J113" s="170">
        <v>6190.8</v>
      </c>
      <c r="K113" s="170"/>
      <c r="L113" s="170"/>
      <c r="M113" s="170"/>
      <c r="N113" s="170"/>
      <c r="O113" s="170"/>
      <c r="P113" s="170"/>
      <c r="Q113" s="170"/>
      <c r="R113" s="170"/>
      <c r="S113" s="170"/>
      <c r="T113" s="170"/>
      <c r="U113" s="170"/>
      <c r="V113" s="170"/>
      <c r="W113" s="170"/>
    </row>
    <row r="114" ht="38.25" spans="1:23">
      <c r="A114" s="195" t="s">
        <v>671</v>
      </c>
      <c r="B114" s="196" t="s">
        <v>494</v>
      </c>
      <c r="C114" s="197">
        <v>1</v>
      </c>
      <c r="D114" s="197">
        <v>4316.07</v>
      </c>
      <c r="E114" s="197">
        <v>4316.07</v>
      </c>
      <c r="F114" s="198">
        <v>0.00161899051981642</v>
      </c>
      <c r="G114" s="199">
        <v>0.939679893554676</v>
      </c>
      <c r="I114" s="170">
        <v>5411.22</v>
      </c>
      <c r="J114" s="170">
        <v>4650</v>
      </c>
      <c r="K114" s="170">
        <v>2777.29</v>
      </c>
      <c r="L114" s="170"/>
      <c r="M114" s="170"/>
      <c r="N114" s="170"/>
      <c r="O114" s="170"/>
      <c r="P114" s="170"/>
      <c r="Q114" s="170"/>
      <c r="R114" s="170"/>
      <c r="S114" s="170"/>
      <c r="T114" s="170"/>
      <c r="U114" s="170"/>
      <c r="V114" s="170"/>
      <c r="W114" s="170"/>
    </row>
    <row r="115" ht="38.25" spans="1:23">
      <c r="A115" s="195" t="s">
        <v>695</v>
      </c>
      <c r="B115" s="196" t="s">
        <v>494</v>
      </c>
      <c r="C115" s="197">
        <v>2</v>
      </c>
      <c r="D115" s="197">
        <v>2136.06</v>
      </c>
      <c r="E115" s="197">
        <v>4272.12</v>
      </c>
      <c r="F115" s="198">
        <v>0.00160250454221505</v>
      </c>
      <c r="G115" s="199">
        <v>0.941282398096891</v>
      </c>
      <c r="I115" s="170">
        <v>2841.44</v>
      </c>
      <c r="J115" s="170">
        <v>1946.11</v>
      </c>
      <c r="K115" s="170">
        <v>4342.67</v>
      </c>
      <c r="L115" s="170"/>
      <c r="M115" s="170"/>
      <c r="N115" s="170"/>
      <c r="O115" s="170"/>
      <c r="P115" s="170"/>
      <c r="Q115" s="170"/>
      <c r="R115" s="170"/>
      <c r="S115" s="170"/>
      <c r="T115" s="170"/>
      <c r="U115" s="170"/>
      <c r="V115" s="170"/>
      <c r="W115" s="170"/>
    </row>
    <row r="116" ht="38.25" spans="1:23">
      <c r="A116" s="195" t="s">
        <v>667</v>
      </c>
      <c r="B116" s="196" t="s">
        <v>494</v>
      </c>
      <c r="C116" s="197">
        <v>1</v>
      </c>
      <c r="D116" s="197">
        <v>4226.79</v>
      </c>
      <c r="E116" s="197">
        <v>4226.79</v>
      </c>
      <c r="F116" s="198">
        <v>0.00158550091617023</v>
      </c>
      <c r="G116" s="199">
        <v>0.944468464249151</v>
      </c>
      <c r="I116" s="170">
        <v>4957.95</v>
      </c>
      <c r="J116" s="170">
        <v>4633.23</v>
      </c>
      <c r="K116" s="170"/>
      <c r="L116" s="170"/>
      <c r="M116" s="170"/>
      <c r="N116" s="170"/>
      <c r="O116" s="170"/>
      <c r="P116" s="170"/>
      <c r="Q116" s="170"/>
      <c r="R116" s="170"/>
      <c r="S116" s="170"/>
      <c r="T116" s="170"/>
      <c r="U116" s="170"/>
      <c r="V116" s="170"/>
      <c r="W116" s="170"/>
    </row>
    <row r="117" ht="38.25" spans="1:23">
      <c r="A117" s="195" t="s">
        <v>674</v>
      </c>
      <c r="B117" s="196" t="s">
        <v>494</v>
      </c>
      <c r="C117" s="197">
        <v>1</v>
      </c>
      <c r="D117" s="197">
        <v>4168.34</v>
      </c>
      <c r="E117" s="197">
        <v>4168.34</v>
      </c>
      <c r="F117" s="198">
        <v>0.0015635758788369</v>
      </c>
      <c r="G117" s="199">
        <v>0.947604997447094</v>
      </c>
      <c r="I117" s="170">
        <v>4792.63</v>
      </c>
      <c r="J117" s="170">
        <v>3717.98</v>
      </c>
      <c r="K117" s="170"/>
      <c r="L117" s="170"/>
      <c r="M117" s="170"/>
      <c r="N117" s="170"/>
      <c r="O117" s="170"/>
      <c r="P117" s="170"/>
      <c r="Q117" s="170"/>
      <c r="R117" s="170"/>
      <c r="S117" s="170"/>
      <c r="T117" s="170"/>
      <c r="U117" s="170"/>
      <c r="V117" s="170"/>
      <c r="W117" s="170"/>
    </row>
    <row r="118" ht="38.25" spans="1:23">
      <c r="A118" s="195" t="s">
        <v>696</v>
      </c>
      <c r="B118" s="196" t="s">
        <v>494</v>
      </c>
      <c r="C118" s="197">
        <v>1</v>
      </c>
      <c r="D118" s="197">
        <v>4000.18</v>
      </c>
      <c r="E118" s="197">
        <v>4000.18</v>
      </c>
      <c r="F118" s="198">
        <v>0.00150049779024882</v>
      </c>
      <c r="G118" s="199">
        <v>0.950618304057964</v>
      </c>
      <c r="I118" s="170">
        <v>5875.38</v>
      </c>
      <c r="J118" s="170">
        <v>5021.94</v>
      </c>
      <c r="K118" s="170"/>
      <c r="L118" s="170"/>
      <c r="M118" s="170"/>
      <c r="N118" s="170"/>
      <c r="O118" s="170"/>
      <c r="P118" s="170"/>
      <c r="Q118" s="170"/>
      <c r="R118" s="170"/>
      <c r="S118" s="170"/>
      <c r="T118" s="170"/>
      <c r="U118" s="170"/>
      <c r="V118" s="170"/>
      <c r="W118" s="170"/>
    </row>
    <row r="119" ht="25.5" spans="1:23">
      <c r="A119" s="195" t="s">
        <v>680</v>
      </c>
      <c r="B119" s="196" t="s">
        <v>494</v>
      </c>
      <c r="C119" s="197">
        <v>1</v>
      </c>
      <c r="D119" s="197">
        <v>3952.98</v>
      </c>
      <c r="E119" s="197">
        <v>3952.98</v>
      </c>
      <c r="F119" s="198">
        <v>0.00148279271305236</v>
      </c>
      <c r="G119" s="199">
        <v>0.95359342471844</v>
      </c>
      <c r="I119" s="170">
        <v>4341.69</v>
      </c>
      <c r="J119" s="170">
        <v>4033.09</v>
      </c>
      <c r="K119" s="170">
        <v>2617.02</v>
      </c>
      <c r="L119" s="170"/>
      <c r="M119" s="170"/>
      <c r="N119" s="170"/>
      <c r="O119" s="170"/>
      <c r="P119" s="170"/>
      <c r="Q119" s="170"/>
      <c r="R119" s="170"/>
      <c r="S119" s="170"/>
      <c r="T119" s="170"/>
      <c r="U119" s="170"/>
      <c r="V119" s="170"/>
      <c r="W119" s="170"/>
    </row>
    <row r="120" ht="38.25" spans="1:23">
      <c r="A120" s="195" t="s">
        <v>688</v>
      </c>
      <c r="B120" s="196" t="s">
        <v>494</v>
      </c>
      <c r="C120" s="197">
        <v>1</v>
      </c>
      <c r="D120" s="197">
        <v>3889.97</v>
      </c>
      <c r="E120" s="197">
        <v>3889.97</v>
      </c>
      <c r="F120" s="198">
        <v>0.00145915718521022</v>
      </c>
      <c r="G120" s="199">
        <v>0.958009427323427</v>
      </c>
      <c r="I120" s="170">
        <v>5906.33</v>
      </c>
      <c r="J120" s="170">
        <v>5717.31</v>
      </c>
      <c r="K120" s="170">
        <v>3508.61</v>
      </c>
      <c r="L120" s="170"/>
      <c r="M120" s="170"/>
      <c r="N120" s="170"/>
      <c r="O120" s="170"/>
      <c r="P120" s="170"/>
      <c r="Q120" s="170"/>
      <c r="R120" s="170"/>
      <c r="S120" s="170"/>
      <c r="T120" s="170"/>
      <c r="U120" s="170"/>
      <c r="V120" s="170"/>
      <c r="W120" s="170"/>
    </row>
    <row r="121" ht="38.25" spans="1:23">
      <c r="A121" s="195" t="s">
        <v>690</v>
      </c>
      <c r="B121" s="196" t="s">
        <v>112</v>
      </c>
      <c r="C121" s="197">
        <v>4</v>
      </c>
      <c r="D121" s="197">
        <v>806.26</v>
      </c>
      <c r="E121" s="197">
        <v>3225.04</v>
      </c>
      <c r="F121" s="198">
        <v>0.00120973691020506</v>
      </c>
      <c r="G121" s="199">
        <v>0.963081706875673</v>
      </c>
      <c r="I121" s="170">
        <v>904.54</v>
      </c>
      <c r="J121" s="170">
        <f>3616.25/4</f>
        <v>904.0625</v>
      </c>
      <c r="K121" s="170"/>
      <c r="L121" s="170"/>
      <c r="M121" s="170"/>
      <c r="N121" s="170"/>
      <c r="O121" s="170"/>
      <c r="P121" s="170"/>
      <c r="Q121" s="170"/>
      <c r="R121" s="170"/>
      <c r="S121" s="170"/>
      <c r="T121" s="170"/>
      <c r="U121" s="170"/>
      <c r="V121" s="170"/>
      <c r="W121" s="170"/>
    </row>
    <row r="122" ht="38.25" spans="1:23">
      <c r="A122" s="195" t="s">
        <v>691</v>
      </c>
      <c r="B122" s="196" t="s">
        <v>112</v>
      </c>
      <c r="C122" s="197">
        <v>2</v>
      </c>
      <c r="D122" s="197">
        <v>1430.51</v>
      </c>
      <c r="E122" s="197">
        <v>2861.02</v>
      </c>
      <c r="F122" s="198">
        <v>0.00107319025340302</v>
      </c>
      <c r="G122" s="199">
        <v>0.966385579310652</v>
      </c>
      <c r="I122" s="170">
        <v>2094.47</v>
      </c>
      <c r="J122" s="170">
        <v>4930.22</v>
      </c>
      <c r="K122" s="170"/>
      <c r="L122" s="170"/>
      <c r="M122" s="170"/>
      <c r="N122" s="170"/>
      <c r="O122" s="170"/>
      <c r="P122" s="170"/>
      <c r="Q122" s="170"/>
      <c r="R122" s="170"/>
      <c r="S122" s="170"/>
      <c r="T122" s="170"/>
      <c r="U122" s="170"/>
      <c r="V122" s="170"/>
      <c r="W122" s="170"/>
    </row>
    <row r="123" ht="38.25" spans="1:23">
      <c r="A123" s="195" t="s">
        <v>669</v>
      </c>
      <c r="B123" s="196" t="s">
        <v>494</v>
      </c>
      <c r="C123" s="197">
        <v>3</v>
      </c>
      <c r="D123" s="197">
        <v>923.31</v>
      </c>
      <c r="E123" s="197">
        <v>2769.93</v>
      </c>
      <c r="F123" s="198">
        <v>0.00103902170505925</v>
      </c>
      <c r="G123" s="199">
        <v>0.967424601015711</v>
      </c>
      <c r="I123" s="170">
        <v>1145.45</v>
      </c>
      <c r="J123" s="170"/>
      <c r="K123" s="170"/>
      <c r="L123" s="170"/>
      <c r="M123" s="170"/>
      <c r="N123" s="170"/>
      <c r="O123" s="170"/>
      <c r="P123" s="170"/>
      <c r="Q123" s="170"/>
      <c r="R123" s="170"/>
      <c r="S123" s="170"/>
      <c r="T123" s="170"/>
      <c r="U123" s="170"/>
      <c r="V123" s="170"/>
      <c r="W123" s="170"/>
    </row>
    <row r="124" ht="38.25" spans="1:23">
      <c r="A124" s="195" t="s">
        <v>652</v>
      </c>
      <c r="B124" s="196" t="s">
        <v>494</v>
      </c>
      <c r="C124" s="197">
        <v>1</v>
      </c>
      <c r="D124" s="197">
        <v>2564.41</v>
      </c>
      <c r="E124" s="197">
        <v>2564.41</v>
      </c>
      <c r="F124" s="198">
        <v>0.000961929597741097</v>
      </c>
      <c r="G124" s="199">
        <v>0.97239334712819</v>
      </c>
      <c r="I124" s="170">
        <v>2358.14</v>
      </c>
      <c r="J124" s="170">
        <v>3091.42</v>
      </c>
      <c r="K124" s="170"/>
      <c r="L124" s="170"/>
      <c r="M124" s="170"/>
      <c r="N124" s="170"/>
      <c r="O124" s="170"/>
      <c r="P124" s="170"/>
      <c r="Q124" s="170"/>
      <c r="R124" s="170"/>
      <c r="S124" s="170"/>
      <c r="T124" s="170"/>
      <c r="U124" s="170"/>
      <c r="V124" s="170"/>
      <c r="W124" s="170"/>
    </row>
    <row r="125" ht="38.25" spans="1:23">
      <c r="A125" s="195" t="s">
        <v>654</v>
      </c>
      <c r="B125" s="196" t="s">
        <v>112</v>
      </c>
      <c r="C125" s="197">
        <v>1</v>
      </c>
      <c r="D125" s="197">
        <v>2379.62</v>
      </c>
      <c r="E125" s="197">
        <v>2379.62</v>
      </c>
      <c r="F125" s="198">
        <v>0.000892613470301812</v>
      </c>
      <c r="G125" s="199">
        <v>0.976082357507252</v>
      </c>
      <c r="I125" s="170">
        <v>4543.55</v>
      </c>
      <c r="J125" s="170"/>
      <c r="K125" s="170"/>
      <c r="L125" s="170"/>
      <c r="M125" s="170"/>
      <c r="N125" s="170"/>
      <c r="O125" s="170"/>
      <c r="P125" s="170"/>
      <c r="Q125" s="170"/>
      <c r="R125" s="170"/>
      <c r="S125" s="170"/>
      <c r="T125" s="170"/>
      <c r="U125" s="170"/>
      <c r="V125" s="170"/>
      <c r="W125" s="170"/>
    </row>
    <row r="126" ht="38.25" spans="1:23">
      <c r="A126" s="195" t="s">
        <v>673</v>
      </c>
      <c r="B126" s="196" t="s">
        <v>494</v>
      </c>
      <c r="C126" s="197">
        <v>2</v>
      </c>
      <c r="D126" s="197">
        <v>1125.51</v>
      </c>
      <c r="E126" s="197">
        <v>2251.02</v>
      </c>
      <c r="F126" s="198">
        <v>0.000844374637092807</v>
      </c>
      <c r="G126" s="199">
        <v>0.980395505617169</v>
      </c>
      <c r="I126" s="170">
        <v>1319.16</v>
      </c>
      <c r="J126" s="170">
        <v>1049.47</v>
      </c>
      <c r="K126" s="170">
        <v>852.89</v>
      </c>
      <c r="L126" s="170"/>
      <c r="M126" s="170"/>
      <c r="N126" s="170"/>
      <c r="O126" s="170"/>
      <c r="P126" s="170"/>
      <c r="Q126" s="170"/>
      <c r="R126" s="170"/>
      <c r="S126" s="170"/>
      <c r="T126" s="170"/>
      <c r="U126" s="170"/>
      <c r="V126" s="170"/>
      <c r="W126" s="170"/>
    </row>
    <row r="127" ht="38.25" spans="1:23">
      <c r="A127" s="195" t="s">
        <v>676</v>
      </c>
      <c r="B127" s="196" t="s">
        <v>494</v>
      </c>
      <c r="C127" s="197">
        <v>2</v>
      </c>
      <c r="D127" s="197">
        <v>1084.91</v>
      </c>
      <c r="E127" s="197">
        <v>2169.82</v>
      </c>
      <c r="F127" s="198">
        <v>0.000813915902593808</v>
      </c>
      <c r="G127" s="199">
        <v>0.981209421519763</v>
      </c>
      <c r="I127" s="170">
        <v>1246.4</v>
      </c>
      <c r="J127" s="170">
        <v>991.63</v>
      </c>
      <c r="K127" s="170">
        <v>1147.5</v>
      </c>
      <c r="L127" s="170"/>
      <c r="M127" s="170"/>
      <c r="N127" s="170"/>
      <c r="O127" s="170"/>
      <c r="P127" s="170"/>
      <c r="Q127" s="170"/>
      <c r="R127" s="170"/>
      <c r="S127" s="170"/>
      <c r="T127" s="170"/>
      <c r="U127" s="170"/>
      <c r="V127" s="170"/>
      <c r="W127" s="170"/>
    </row>
    <row r="128" ht="38.25" spans="1:23">
      <c r="A128" s="195" t="s">
        <v>668</v>
      </c>
      <c r="B128" s="196" t="s">
        <v>494</v>
      </c>
      <c r="C128" s="197">
        <v>2</v>
      </c>
      <c r="D128" s="197">
        <v>1014.15</v>
      </c>
      <c r="E128" s="197">
        <v>2028.3</v>
      </c>
      <c r="F128" s="198">
        <v>0.000760830679609839</v>
      </c>
      <c r="G128" s="199">
        <v>0.984343516518516</v>
      </c>
      <c r="I128" s="170">
        <v>945</v>
      </c>
      <c r="J128" s="170">
        <v>751.83</v>
      </c>
      <c r="K128" s="170">
        <v>897.83</v>
      </c>
      <c r="L128" s="170"/>
      <c r="M128" s="170"/>
      <c r="N128" s="170"/>
      <c r="O128" s="170"/>
      <c r="P128" s="170"/>
      <c r="Q128" s="170"/>
      <c r="R128" s="170"/>
      <c r="S128" s="170"/>
      <c r="T128" s="170"/>
      <c r="U128" s="170"/>
      <c r="V128" s="170"/>
      <c r="W128" s="170"/>
    </row>
    <row r="129" ht="38.25" spans="1:23">
      <c r="A129" s="195" t="s">
        <v>693</v>
      </c>
      <c r="B129" s="196" t="s">
        <v>494</v>
      </c>
      <c r="C129" s="197">
        <v>1</v>
      </c>
      <c r="D129" s="197">
        <v>1688.25</v>
      </c>
      <c r="E129" s="197">
        <v>1688.25</v>
      </c>
      <c r="F129" s="198">
        <v>0.000633275351206089</v>
      </c>
      <c r="G129" s="199">
        <v>0.987180192477897</v>
      </c>
      <c r="I129" s="170">
        <v>2432.27</v>
      </c>
      <c r="J129" s="170">
        <v>1817.64</v>
      </c>
      <c r="K129" s="170">
        <v>1855.66</v>
      </c>
      <c r="L129" s="170"/>
      <c r="M129" s="170"/>
      <c r="N129" s="170"/>
      <c r="O129" s="170"/>
      <c r="P129" s="170"/>
      <c r="Q129" s="170"/>
      <c r="R129" s="170"/>
      <c r="S129" s="170"/>
      <c r="T129" s="170"/>
      <c r="U129" s="170"/>
      <c r="V129" s="170"/>
      <c r="W129" s="170"/>
    </row>
    <row r="130" ht="38.25" spans="1:23">
      <c r="A130" s="195" t="s">
        <v>672</v>
      </c>
      <c r="B130" s="196" t="s">
        <v>494</v>
      </c>
      <c r="C130" s="197">
        <v>1</v>
      </c>
      <c r="D130" s="197">
        <v>1603.71</v>
      </c>
      <c r="E130" s="197">
        <v>1603.71</v>
      </c>
      <c r="F130" s="198">
        <v>0.0006015637574309</v>
      </c>
      <c r="G130" s="199">
        <v>0.987781756235328</v>
      </c>
      <c r="I130" s="170">
        <v>1486.52</v>
      </c>
      <c r="J130" s="170"/>
      <c r="K130" s="170">
        <v>1119.1</v>
      </c>
      <c r="L130" s="170"/>
      <c r="M130" s="170"/>
      <c r="N130" s="170"/>
      <c r="O130" s="170"/>
      <c r="P130" s="170"/>
      <c r="Q130" s="170"/>
      <c r="R130" s="170"/>
      <c r="S130" s="170"/>
      <c r="T130" s="170"/>
      <c r="U130" s="170"/>
      <c r="V130" s="170"/>
      <c r="W130" s="170"/>
    </row>
    <row r="131" ht="38.25" spans="1:23">
      <c r="A131" s="195" t="s">
        <v>665</v>
      </c>
      <c r="B131" s="196" t="s">
        <v>494</v>
      </c>
      <c r="C131" s="197">
        <v>3</v>
      </c>
      <c r="D131" s="197">
        <v>521.93</v>
      </c>
      <c r="E131" s="197">
        <v>1565.79</v>
      </c>
      <c r="F131" s="198">
        <v>0.000587339678462895</v>
      </c>
      <c r="G131" s="199">
        <v>0.988369095913791</v>
      </c>
      <c r="I131" s="170">
        <v>606.75</v>
      </c>
      <c r="J131" s="170">
        <v>397.32</v>
      </c>
      <c r="K131" s="170"/>
      <c r="L131" s="170"/>
      <c r="M131" s="170"/>
      <c r="N131" s="170"/>
      <c r="O131" s="170"/>
      <c r="P131" s="170"/>
      <c r="Q131" s="170"/>
      <c r="R131" s="170"/>
      <c r="S131" s="170"/>
      <c r="T131" s="170"/>
      <c r="U131" s="170"/>
      <c r="V131" s="170"/>
      <c r="W131" s="170"/>
    </row>
    <row r="132" ht="38.25" spans="1:23">
      <c r="A132" s="195" t="s">
        <v>689</v>
      </c>
      <c r="B132" s="196" t="s">
        <v>494</v>
      </c>
      <c r="C132" s="197">
        <v>1</v>
      </c>
      <c r="D132" s="197">
        <v>892</v>
      </c>
      <c r="E132" s="197">
        <v>892</v>
      </c>
      <c r="F132" s="198">
        <v>0.000334595950407719</v>
      </c>
      <c r="G132" s="199">
        <v>0.994344484446083</v>
      </c>
      <c r="I132" s="170">
        <v>1010.24</v>
      </c>
      <c r="J132" s="170">
        <v>788.66</v>
      </c>
      <c r="K132" s="170">
        <v>819.32</v>
      </c>
      <c r="L132" s="170"/>
      <c r="M132" s="170"/>
      <c r="N132" s="170"/>
      <c r="O132" s="170"/>
      <c r="P132" s="170"/>
      <c r="Q132" s="170"/>
      <c r="R132" s="170"/>
      <c r="S132" s="170"/>
      <c r="T132" s="170"/>
      <c r="U132" s="170"/>
      <c r="V132" s="170"/>
      <c r="W132" s="170"/>
    </row>
    <row r="133" ht="38.25" spans="1:23">
      <c r="A133" s="195" t="s">
        <v>677</v>
      </c>
      <c r="B133" s="196" t="s">
        <v>494</v>
      </c>
      <c r="C133" s="197">
        <v>2</v>
      </c>
      <c r="D133" s="197">
        <v>326.45</v>
      </c>
      <c r="E133" s="197">
        <v>652.9</v>
      </c>
      <c r="F133" s="198">
        <v>0.000244907730965471</v>
      </c>
      <c r="G133" s="199">
        <v>0.99658694125421</v>
      </c>
      <c r="I133" s="170">
        <v>375.21</v>
      </c>
      <c r="J133" s="170">
        <v>298.5</v>
      </c>
      <c r="K133" s="170">
        <v>315.72</v>
      </c>
      <c r="L133" s="170"/>
      <c r="M133" s="170"/>
      <c r="N133" s="170"/>
      <c r="O133" s="170"/>
      <c r="P133" s="170"/>
      <c r="Q133" s="170"/>
      <c r="R133" s="170"/>
      <c r="S133" s="170"/>
      <c r="T133" s="170"/>
      <c r="U133" s="170"/>
      <c r="V133" s="170"/>
      <c r="W133" s="170"/>
    </row>
    <row r="134" s="136" customFormat="1" spans="1:23">
      <c r="I134" s="165"/>
      <c r="J134" s="165"/>
      <c r="K134" s="165"/>
      <c r="L134" s="165"/>
      <c r="M134" s="165"/>
      <c r="N134" s="165"/>
      <c r="O134" s="165"/>
      <c r="P134" s="165"/>
      <c r="Q134" s="165"/>
      <c r="R134" s="165"/>
      <c r="S134" s="165"/>
      <c r="T134" s="165"/>
      <c r="U134" s="165"/>
      <c r="V134" s="165"/>
      <c r="W134" s="165"/>
    </row>
    <row r="135" s="136" customFormat="1" spans="1:23">
      <c r="I135" s="165"/>
      <c r="J135" s="165"/>
      <c r="K135" s="165"/>
      <c r="L135" s="165"/>
      <c r="M135" s="165"/>
      <c r="N135" s="165"/>
      <c r="O135" s="165"/>
      <c r="P135" s="165"/>
      <c r="Q135" s="165"/>
      <c r="R135" s="165"/>
      <c r="S135" s="165"/>
      <c r="T135" s="165"/>
      <c r="U135" s="165"/>
      <c r="V135" s="165"/>
      <c r="W135" s="165"/>
    </row>
    <row r="136" s="136" customFormat="1" spans="1:23">
      <c r="I136" s="165"/>
      <c r="J136" s="165"/>
      <c r="K136" s="165"/>
      <c r="L136" s="165"/>
      <c r="M136" s="165"/>
      <c r="N136" s="165"/>
      <c r="O136" s="165"/>
      <c r="P136" s="165"/>
      <c r="Q136" s="165"/>
      <c r="R136" s="165"/>
      <c r="S136" s="165"/>
      <c r="T136" s="165"/>
      <c r="U136" s="165"/>
      <c r="V136" s="165"/>
      <c r="W136" s="165"/>
    </row>
    <row r="137" s="136" customFormat="1" spans="1:23">
      <c r="I137" s="165"/>
      <c r="J137" s="165"/>
      <c r="K137" s="165"/>
      <c r="L137" s="165"/>
      <c r="M137" s="165"/>
      <c r="N137" s="165"/>
      <c r="O137" s="165"/>
      <c r="P137" s="165"/>
      <c r="Q137" s="165"/>
      <c r="R137" s="165"/>
      <c r="S137" s="165"/>
      <c r="T137" s="165"/>
      <c r="U137" s="165"/>
      <c r="V137" s="165"/>
      <c r="W137" s="165"/>
    </row>
    <row r="138" s="136" customFormat="1" spans="1:23">
      <c r="I138" s="165"/>
      <c r="J138" s="165"/>
      <c r="K138" s="165"/>
      <c r="L138" s="165"/>
      <c r="M138" s="165"/>
      <c r="N138" s="165"/>
      <c r="O138" s="165"/>
      <c r="P138" s="165"/>
      <c r="Q138" s="165"/>
      <c r="R138" s="165"/>
      <c r="S138" s="165"/>
      <c r="T138" s="165"/>
      <c r="U138" s="165"/>
      <c r="V138" s="165"/>
      <c r="W138" s="165"/>
    </row>
    <row r="139" s="136" customFormat="1" spans="1:23">
      <c r="I139" s="165"/>
      <c r="J139" s="165"/>
      <c r="K139" s="165"/>
      <c r="L139" s="165"/>
      <c r="M139" s="165"/>
      <c r="N139" s="165"/>
      <c r="O139" s="165"/>
      <c r="P139" s="165"/>
      <c r="Q139" s="165"/>
      <c r="R139" s="165"/>
      <c r="S139" s="165"/>
      <c r="T139" s="165"/>
      <c r="U139" s="165"/>
      <c r="V139" s="165"/>
      <c r="W139" s="165"/>
    </row>
    <row r="140" s="136" customFormat="1" spans="1:23">
      <c r="I140" s="168"/>
      <c r="J140" s="168"/>
      <c r="K140" s="168"/>
      <c r="L140" s="168"/>
      <c r="M140" s="168"/>
      <c r="N140" s="168"/>
      <c r="O140" s="168"/>
      <c r="P140" s="168"/>
      <c r="Q140" s="168"/>
      <c r="R140" s="168"/>
      <c r="S140" s="168"/>
      <c r="T140" s="168"/>
      <c r="U140" s="168"/>
      <c r="V140" s="168"/>
      <c r="W140" s="168"/>
    </row>
    <row r="141" spans="1:23">
      <c r="A141" s="169" t="s">
        <v>27</v>
      </c>
      <c r="B141" s="82" t="s">
        <v>135</v>
      </c>
      <c r="C141" s="82" t="s">
        <v>981</v>
      </c>
      <c r="D141" s="82" t="s">
        <v>137</v>
      </c>
      <c r="E141" s="82" t="s">
        <v>982</v>
      </c>
      <c r="F141" s="82" t="s">
        <v>278</v>
      </c>
      <c r="G141" s="82" t="s">
        <v>983</v>
      </c>
      <c r="I141" s="170"/>
      <c r="J141" s="170"/>
      <c r="K141" s="170"/>
      <c r="L141" s="170"/>
      <c r="M141" s="170"/>
      <c r="N141" s="170"/>
      <c r="O141" s="170"/>
      <c r="P141" s="170"/>
      <c r="Q141" s="170"/>
      <c r="R141" s="170"/>
      <c r="S141" s="170"/>
      <c r="T141" s="170"/>
      <c r="U141" s="170"/>
      <c r="V141" s="170"/>
      <c r="W141" s="170"/>
    </row>
    <row r="142" ht="38.25" spans="1:23">
      <c r="A142" s="200" t="s">
        <v>1118</v>
      </c>
      <c r="B142" s="201" t="s">
        <v>494</v>
      </c>
      <c r="C142" s="202">
        <v>6</v>
      </c>
      <c r="D142" s="202">
        <v>2658.58</v>
      </c>
      <c r="E142" s="202">
        <v>15951.48</v>
      </c>
      <c r="F142" s="203">
        <v>0.00598352086436067</v>
      </c>
      <c r="G142" s="204">
        <v>0.790155595219264</v>
      </c>
      <c r="I142" s="170"/>
      <c r="J142" s="170"/>
      <c r="K142" s="170"/>
      <c r="L142" s="170"/>
      <c r="M142" s="170"/>
      <c r="N142" s="170"/>
      <c r="O142" s="170"/>
      <c r="P142" s="170"/>
      <c r="Q142" s="170"/>
      <c r="R142" s="170"/>
      <c r="S142" s="170"/>
      <c r="T142" s="170"/>
      <c r="U142" s="170"/>
      <c r="V142" s="170"/>
      <c r="W142" s="170"/>
    </row>
    <row r="143" ht="25.5" spans="1:23">
      <c r="A143" s="200" t="s">
        <v>613</v>
      </c>
      <c r="B143" s="201" t="s">
        <v>494</v>
      </c>
      <c r="C143" s="202">
        <v>5</v>
      </c>
      <c r="D143" s="202">
        <v>204.51</v>
      </c>
      <c r="E143" s="202">
        <v>1022.55</v>
      </c>
      <c r="F143" s="203">
        <v>0.000383566243373781</v>
      </c>
      <c r="G143" s="204">
        <v>0.993294250775825</v>
      </c>
      <c r="I143" s="170"/>
      <c r="J143" s="170"/>
      <c r="K143" s="170"/>
      <c r="L143" s="170"/>
      <c r="M143" s="170"/>
      <c r="N143" s="170"/>
      <c r="O143" s="170"/>
      <c r="P143" s="170"/>
      <c r="Q143" s="170"/>
      <c r="R143" s="170"/>
      <c r="S143" s="170"/>
      <c r="T143" s="170"/>
      <c r="U143" s="170"/>
      <c r="V143" s="170"/>
      <c r="W143" s="170"/>
    </row>
    <row r="144" s="136" customFormat="1" spans="1:23">
      <c r="I144" s="165"/>
      <c r="J144" s="165"/>
      <c r="K144" s="165"/>
      <c r="L144" s="165"/>
      <c r="M144" s="165"/>
      <c r="N144" s="165"/>
      <c r="O144" s="165"/>
      <c r="P144" s="165"/>
      <c r="Q144" s="165"/>
      <c r="R144" s="165"/>
      <c r="S144" s="165"/>
      <c r="T144" s="165"/>
      <c r="U144" s="165"/>
      <c r="V144" s="165"/>
      <c r="W144" s="165"/>
    </row>
    <row r="145" s="136" customFormat="1" spans="1:23">
      <c r="I145" s="165"/>
      <c r="J145" s="165"/>
      <c r="K145" s="165"/>
      <c r="L145" s="165"/>
      <c r="M145" s="165"/>
      <c r="N145" s="165"/>
      <c r="O145" s="165"/>
      <c r="P145" s="165"/>
      <c r="Q145" s="165"/>
      <c r="R145" s="165"/>
      <c r="S145" s="165"/>
      <c r="T145" s="165"/>
      <c r="U145" s="165"/>
      <c r="V145" s="165"/>
      <c r="W145" s="165"/>
    </row>
    <row r="146" s="136" customFormat="1" spans="1:23">
      <c r="I146" s="165"/>
      <c r="J146" s="165"/>
      <c r="K146" s="165"/>
      <c r="L146" s="165"/>
      <c r="M146" s="165"/>
      <c r="N146" s="165"/>
      <c r="O146" s="165"/>
      <c r="P146" s="165"/>
      <c r="Q146" s="165"/>
      <c r="R146" s="165"/>
      <c r="S146" s="165"/>
      <c r="T146" s="165"/>
      <c r="U146" s="165"/>
      <c r="V146" s="165"/>
      <c r="W146" s="165"/>
    </row>
    <row r="147" s="136" customFormat="1" spans="1:23">
      <c r="I147" s="165"/>
      <c r="J147" s="165"/>
      <c r="K147" s="165"/>
      <c r="L147" s="165"/>
      <c r="M147" s="165"/>
      <c r="N147" s="165"/>
      <c r="O147" s="165"/>
      <c r="P147" s="165"/>
      <c r="Q147" s="165"/>
      <c r="R147" s="165"/>
      <c r="S147" s="165"/>
      <c r="T147" s="165"/>
      <c r="U147" s="165"/>
      <c r="V147" s="165"/>
      <c r="W147" s="165"/>
    </row>
    <row r="148" s="136" customFormat="1" spans="1:23">
      <c r="I148" s="165"/>
      <c r="J148" s="165"/>
      <c r="K148" s="165"/>
      <c r="L148" s="165"/>
      <c r="M148" s="165"/>
      <c r="N148" s="165"/>
      <c r="O148" s="165"/>
      <c r="P148" s="165"/>
      <c r="Q148" s="165"/>
      <c r="R148" s="165"/>
      <c r="S148" s="165"/>
      <c r="T148" s="165"/>
      <c r="U148" s="165"/>
      <c r="V148" s="165"/>
      <c r="W148" s="165"/>
    </row>
    <row r="149" s="136" customFormat="1" spans="1:23">
      <c r="I149" s="165"/>
      <c r="J149" s="165"/>
      <c r="K149" s="165"/>
      <c r="L149" s="165"/>
      <c r="M149" s="165"/>
      <c r="N149" s="165"/>
      <c r="O149" s="165"/>
      <c r="P149" s="165"/>
      <c r="Q149" s="165"/>
      <c r="R149" s="165"/>
      <c r="S149" s="165"/>
      <c r="T149" s="165"/>
      <c r="U149" s="165"/>
      <c r="V149" s="165"/>
      <c r="W149" s="165"/>
    </row>
    <row r="150" s="136" customFormat="1" spans="1:23">
      <c r="I150" s="168" t="s">
        <v>1978</v>
      </c>
      <c r="J150" s="168" t="s">
        <v>1979</v>
      </c>
      <c r="K150" s="168"/>
      <c r="L150" s="168"/>
      <c r="M150" s="168"/>
      <c r="N150" s="168"/>
      <c r="O150" s="168"/>
      <c r="P150" s="168"/>
      <c r="Q150" s="168"/>
      <c r="R150" s="168"/>
      <c r="S150" s="168"/>
      <c r="T150" s="168"/>
      <c r="U150" s="168"/>
      <c r="V150" s="168"/>
      <c r="W150" s="168"/>
    </row>
    <row r="151" spans="1:23">
      <c r="A151" s="169" t="s">
        <v>27</v>
      </c>
      <c r="B151" s="82" t="s">
        <v>135</v>
      </c>
      <c r="C151" s="82" t="s">
        <v>981</v>
      </c>
      <c r="D151" s="82" t="s">
        <v>137</v>
      </c>
      <c r="E151" s="82" t="s">
        <v>982</v>
      </c>
      <c r="F151" s="82" t="s">
        <v>278</v>
      </c>
      <c r="G151" s="82" t="s">
        <v>983</v>
      </c>
      <c r="I151" s="170" t="s">
        <v>1980</v>
      </c>
      <c r="J151" s="170" t="s">
        <v>1981</v>
      </c>
      <c r="K151" s="170"/>
      <c r="L151" s="170"/>
      <c r="M151" s="170"/>
      <c r="N151" s="170"/>
      <c r="O151" s="170"/>
      <c r="P151" s="170"/>
      <c r="Q151" s="170"/>
      <c r="R151" s="170"/>
      <c r="S151" s="170"/>
      <c r="T151" s="170"/>
      <c r="U151" s="170"/>
      <c r="V151" s="170"/>
      <c r="W151" s="170"/>
    </row>
    <row r="152" ht="38.25" spans="1:23">
      <c r="A152" s="205" t="s">
        <v>727</v>
      </c>
      <c r="B152" s="206" t="s">
        <v>494</v>
      </c>
      <c r="C152" s="207">
        <v>1</v>
      </c>
      <c r="D152" s="207">
        <v>12658</v>
      </c>
      <c r="E152" s="207">
        <v>12658</v>
      </c>
      <c r="F152" s="208">
        <v>0.00474811159222075</v>
      </c>
      <c r="G152" s="209">
        <v>0.8220802838526</v>
      </c>
      <c r="I152" s="170"/>
      <c r="J152" s="170"/>
      <c r="K152" s="170"/>
      <c r="L152" s="170"/>
      <c r="M152" s="170"/>
      <c r="N152" s="170"/>
      <c r="O152" s="170"/>
      <c r="P152" s="170"/>
      <c r="Q152" s="170"/>
      <c r="R152" s="170"/>
      <c r="S152" s="170"/>
      <c r="T152" s="170"/>
      <c r="U152" s="170"/>
      <c r="V152" s="170"/>
      <c r="W152" s="170"/>
    </row>
    <row r="153" s="136" customFormat="1" spans="1:23">
      <c r="I153" s="165"/>
      <c r="J153" s="165"/>
      <c r="K153" s="165"/>
      <c r="L153" s="165"/>
      <c r="M153" s="165"/>
      <c r="N153" s="165"/>
      <c r="O153" s="165"/>
      <c r="P153" s="165"/>
      <c r="Q153" s="165"/>
      <c r="R153" s="165"/>
      <c r="S153" s="165"/>
      <c r="T153" s="165"/>
      <c r="U153" s="165"/>
      <c r="V153" s="165"/>
      <c r="W153" s="165"/>
    </row>
    <row r="154" s="136" customFormat="1" spans="1:23">
      <c r="I154" s="165"/>
      <c r="J154" s="165"/>
      <c r="K154" s="165"/>
      <c r="L154" s="165"/>
      <c r="M154" s="165"/>
      <c r="N154" s="165"/>
      <c r="O154" s="165"/>
      <c r="P154" s="165"/>
      <c r="Q154" s="165"/>
      <c r="R154" s="165"/>
      <c r="S154" s="165"/>
      <c r="T154" s="165"/>
      <c r="U154" s="165"/>
      <c r="V154" s="165"/>
      <c r="W154" s="165"/>
    </row>
    <row r="155" s="136" customFormat="1" spans="1:23">
      <c r="I155" s="165"/>
      <c r="J155" s="165"/>
      <c r="K155" s="165"/>
      <c r="L155" s="165"/>
      <c r="M155" s="165"/>
      <c r="N155" s="165"/>
      <c r="O155" s="165"/>
      <c r="P155" s="165"/>
      <c r="Q155" s="165"/>
      <c r="R155" s="165"/>
      <c r="S155" s="165"/>
      <c r="T155" s="165"/>
      <c r="U155" s="165"/>
      <c r="V155" s="165"/>
      <c r="W155" s="165"/>
    </row>
    <row r="156" s="136" customFormat="1" spans="1:23">
      <c r="I156" s="165"/>
      <c r="J156" s="165"/>
      <c r="K156" s="165"/>
      <c r="L156" s="165"/>
      <c r="M156" s="165"/>
      <c r="N156" s="165"/>
      <c r="O156" s="165"/>
      <c r="P156" s="165"/>
      <c r="Q156" s="165"/>
      <c r="R156" s="165"/>
      <c r="S156" s="165"/>
      <c r="T156" s="165"/>
      <c r="U156" s="165"/>
      <c r="V156" s="165"/>
      <c r="W156" s="165"/>
    </row>
    <row r="157" s="136" customFormat="1" spans="1:23">
      <c r="I157" s="165"/>
      <c r="J157" s="165"/>
      <c r="K157" s="165"/>
      <c r="L157" s="165"/>
      <c r="M157" s="165"/>
      <c r="N157" s="165"/>
      <c r="O157" s="165"/>
      <c r="P157" s="165"/>
      <c r="Q157" s="165"/>
      <c r="R157" s="165"/>
      <c r="S157" s="165"/>
      <c r="T157" s="165"/>
      <c r="U157" s="165"/>
      <c r="V157" s="165"/>
      <c r="W157" s="165"/>
    </row>
    <row r="158" s="136" customFormat="1" spans="1:23">
      <c r="I158" s="165"/>
      <c r="J158" s="165"/>
      <c r="K158" s="165"/>
      <c r="L158" s="165"/>
      <c r="M158" s="165"/>
      <c r="N158" s="165"/>
      <c r="O158" s="165"/>
      <c r="P158" s="165"/>
      <c r="Q158" s="165"/>
      <c r="R158" s="165"/>
      <c r="S158" s="165"/>
      <c r="T158" s="165"/>
      <c r="U158" s="165"/>
      <c r="V158" s="165"/>
      <c r="W158" s="165"/>
    </row>
    <row r="159" s="136" customFormat="1" spans="1:23">
      <c r="I159" s="168" t="s">
        <v>1982</v>
      </c>
      <c r="J159" s="168" t="s">
        <v>1983</v>
      </c>
      <c r="K159" s="168"/>
      <c r="L159" s="168"/>
      <c r="M159" s="168"/>
      <c r="N159" s="168"/>
      <c r="O159" s="168"/>
      <c r="P159" s="168"/>
      <c r="Q159" s="168"/>
      <c r="R159" s="168"/>
      <c r="S159" s="168"/>
      <c r="T159" s="168"/>
      <c r="U159" s="168"/>
      <c r="V159" s="168"/>
      <c r="W159" s="168"/>
    </row>
    <row r="160" spans="1:23">
      <c r="A160" s="169" t="s">
        <v>27</v>
      </c>
      <c r="B160" s="82" t="s">
        <v>135</v>
      </c>
      <c r="C160" s="82" t="s">
        <v>981</v>
      </c>
      <c r="D160" s="82" t="s">
        <v>137</v>
      </c>
      <c r="E160" s="82" t="s">
        <v>982</v>
      </c>
      <c r="F160" s="82" t="s">
        <v>278</v>
      </c>
      <c r="G160" s="82" t="s">
        <v>983</v>
      </c>
      <c r="I160" s="170" t="s">
        <v>1984</v>
      </c>
      <c r="J160" s="170"/>
      <c r="K160" s="170"/>
      <c r="L160" s="170"/>
      <c r="M160" s="170"/>
      <c r="N160" s="170"/>
      <c r="O160" s="170"/>
      <c r="P160" s="170"/>
      <c r="Q160" s="170"/>
      <c r="R160" s="170"/>
      <c r="S160" s="170"/>
      <c r="T160" s="170"/>
      <c r="U160" s="170"/>
      <c r="V160" s="170"/>
      <c r="W160" s="170"/>
    </row>
    <row r="161" ht="38.25" spans="1:23">
      <c r="A161" s="210" t="s">
        <v>967</v>
      </c>
      <c r="B161" s="211" t="s">
        <v>598</v>
      </c>
      <c r="C161" s="212">
        <v>81</v>
      </c>
      <c r="D161" s="212">
        <v>1171.87</v>
      </c>
      <c r="E161" s="212">
        <v>94921.47</v>
      </c>
      <c r="F161" s="213">
        <v>0.0356057617362643</v>
      </c>
      <c r="G161" s="214">
        <v>0.388009306238704</v>
      </c>
      <c r="I161" s="170"/>
      <c r="J161" s="170"/>
      <c r="K161" s="170"/>
      <c r="L161" s="170"/>
      <c r="M161" s="170"/>
      <c r="N161" s="170"/>
      <c r="O161" s="170"/>
      <c r="P161" s="170"/>
      <c r="Q161" s="170"/>
      <c r="R161" s="170"/>
      <c r="S161" s="170"/>
      <c r="T161" s="170"/>
      <c r="U161" s="170"/>
      <c r="V161" s="170"/>
      <c r="W161" s="170"/>
    </row>
    <row r="162" ht="38.25" spans="1:23">
      <c r="A162" s="210" t="s">
        <v>969</v>
      </c>
      <c r="B162" s="211" t="s">
        <v>598</v>
      </c>
      <c r="C162" s="212">
        <v>36</v>
      </c>
      <c r="D162" s="212">
        <v>1875</v>
      </c>
      <c r="E162" s="212">
        <v>67500</v>
      </c>
      <c r="F162" s="213">
        <v>0.0253197608212119</v>
      </c>
      <c r="G162" s="214">
        <v>0.475928383352853</v>
      </c>
      <c r="I162" s="170"/>
      <c r="J162" s="170"/>
      <c r="K162" s="170"/>
      <c r="L162" s="170"/>
      <c r="M162" s="170"/>
      <c r="N162" s="170"/>
      <c r="O162" s="170"/>
      <c r="P162" s="170"/>
      <c r="Q162" s="170"/>
      <c r="R162" s="170"/>
      <c r="S162" s="170"/>
      <c r="T162" s="170"/>
      <c r="U162" s="170"/>
      <c r="V162" s="170"/>
      <c r="W162" s="170"/>
    </row>
    <row r="163" ht="38.25" spans="1:23">
      <c r="A163" s="210" t="s">
        <v>965</v>
      </c>
      <c r="B163" s="211" t="s">
        <v>598</v>
      </c>
      <c r="C163" s="212">
        <v>45</v>
      </c>
      <c r="D163" s="212">
        <v>1500</v>
      </c>
      <c r="E163" s="212">
        <v>67500</v>
      </c>
      <c r="F163" s="213">
        <v>0.0253197608212119</v>
      </c>
      <c r="G163" s="214">
        <v>0.501248144174064</v>
      </c>
      <c r="I163" s="170"/>
      <c r="J163" s="170"/>
      <c r="K163" s="170"/>
      <c r="L163" s="170"/>
      <c r="M163" s="170"/>
      <c r="N163" s="170"/>
      <c r="O163" s="170"/>
      <c r="P163" s="170"/>
      <c r="Q163" s="170"/>
      <c r="R163" s="170"/>
      <c r="S163" s="170"/>
      <c r="T163" s="170"/>
      <c r="U163" s="170"/>
      <c r="V163" s="170"/>
      <c r="W163" s="170"/>
    </row>
    <row r="164" ht="25.5" spans="1:23">
      <c r="A164" s="210" t="s">
        <v>972</v>
      </c>
      <c r="B164" s="211" t="s">
        <v>973</v>
      </c>
      <c r="C164" s="212">
        <v>18</v>
      </c>
      <c r="D164" s="212">
        <v>1316.7</v>
      </c>
      <c r="E164" s="212">
        <v>23700.6</v>
      </c>
      <c r="F164" s="213">
        <v>0.00889027441954393</v>
      </c>
      <c r="G164" s="214">
        <v>0.731263136923461</v>
      </c>
      <c r="I164" s="170"/>
      <c r="J164" s="170"/>
      <c r="K164" s="170"/>
      <c r="L164" s="170"/>
      <c r="M164" s="170"/>
      <c r="N164" s="170"/>
      <c r="O164" s="170"/>
      <c r="P164" s="170"/>
      <c r="Q164" s="170"/>
      <c r="R164" s="170"/>
      <c r="S164" s="170"/>
      <c r="T164" s="170"/>
      <c r="U164" s="170"/>
      <c r="V164" s="170"/>
      <c r="W164" s="170"/>
    </row>
    <row r="165" s="136" customFormat="1" spans="1:23">
      <c r="I165" s="165"/>
      <c r="J165" s="165"/>
      <c r="K165" s="165"/>
      <c r="L165" s="165"/>
      <c r="M165" s="165"/>
      <c r="N165" s="165"/>
      <c r="O165" s="165"/>
      <c r="P165" s="165"/>
      <c r="Q165" s="165"/>
      <c r="R165" s="165"/>
      <c r="S165" s="165"/>
      <c r="T165" s="165"/>
      <c r="U165" s="165"/>
      <c r="V165" s="165"/>
      <c r="W165" s="165"/>
    </row>
    <row r="166" s="136" customFormat="1" spans="1:23">
      <c r="I166" s="165"/>
      <c r="J166" s="165"/>
      <c r="K166" s="165"/>
      <c r="L166" s="165"/>
      <c r="M166" s="165"/>
      <c r="N166" s="165"/>
      <c r="O166" s="165"/>
      <c r="P166" s="165"/>
      <c r="Q166" s="165"/>
      <c r="R166" s="165"/>
      <c r="S166" s="165"/>
      <c r="T166" s="165"/>
      <c r="U166" s="165"/>
      <c r="V166" s="165"/>
      <c r="W166" s="165"/>
    </row>
    <row r="167" s="136" customFormat="1" spans="1:23">
      <c r="I167" s="165"/>
      <c r="J167" s="165"/>
      <c r="K167" s="165"/>
      <c r="L167" s="165"/>
      <c r="M167" s="165"/>
      <c r="N167" s="165"/>
      <c r="O167" s="165"/>
      <c r="P167" s="165"/>
      <c r="Q167" s="165"/>
      <c r="R167" s="165"/>
      <c r="S167" s="165"/>
      <c r="T167" s="165"/>
      <c r="U167" s="165"/>
      <c r="V167" s="165"/>
      <c r="W167" s="165"/>
    </row>
    <row r="168" s="136" customFormat="1" spans="1:23">
      <c r="I168" s="165"/>
      <c r="J168" s="165"/>
      <c r="K168" s="165"/>
      <c r="L168" s="165"/>
      <c r="M168" s="165"/>
      <c r="N168" s="165"/>
      <c r="O168" s="165"/>
      <c r="P168" s="165"/>
      <c r="Q168" s="165"/>
      <c r="R168" s="165"/>
      <c r="S168" s="165"/>
      <c r="T168" s="165"/>
      <c r="U168" s="165"/>
      <c r="V168" s="165"/>
      <c r="W168" s="165"/>
    </row>
    <row r="169" s="136" customFormat="1" spans="1:23">
      <c r="I169" s="165"/>
      <c r="J169" s="165"/>
      <c r="K169" s="165"/>
      <c r="L169" s="165"/>
      <c r="M169" s="165"/>
      <c r="N169" s="165"/>
      <c r="O169" s="165"/>
      <c r="P169" s="165"/>
      <c r="Q169" s="165"/>
      <c r="R169" s="165"/>
      <c r="S169" s="165"/>
      <c r="T169" s="165"/>
      <c r="U169" s="165"/>
      <c r="V169" s="165"/>
      <c r="W169" s="165"/>
    </row>
    <row r="170" s="136" customFormat="1" spans="1:23">
      <c r="I170" s="165"/>
      <c r="J170" s="165"/>
      <c r="K170" s="165"/>
      <c r="L170" s="165"/>
      <c r="M170" s="165"/>
      <c r="N170" s="165"/>
      <c r="O170" s="165"/>
      <c r="P170" s="165"/>
      <c r="Q170" s="165"/>
      <c r="R170" s="165"/>
      <c r="S170" s="165"/>
      <c r="T170" s="165"/>
      <c r="U170" s="165"/>
      <c r="V170" s="165"/>
      <c r="W170" s="165"/>
    </row>
    <row r="171" s="136" customFormat="1" spans="1:23">
      <c r="I171" s="168" t="s">
        <v>1932</v>
      </c>
      <c r="J171" s="168" t="s">
        <v>1985</v>
      </c>
      <c r="K171" s="168"/>
      <c r="L171" s="168"/>
      <c r="M171" s="168"/>
      <c r="N171" s="168"/>
      <c r="O171" s="168"/>
      <c r="P171" s="168"/>
      <c r="Q171" s="168"/>
      <c r="R171" s="168"/>
      <c r="S171" s="168"/>
      <c r="T171" s="168"/>
      <c r="U171" s="168"/>
      <c r="V171" s="168"/>
      <c r="W171" s="168"/>
    </row>
    <row r="172" spans="1:23">
      <c r="A172" s="169" t="s">
        <v>27</v>
      </c>
      <c r="B172" s="82" t="s">
        <v>135</v>
      </c>
      <c r="C172" s="82" t="s">
        <v>981</v>
      </c>
      <c r="D172" s="82" t="s">
        <v>137</v>
      </c>
      <c r="E172" s="82" t="s">
        <v>982</v>
      </c>
      <c r="F172" s="82" t="s">
        <v>278</v>
      </c>
      <c r="G172" s="82" t="s">
        <v>983</v>
      </c>
      <c r="I172" s="170" t="s">
        <v>1936</v>
      </c>
      <c r="J172" s="170" t="s">
        <v>1986</v>
      </c>
      <c r="K172" s="170" t="s">
        <v>1987</v>
      </c>
      <c r="L172" s="170"/>
      <c r="M172" s="170"/>
      <c r="N172" s="170"/>
      <c r="O172" s="170"/>
      <c r="P172" s="170"/>
      <c r="Q172" s="170"/>
      <c r="R172" s="170"/>
      <c r="S172" s="170"/>
      <c r="T172" s="170"/>
      <c r="U172" s="170"/>
      <c r="V172" s="170"/>
      <c r="W172" s="170"/>
    </row>
    <row r="173" ht="38.25" spans="1:23">
      <c r="A173" s="215" t="s">
        <v>602</v>
      </c>
      <c r="B173" s="216" t="s">
        <v>601</v>
      </c>
      <c r="C173" s="217">
        <v>5430.58</v>
      </c>
      <c r="D173" s="217">
        <v>17.13</v>
      </c>
      <c r="E173" s="217">
        <v>93025.84</v>
      </c>
      <c r="F173" s="218">
        <v>0.0348946965776641</v>
      </c>
      <c r="G173" s="219">
        <v>0.422904002816368</v>
      </c>
      <c r="I173" s="170"/>
      <c r="J173" s="170"/>
      <c r="K173" s="170"/>
      <c r="L173" s="170"/>
      <c r="M173" s="170"/>
      <c r="N173" s="170"/>
      <c r="O173" s="170"/>
      <c r="P173" s="170"/>
      <c r="Q173" s="170"/>
      <c r="R173" s="170"/>
      <c r="S173" s="170"/>
      <c r="T173" s="170"/>
      <c r="U173" s="170"/>
      <c r="V173" s="170"/>
      <c r="W173" s="170"/>
    </row>
    <row r="174" ht="38.25" spans="1:23">
      <c r="A174" s="215" t="s">
        <v>600</v>
      </c>
      <c r="B174" s="216" t="s">
        <v>601</v>
      </c>
      <c r="C174" s="217">
        <v>23.25</v>
      </c>
      <c r="D174" s="217">
        <v>28.42</v>
      </c>
      <c r="E174" s="217">
        <v>660.77</v>
      </c>
      <c r="F174" s="218">
        <v>0.00024785982752344</v>
      </c>
      <c r="G174" s="219">
        <v>0.996342033523245</v>
      </c>
      <c r="I174" s="170"/>
      <c r="J174" s="170"/>
      <c r="K174" s="170"/>
      <c r="L174" s="170"/>
      <c r="M174" s="170"/>
      <c r="N174" s="170"/>
      <c r="O174" s="170"/>
      <c r="P174" s="170"/>
      <c r="Q174" s="170"/>
      <c r="R174" s="170"/>
      <c r="S174" s="170"/>
      <c r="T174" s="170"/>
      <c r="U174" s="170"/>
      <c r="V174" s="170"/>
      <c r="W174" s="170"/>
    </row>
    <row r="175" s="136" customFormat="1" spans="1:23">
      <c r="I175" s="165"/>
      <c r="J175" s="165"/>
      <c r="K175" s="165"/>
      <c r="L175" s="165"/>
      <c r="M175" s="165"/>
      <c r="N175" s="165"/>
      <c r="O175" s="165"/>
      <c r="P175" s="165"/>
      <c r="Q175" s="165"/>
      <c r="R175" s="165"/>
      <c r="S175" s="165"/>
      <c r="T175" s="165"/>
      <c r="U175" s="165"/>
      <c r="V175" s="165"/>
      <c r="W175" s="165"/>
    </row>
    <row r="176" s="136" customFormat="1" spans="1:23">
      <c r="I176" s="165"/>
      <c r="J176" s="165"/>
      <c r="K176" s="165"/>
      <c r="L176" s="165"/>
      <c r="M176" s="165"/>
      <c r="N176" s="165"/>
      <c r="O176" s="165"/>
      <c r="P176" s="165"/>
      <c r="Q176" s="165"/>
      <c r="R176" s="165"/>
      <c r="S176" s="165"/>
      <c r="T176" s="165"/>
      <c r="U176" s="165"/>
      <c r="V176" s="165"/>
      <c r="W176" s="165"/>
    </row>
    <row r="177" s="136" customFormat="1" spans="1:23">
      <c r="I177" s="165"/>
      <c r="J177" s="165"/>
      <c r="K177" s="165"/>
      <c r="L177" s="165"/>
      <c r="M177" s="165"/>
      <c r="N177" s="165"/>
      <c r="O177" s="165"/>
      <c r="P177" s="165"/>
      <c r="Q177" s="165"/>
      <c r="R177" s="165"/>
      <c r="S177" s="165"/>
      <c r="T177" s="165"/>
      <c r="U177" s="165"/>
      <c r="V177" s="165"/>
      <c r="W177" s="165"/>
    </row>
    <row r="178" s="136" customFormat="1" spans="1:23">
      <c r="I178" s="165"/>
      <c r="J178" s="165"/>
      <c r="K178" s="165"/>
      <c r="L178" s="165"/>
      <c r="M178" s="165"/>
      <c r="N178" s="165"/>
      <c r="O178" s="165"/>
      <c r="P178" s="165"/>
      <c r="Q178" s="165"/>
      <c r="R178" s="165"/>
      <c r="S178" s="165"/>
      <c r="T178" s="165"/>
      <c r="U178" s="165"/>
      <c r="V178" s="165"/>
      <c r="W178" s="165"/>
    </row>
    <row r="179" s="136" customFormat="1" spans="1:23">
      <c r="I179" s="165"/>
      <c r="J179" s="165"/>
      <c r="K179" s="165"/>
      <c r="L179" s="165"/>
      <c r="M179" s="165"/>
      <c r="N179" s="165"/>
      <c r="O179" s="165"/>
      <c r="P179" s="165"/>
      <c r="Q179" s="165"/>
      <c r="R179" s="165"/>
      <c r="S179" s="165"/>
      <c r="T179" s="165"/>
      <c r="U179" s="165"/>
      <c r="V179" s="165"/>
      <c r="W179" s="165"/>
    </row>
    <row r="180" s="136" customFormat="1" spans="1:23">
      <c r="I180" s="165"/>
      <c r="J180" s="165"/>
      <c r="K180" s="165"/>
      <c r="L180" s="165"/>
      <c r="M180" s="165"/>
      <c r="N180" s="165"/>
      <c r="O180" s="165"/>
      <c r="P180" s="165"/>
      <c r="Q180" s="165"/>
      <c r="R180" s="165"/>
      <c r="S180" s="165"/>
      <c r="T180" s="165"/>
      <c r="U180" s="165"/>
      <c r="V180" s="165"/>
      <c r="W180" s="165"/>
    </row>
    <row r="181" s="136" customFormat="1" spans="1:23">
      <c r="I181" s="168" t="s">
        <v>1988</v>
      </c>
      <c r="J181" s="168" t="s">
        <v>1989</v>
      </c>
      <c r="K181" s="168"/>
      <c r="L181" s="168"/>
      <c r="M181" s="168"/>
      <c r="N181" s="168"/>
      <c r="O181" s="168"/>
      <c r="P181" s="168"/>
      <c r="Q181" s="168"/>
      <c r="R181" s="168"/>
      <c r="S181" s="168"/>
      <c r="T181" s="168"/>
      <c r="U181" s="168"/>
      <c r="V181" s="168"/>
      <c r="W181" s="168"/>
    </row>
    <row r="182" spans="1:23">
      <c r="A182" s="169" t="s">
        <v>27</v>
      </c>
      <c r="B182" s="82" t="s">
        <v>135</v>
      </c>
      <c r="C182" s="82" t="s">
        <v>981</v>
      </c>
      <c r="D182" s="82" t="s">
        <v>137</v>
      </c>
      <c r="E182" s="82" t="s">
        <v>982</v>
      </c>
      <c r="F182" s="82" t="s">
        <v>278</v>
      </c>
      <c r="G182" s="82" t="s">
        <v>983</v>
      </c>
      <c r="I182" s="170" t="s">
        <v>1990</v>
      </c>
      <c r="J182" s="170"/>
      <c r="K182" s="170"/>
      <c r="L182" s="170"/>
      <c r="M182" s="170"/>
      <c r="N182" s="170"/>
      <c r="O182" s="170"/>
      <c r="P182" s="170"/>
      <c r="Q182" s="170"/>
      <c r="R182" s="170"/>
      <c r="S182" s="170"/>
      <c r="T182" s="170"/>
      <c r="U182" s="170"/>
      <c r="V182" s="170"/>
      <c r="W182" s="170"/>
    </row>
    <row r="183" ht="38.25" spans="1:23">
      <c r="A183" s="220" t="s">
        <v>1035</v>
      </c>
      <c r="B183" s="221" t="s">
        <v>112</v>
      </c>
      <c r="C183" s="222">
        <v>2204.042678</v>
      </c>
      <c r="D183" s="222">
        <v>26.81</v>
      </c>
      <c r="E183" s="222">
        <v>59090.38</v>
      </c>
      <c r="F183" s="223">
        <v>0.0221652487175485</v>
      </c>
      <c r="G183" s="224">
        <v>0.572331545905762</v>
      </c>
      <c r="I183" s="170">
        <v>11.5</v>
      </c>
      <c r="J183" s="170">
        <v>18.9</v>
      </c>
      <c r="K183" s="170"/>
      <c r="L183" s="170"/>
      <c r="M183" s="170"/>
      <c r="N183" s="170"/>
      <c r="O183" s="170"/>
      <c r="P183" s="170"/>
      <c r="Q183" s="170"/>
      <c r="R183" s="170"/>
      <c r="S183" s="170"/>
      <c r="T183" s="170"/>
      <c r="U183" s="170"/>
      <c r="V183" s="170"/>
      <c r="W183" s="170"/>
    </row>
    <row r="184" ht="25.5" spans="1:23">
      <c r="A184" s="220" t="s">
        <v>1121</v>
      </c>
      <c r="B184" s="221" t="s">
        <v>112</v>
      </c>
      <c r="C184" s="222">
        <v>1967.811825</v>
      </c>
      <c r="D184" s="222">
        <v>7.78</v>
      </c>
      <c r="E184" s="222">
        <v>15309.58</v>
      </c>
      <c r="F184" s="223">
        <v>0.00574273931664014</v>
      </c>
      <c r="G184" s="224">
        <v>0.795898334535904</v>
      </c>
      <c r="I184" s="170">
        <v>7.4</v>
      </c>
      <c r="J184" s="170">
        <v>10.9</v>
      </c>
      <c r="K184" s="170"/>
      <c r="L184" s="170"/>
      <c r="M184" s="170"/>
      <c r="N184" s="170"/>
      <c r="O184" s="170"/>
      <c r="P184" s="170"/>
      <c r="Q184" s="170"/>
      <c r="R184" s="170"/>
      <c r="S184" s="170"/>
      <c r="T184" s="170"/>
      <c r="U184" s="170"/>
      <c r="V184" s="170"/>
      <c r="W184" s="170"/>
    </row>
    <row r="185" ht="25.5" spans="1:23">
      <c r="A185" s="220" t="s">
        <v>1164</v>
      </c>
      <c r="B185" s="221" t="s">
        <v>112</v>
      </c>
      <c r="C185" s="222">
        <v>797.266637</v>
      </c>
      <c r="D185" s="222">
        <v>12.9</v>
      </c>
      <c r="E185" s="222">
        <v>10284.74</v>
      </c>
      <c r="F185" s="223">
        <v>0.00385788380604965</v>
      </c>
      <c r="G185" s="224">
        <v>0.842751902999465</v>
      </c>
      <c r="I185" s="170">
        <v>11.5</v>
      </c>
      <c r="J185" s="170">
        <v>16.9</v>
      </c>
      <c r="K185" s="170"/>
      <c r="L185" s="170"/>
      <c r="M185" s="170"/>
      <c r="N185" s="170"/>
      <c r="O185" s="170"/>
      <c r="P185" s="170"/>
      <c r="Q185" s="170"/>
      <c r="R185" s="170"/>
      <c r="S185" s="170"/>
      <c r="T185" s="170"/>
      <c r="U185" s="170"/>
      <c r="V185" s="170"/>
      <c r="W185" s="170"/>
    </row>
    <row r="186" ht="25.5" spans="1:23">
      <c r="A186" s="220" t="s">
        <v>1194</v>
      </c>
      <c r="B186" s="221" t="s">
        <v>112</v>
      </c>
      <c r="C186" s="222">
        <v>1431.48</v>
      </c>
      <c r="D186" s="222">
        <v>5.55</v>
      </c>
      <c r="E186" s="222">
        <v>7944.71</v>
      </c>
      <c r="F186" s="223">
        <v>0.00298012084435393</v>
      </c>
      <c r="G186" s="224">
        <v>0.883711953908463</v>
      </c>
      <c r="I186" s="170">
        <v>6</v>
      </c>
      <c r="J186" s="170">
        <v>8.45</v>
      </c>
      <c r="K186" s="170"/>
      <c r="L186" s="170"/>
      <c r="M186" s="170"/>
      <c r="N186" s="170"/>
      <c r="O186" s="170"/>
      <c r="P186" s="170"/>
      <c r="Q186" s="170"/>
      <c r="R186" s="170"/>
      <c r="S186" s="170"/>
      <c r="T186" s="170"/>
      <c r="U186" s="170"/>
      <c r="V186" s="170"/>
      <c r="W186" s="170"/>
    </row>
    <row r="187" ht="38.25" spans="1:23">
      <c r="A187" s="220" t="s">
        <v>713</v>
      </c>
      <c r="B187" s="221" t="s">
        <v>112</v>
      </c>
      <c r="C187" s="222">
        <v>36</v>
      </c>
      <c r="D187" s="222">
        <v>186.1</v>
      </c>
      <c r="E187" s="222">
        <v>6699.6</v>
      </c>
      <c r="F187" s="223">
        <v>0.00251307066070802</v>
      </c>
      <c r="G187" s="224">
        <v>0.902234555542321</v>
      </c>
      <c r="I187" s="170">
        <v>250</v>
      </c>
      <c r="J187" s="170">
        <v>290</v>
      </c>
      <c r="K187" s="170"/>
      <c r="L187" s="170"/>
      <c r="M187" s="170"/>
      <c r="N187" s="170"/>
      <c r="O187" s="170"/>
      <c r="P187" s="170"/>
      <c r="Q187" s="170"/>
      <c r="R187" s="170"/>
      <c r="S187" s="170"/>
      <c r="T187" s="170"/>
      <c r="U187" s="170"/>
      <c r="V187" s="170"/>
      <c r="W187" s="170"/>
    </row>
    <row r="188" ht="25.5" spans="1:23">
      <c r="A188" s="220" t="s">
        <v>1223</v>
      </c>
      <c r="B188" s="221" t="s">
        <v>112</v>
      </c>
      <c r="C188" s="222">
        <v>642.596406</v>
      </c>
      <c r="D188" s="222">
        <v>10.2</v>
      </c>
      <c r="E188" s="222">
        <v>6554.48</v>
      </c>
      <c r="F188" s="223">
        <v>0.00245863505048025</v>
      </c>
      <c r="G188" s="224">
        <v>0.909693400728061</v>
      </c>
      <c r="I188" s="170">
        <v>9.1</v>
      </c>
      <c r="J188" s="170">
        <f>29.8/2.2</f>
        <v>13.5454545454545</v>
      </c>
      <c r="K188" s="170"/>
      <c r="L188" s="170"/>
      <c r="M188" s="170"/>
      <c r="N188" s="170"/>
      <c r="O188" s="170"/>
      <c r="P188" s="170"/>
      <c r="Q188" s="170"/>
      <c r="R188" s="170"/>
      <c r="S188" s="170"/>
      <c r="T188" s="170"/>
      <c r="U188" s="170"/>
      <c r="V188" s="170"/>
      <c r="W188" s="170"/>
    </row>
    <row r="189" ht="38.25" spans="1:23">
      <c r="A189" s="220" t="s">
        <v>1386</v>
      </c>
      <c r="B189" s="221" t="s">
        <v>466</v>
      </c>
      <c r="C189" s="222">
        <v>87.801793</v>
      </c>
      <c r="D189" s="222">
        <v>23.97</v>
      </c>
      <c r="E189" s="222">
        <v>2104.61</v>
      </c>
      <c r="F189" s="223">
        <v>0.000789455138102679</v>
      </c>
      <c r="G189" s="224">
        <v>0.983582685838906</v>
      </c>
      <c r="I189" s="170">
        <v>19.45</v>
      </c>
      <c r="J189" s="170">
        <f>49/(2.2*1.1)</f>
        <v>20.2479338842975</v>
      </c>
      <c r="K189" s="170"/>
      <c r="L189" s="170"/>
      <c r="M189" s="170"/>
      <c r="N189" s="170"/>
      <c r="O189" s="170"/>
      <c r="P189" s="170"/>
      <c r="Q189" s="170"/>
      <c r="R189" s="170"/>
      <c r="S189" s="170"/>
      <c r="T189" s="170"/>
      <c r="U189" s="170"/>
      <c r="V189" s="170"/>
      <c r="W189" s="170"/>
    </row>
    <row r="190" ht="38.25" spans="1:23">
      <c r="A190" s="220" t="s">
        <v>1499</v>
      </c>
      <c r="B190" s="221" t="s">
        <v>466</v>
      </c>
      <c r="C190" s="222">
        <v>19.949079</v>
      </c>
      <c r="D190" s="222">
        <v>38.04</v>
      </c>
      <c r="E190" s="222">
        <v>758.86</v>
      </c>
      <c r="F190" s="223">
        <v>0.000284654128841257</v>
      </c>
      <c r="G190" s="224">
        <v>0.996094173695721</v>
      </c>
      <c r="I190" s="170">
        <v>38.43</v>
      </c>
      <c r="J190" s="170">
        <f>97/(2.2*1.1)</f>
        <v>40.0826446280992</v>
      </c>
      <c r="K190" s="170"/>
      <c r="L190" s="170"/>
      <c r="M190" s="170"/>
      <c r="N190" s="170"/>
      <c r="O190" s="170"/>
      <c r="P190" s="170"/>
      <c r="Q190" s="170"/>
      <c r="R190" s="170"/>
      <c r="S190" s="170"/>
      <c r="T190" s="170"/>
      <c r="U190" s="170"/>
      <c r="V190" s="170"/>
      <c r="W190" s="170"/>
    </row>
    <row r="191" s="136" customFormat="1" spans="1:23">
      <c r="H191" s="136" t="s">
        <v>1991</v>
      </c>
      <c r="I191" s="165">
        <v>200</v>
      </c>
      <c r="J191" s="165" t="s">
        <v>1992</v>
      </c>
      <c r="K191" s="165"/>
      <c r="L191" s="165"/>
      <c r="M191" s="165"/>
      <c r="N191" s="165"/>
      <c r="O191" s="165"/>
      <c r="P191" s="165"/>
      <c r="Q191" s="165"/>
      <c r="R191" s="165"/>
      <c r="S191" s="165"/>
      <c r="T191" s="165"/>
      <c r="U191" s="165"/>
      <c r="V191" s="165"/>
      <c r="W191" s="165"/>
    </row>
  </sheetData>
  <conditionalFormatting sqref="D28:D31">
    <cfRule type="duplicateValues" dxfId="0" priority="2"/>
  </conditionalFormatting>
  <conditionalFormatting sqref="D32:D34">
    <cfRule type="duplicateValues" dxfId="0" priority="1"/>
  </conditionalFormatting>
  <pageMargins left="0.511811024" right="0.511811024" top="0.787401575" bottom="0.787401575" header="0.31496062" footer="0.31496062"/>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K251"/>
  <sheetViews>
    <sheetView view="pageBreakPreview" zoomScale="85" zoomScaleNormal="100" workbookViewId="0">
      <pane ySplit="1" topLeftCell="A2" activePane="bottomLeft" state="frozen"/>
      <selection/>
      <selection pane="bottomLeft" activeCell="H4" sqref="H4"/>
    </sheetView>
  </sheetViews>
  <sheetFormatPr defaultColWidth="9" defaultRowHeight="12.75"/>
  <cols>
    <col min="1" max="1" width="4" style="96" customWidth="1"/>
    <col min="2" max="2" width="20.7809523809524" style="97" customWidth="1"/>
    <col min="3" max="3" width="113.552380952381" style="98" customWidth="1"/>
    <col min="4" max="4" width="9" style="99" customWidth="1"/>
    <col min="5" max="5" width="11.4380952380952" style="99" customWidth="1"/>
    <col min="6" max="6" width="17.8857142857143" style="99" customWidth="1"/>
    <col min="7" max="7" width="14.552380952381" style="99" customWidth="1"/>
    <col min="8" max="8" width="7.21904761904762" style="100" customWidth="1"/>
    <col min="9" max="9" width="8.21904761904762" style="100" customWidth="1"/>
    <col min="10" max="10" width="13.1047619047619" style="98" customWidth="1"/>
    <col min="11" max="11" width="11.6666666666667" style="98" customWidth="1"/>
    <col min="12" max="16384" width="8.88571428571429" style="98"/>
  </cols>
  <sheetData>
    <row r="1" spans="1:11">
      <c r="A1" s="101"/>
      <c r="B1" s="102" t="s">
        <v>590</v>
      </c>
      <c r="C1" s="103" t="s">
        <v>27</v>
      </c>
      <c r="D1" s="104" t="s">
        <v>591</v>
      </c>
      <c r="E1" s="104" t="s">
        <v>592</v>
      </c>
      <c r="F1" s="105" t="s">
        <v>593</v>
      </c>
      <c r="G1" s="105" t="s">
        <v>594</v>
      </c>
      <c r="H1" s="106" t="s">
        <v>278</v>
      </c>
      <c r="I1" s="106" t="s">
        <v>1993</v>
      </c>
      <c r="J1" s="107">
        <f>SUM(9,G:G)</f>
        <v>4438973.07</v>
      </c>
      <c r="K1" s="98" t="s">
        <v>595</v>
      </c>
    </row>
    <row r="2" ht="25.5" spans="1:11">
      <c r="A2" s="108">
        <v>126</v>
      </c>
      <c r="B2" s="109">
        <v>173006009021</v>
      </c>
      <c r="C2" s="110" t="s">
        <v>1994</v>
      </c>
      <c r="D2" s="111" t="s">
        <v>494</v>
      </c>
      <c r="E2" s="112">
        <v>1</v>
      </c>
      <c r="F2" s="112">
        <v>567852.66</v>
      </c>
      <c r="G2" s="112">
        <f t="shared" ref="G2:G65" si="0">ROUND(E2*F2,2)</f>
        <v>567852.66</v>
      </c>
      <c r="H2" s="113">
        <f>G2/$J$1</f>
        <v>0.127924330930893</v>
      </c>
      <c r="I2" s="113">
        <f>H2</f>
        <v>0.127924330930893</v>
      </c>
    </row>
    <row r="3" ht="25.5" spans="1:11">
      <c r="A3" s="114">
        <v>175</v>
      </c>
      <c r="B3" s="115" t="s">
        <v>806</v>
      </c>
      <c r="C3" s="110" t="s">
        <v>1995</v>
      </c>
      <c r="D3" s="111" t="s">
        <v>412</v>
      </c>
      <c r="E3" s="112">
        <v>148832.34</v>
      </c>
      <c r="F3" s="112">
        <v>2.2</v>
      </c>
      <c r="G3" s="112">
        <f t="shared" si="0"/>
        <v>327431.15</v>
      </c>
      <c r="H3" s="113">
        <f t="shared" ref="H3:H66" si="1">G3/$J$1</f>
        <v>0.0737628151458914</v>
      </c>
      <c r="I3" s="113">
        <f>H3+I2</f>
        <v>0.201687146076784</v>
      </c>
    </row>
    <row r="4" ht="25.5" spans="1:11">
      <c r="A4" s="114">
        <v>145</v>
      </c>
      <c r="B4" s="115" t="s">
        <v>749</v>
      </c>
      <c r="C4" s="116" t="s">
        <v>750</v>
      </c>
      <c r="D4" s="111" t="s">
        <v>476</v>
      </c>
      <c r="E4" s="112">
        <v>1730.97</v>
      </c>
      <c r="F4" s="112">
        <v>162.96</v>
      </c>
      <c r="G4" s="112">
        <f t="shared" si="0"/>
        <v>282078.87</v>
      </c>
      <c r="H4" s="113">
        <f t="shared" si="1"/>
        <v>0.0635459746098437</v>
      </c>
      <c r="I4" s="113">
        <f t="shared" ref="I4:I67" si="2">H4+I3</f>
        <v>0.265233120686628</v>
      </c>
    </row>
    <row r="5" ht="25.5" spans="1:11">
      <c r="A5" s="117">
        <v>48</v>
      </c>
      <c r="B5" s="117">
        <v>1514603060012</v>
      </c>
      <c r="C5" s="118" t="s">
        <v>644</v>
      </c>
      <c r="D5" s="119" t="s">
        <v>494</v>
      </c>
      <c r="E5" s="120">
        <v>26</v>
      </c>
      <c r="F5" s="120">
        <v>10683.14</v>
      </c>
      <c r="G5" s="121">
        <f t="shared" si="0"/>
        <v>277761.64</v>
      </c>
      <c r="H5" s="122">
        <f t="shared" si="1"/>
        <v>0.0625734005635678</v>
      </c>
      <c r="I5" s="122">
        <f t="shared" si="2"/>
        <v>0.327806521250195</v>
      </c>
      <c r="J5" s="95"/>
      <c r="K5" s="95"/>
    </row>
    <row r="6" ht="25.5" spans="1:11">
      <c r="A6" s="114">
        <v>184</v>
      </c>
      <c r="B6" s="115" t="s">
        <v>824</v>
      </c>
      <c r="C6" s="110" t="s">
        <v>1996</v>
      </c>
      <c r="D6" s="111" t="s">
        <v>466</v>
      </c>
      <c r="E6" s="112">
        <v>10311.7</v>
      </c>
      <c r="F6" s="112">
        <v>20.53</v>
      </c>
      <c r="G6" s="112">
        <f t="shared" si="0"/>
        <v>211699.2</v>
      </c>
      <c r="H6" s="113">
        <f t="shared" si="1"/>
        <v>0.0476910304842197</v>
      </c>
      <c r="I6" s="113">
        <f t="shared" si="2"/>
        <v>0.375497551734415</v>
      </c>
    </row>
    <row r="7" ht="25.5" spans="1:11">
      <c r="A7" s="114">
        <v>187</v>
      </c>
      <c r="B7" s="115" t="s">
        <v>830</v>
      </c>
      <c r="C7" s="116" t="s">
        <v>831</v>
      </c>
      <c r="D7" s="123" t="s">
        <v>476</v>
      </c>
      <c r="E7" s="124">
        <v>429.36</v>
      </c>
      <c r="F7" s="124">
        <v>293.38</v>
      </c>
      <c r="G7" s="112">
        <f t="shared" si="0"/>
        <v>125965.64</v>
      </c>
      <c r="H7" s="113">
        <f t="shared" si="1"/>
        <v>0.0283772030182648</v>
      </c>
      <c r="I7" s="113">
        <f t="shared" si="2"/>
        <v>0.40387475475268</v>
      </c>
    </row>
    <row r="8" ht="25.5" spans="1:11">
      <c r="A8" s="125">
        <v>19</v>
      </c>
      <c r="B8" s="125">
        <v>1511003139045</v>
      </c>
      <c r="C8" s="118" t="s">
        <v>615</v>
      </c>
      <c r="D8" s="126" t="s">
        <v>494</v>
      </c>
      <c r="E8" s="121">
        <v>4</v>
      </c>
      <c r="F8" s="121">
        <v>26426.23</v>
      </c>
      <c r="G8" s="121">
        <f t="shared" si="0"/>
        <v>105704.92</v>
      </c>
      <c r="H8" s="122">
        <f t="shared" si="1"/>
        <v>0.023812922118043</v>
      </c>
      <c r="I8" s="122">
        <f t="shared" si="2"/>
        <v>0.427687676870723</v>
      </c>
      <c r="J8" s="95"/>
      <c r="K8" s="95"/>
    </row>
    <row r="9" s="95" customFormat="1" ht="25.5" spans="1:11">
      <c r="A9" s="125">
        <v>22</v>
      </c>
      <c r="B9" s="125">
        <v>1511003171005</v>
      </c>
      <c r="C9" s="118" t="s">
        <v>618</v>
      </c>
      <c r="D9" s="126" t="s">
        <v>494</v>
      </c>
      <c r="E9" s="121">
        <v>1</v>
      </c>
      <c r="F9" s="121">
        <v>97218</v>
      </c>
      <c r="G9" s="121">
        <f t="shared" si="0"/>
        <v>97218</v>
      </c>
      <c r="H9" s="122">
        <f t="shared" si="1"/>
        <v>0.0219010114427209</v>
      </c>
      <c r="I9" s="122">
        <f t="shared" si="2"/>
        <v>0.449588688313444</v>
      </c>
    </row>
    <row r="10" ht="25.5" spans="1:11">
      <c r="A10" s="125">
        <v>23</v>
      </c>
      <c r="B10" s="125">
        <v>1511003171006</v>
      </c>
      <c r="C10" s="118" t="s">
        <v>619</v>
      </c>
      <c r="D10" s="126" t="s">
        <v>494</v>
      </c>
      <c r="E10" s="121">
        <v>1</v>
      </c>
      <c r="F10" s="121">
        <v>97218</v>
      </c>
      <c r="G10" s="121">
        <f t="shared" si="0"/>
        <v>97218</v>
      </c>
      <c r="H10" s="122">
        <f t="shared" si="1"/>
        <v>0.0219010114427209</v>
      </c>
      <c r="I10" s="122">
        <f t="shared" si="2"/>
        <v>0.471489699756165</v>
      </c>
      <c r="J10" s="95"/>
      <c r="K10" s="95"/>
    </row>
    <row r="11" s="95" customFormat="1" ht="25.5" spans="1:11">
      <c r="A11" s="127">
        <v>284</v>
      </c>
      <c r="B11" s="128" t="s">
        <v>966</v>
      </c>
      <c r="C11" s="118" t="s">
        <v>967</v>
      </c>
      <c r="D11" s="119" t="s">
        <v>598</v>
      </c>
      <c r="E11" s="120">
        <v>81</v>
      </c>
      <c r="F11" s="120">
        <v>1171.87</v>
      </c>
      <c r="G11" s="121">
        <f t="shared" si="0"/>
        <v>94921.47</v>
      </c>
      <c r="H11" s="122">
        <f t="shared" si="1"/>
        <v>0.0213836552966518</v>
      </c>
      <c r="I11" s="122">
        <f t="shared" si="2"/>
        <v>0.492873355052817</v>
      </c>
    </row>
    <row r="12" ht="25.5" spans="1:11">
      <c r="A12" s="114">
        <v>200</v>
      </c>
      <c r="B12" s="115" t="s">
        <v>495</v>
      </c>
      <c r="C12" s="116" t="s">
        <v>496</v>
      </c>
      <c r="D12" s="123" t="s">
        <v>466</v>
      </c>
      <c r="E12" s="124">
        <v>413.6</v>
      </c>
      <c r="F12" s="124">
        <v>227.86</v>
      </c>
      <c r="G12" s="112">
        <f t="shared" si="0"/>
        <v>94242.9</v>
      </c>
      <c r="H12" s="113">
        <f t="shared" si="1"/>
        <v>0.0212307888590097</v>
      </c>
      <c r="I12" s="113">
        <f t="shared" si="2"/>
        <v>0.514104143911826</v>
      </c>
    </row>
    <row r="13" ht="25.5" spans="1:11">
      <c r="A13" s="129">
        <v>6</v>
      </c>
      <c r="B13" s="130">
        <v>174103006002</v>
      </c>
      <c r="C13" s="116" t="s">
        <v>602</v>
      </c>
      <c r="D13" s="123" t="s">
        <v>601</v>
      </c>
      <c r="E13" s="124">
        <v>5430.58</v>
      </c>
      <c r="F13" s="124">
        <v>17.13</v>
      </c>
      <c r="G13" s="112">
        <f t="shared" si="0"/>
        <v>93025.84</v>
      </c>
      <c r="H13" s="113">
        <f t="shared" si="1"/>
        <v>0.0209566128320756</v>
      </c>
      <c r="I13" s="113">
        <f t="shared" si="2"/>
        <v>0.535060756743902</v>
      </c>
    </row>
    <row r="14" ht="25.5" spans="1:11">
      <c r="A14" s="125">
        <v>18</v>
      </c>
      <c r="B14" s="125">
        <v>1511003139041</v>
      </c>
      <c r="C14" s="118" t="s">
        <v>614</v>
      </c>
      <c r="D14" s="126" t="s">
        <v>494</v>
      </c>
      <c r="E14" s="121">
        <v>4</v>
      </c>
      <c r="F14" s="121">
        <v>18464.45</v>
      </c>
      <c r="G14" s="121">
        <f t="shared" si="0"/>
        <v>73857.8</v>
      </c>
      <c r="H14" s="122">
        <f t="shared" si="1"/>
        <v>0.0166384879645147</v>
      </c>
      <c r="I14" s="122">
        <f t="shared" si="2"/>
        <v>0.551699244708417</v>
      </c>
      <c r="J14" s="95"/>
      <c r="K14" s="95"/>
    </row>
    <row r="15" s="95" customFormat="1" ht="25.5" spans="1:11">
      <c r="A15" s="127">
        <v>283</v>
      </c>
      <c r="B15" s="128" t="s">
        <v>964</v>
      </c>
      <c r="C15" s="118" t="s">
        <v>965</v>
      </c>
      <c r="D15" s="119" t="s">
        <v>598</v>
      </c>
      <c r="E15" s="120">
        <v>45</v>
      </c>
      <c r="F15" s="120">
        <v>1500</v>
      </c>
      <c r="G15" s="121">
        <f t="shared" si="0"/>
        <v>67500</v>
      </c>
      <c r="H15" s="122">
        <f t="shared" si="1"/>
        <v>0.01520621975749</v>
      </c>
      <c r="I15" s="122">
        <f t="shared" si="2"/>
        <v>0.566905464465907</v>
      </c>
    </row>
    <row r="16" ht="25.5" spans="1:11">
      <c r="A16" s="127">
        <v>285</v>
      </c>
      <c r="B16" s="128" t="s">
        <v>968</v>
      </c>
      <c r="C16" s="118" t="s">
        <v>969</v>
      </c>
      <c r="D16" s="119" t="s">
        <v>598</v>
      </c>
      <c r="E16" s="120">
        <v>36</v>
      </c>
      <c r="F16" s="120">
        <v>1875</v>
      </c>
      <c r="G16" s="121">
        <f t="shared" si="0"/>
        <v>67500</v>
      </c>
      <c r="H16" s="122">
        <f t="shared" si="1"/>
        <v>0.01520621975749</v>
      </c>
      <c r="I16" s="122">
        <f t="shared" si="2"/>
        <v>0.582111684223397</v>
      </c>
      <c r="J16" s="95"/>
      <c r="K16" s="95"/>
    </row>
    <row r="17" s="95" customFormat="1" ht="204" spans="1:11">
      <c r="A17" s="117">
        <v>21</v>
      </c>
      <c r="B17" s="117">
        <v>1511003043048</v>
      </c>
      <c r="C17" s="118" t="s">
        <v>617</v>
      </c>
      <c r="D17" s="119" t="s">
        <v>494</v>
      </c>
      <c r="E17" s="120">
        <v>1</v>
      </c>
      <c r="F17" s="120">
        <v>66521</v>
      </c>
      <c r="G17" s="121">
        <f t="shared" si="0"/>
        <v>66521</v>
      </c>
      <c r="H17" s="122">
        <f t="shared" si="1"/>
        <v>0.014985673251674</v>
      </c>
      <c r="I17" s="122">
        <f t="shared" si="2"/>
        <v>0.597097357475071</v>
      </c>
    </row>
    <row r="18" s="95" customFormat="1" spans="1:11">
      <c r="A18" s="114">
        <v>132</v>
      </c>
      <c r="B18" s="115" t="s">
        <v>479</v>
      </c>
      <c r="C18" s="116" t="s">
        <v>480</v>
      </c>
      <c r="D18" s="123" t="s">
        <v>466</v>
      </c>
      <c r="E18" s="124">
        <v>715.74</v>
      </c>
      <c r="F18" s="124">
        <v>92.86</v>
      </c>
      <c r="G18" s="112">
        <f t="shared" si="0"/>
        <v>66463.62</v>
      </c>
      <c r="H18" s="113">
        <f t="shared" si="1"/>
        <v>0.0149727468384934</v>
      </c>
      <c r="I18" s="113">
        <f t="shared" si="2"/>
        <v>0.612070104313564</v>
      </c>
      <c r="J18" s="98"/>
      <c r="K18" s="98"/>
    </row>
    <row r="19" s="95" customFormat="1" ht="25.5" spans="1:11">
      <c r="A19" s="117">
        <v>16</v>
      </c>
      <c r="B19" s="117">
        <v>1511003147024</v>
      </c>
      <c r="C19" s="118" t="s">
        <v>612</v>
      </c>
      <c r="D19" s="119" t="s">
        <v>494</v>
      </c>
      <c r="E19" s="120">
        <v>1</v>
      </c>
      <c r="F19" s="120">
        <v>63890</v>
      </c>
      <c r="G19" s="121">
        <f t="shared" si="0"/>
        <v>63890</v>
      </c>
      <c r="H19" s="122">
        <f t="shared" si="1"/>
        <v>0.0143929685971265</v>
      </c>
      <c r="I19" s="122">
        <f t="shared" si="2"/>
        <v>0.626463072910691</v>
      </c>
    </row>
    <row r="20" s="95" customFormat="1" ht="25.5" spans="1:11">
      <c r="A20" s="114">
        <v>244</v>
      </c>
      <c r="B20" s="115" t="s">
        <v>577</v>
      </c>
      <c r="C20" s="110" t="s">
        <v>1997</v>
      </c>
      <c r="D20" s="111" t="s">
        <v>466</v>
      </c>
      <c r="E20" s="112">
        <v>298.4</v>
      </c>
      <c r="F20" s="112">
        <v>210.56</v>
      </c>
      <c r="G20" s="112">
        <f t="shared" si="0"/>
        <v>62831.1</v>
      </c>
      <c r="H20" s="113">
        <f t="shared" si="1"/>
        <v>0.0141544224326641</v>
      </c>
      <c r="I20" s="113">
        <f t="shared" si="2"/>
        <v>0.640617495343355</v>
      </c>
      <c r="J20" s="98"/>
      <c r="K20" s="98"/>
    </row>
    <row r="21" s="95" customFormat="1" ht="25.5" spans="1:11">
      <c r="A21" s="129">
        <v>225</v>
      </c>
      <c r="B21" s="129">
        <v>8004508283066</v>
      </c>
      <c r="C21" s="116" t="s">
        <v>321</v>
      </c>
      <c r="D21" s="123" t="s">
        <v>112</v>
      </c>
      <c r="E21" s="124">
        <v>2529</v>
      </c>
      <c r="F21" s="124">
        <v>23.16</v>
      </c>
      <c r="G21" s="112">
        <f t="shared" si="0"/>
        <v>58571.64</v>
      </c>
      <c r="H21" s="113">
        <f t="shared" si="1"/>
        <v>0.0131948626577273</v>
      </c>
      <c r="I21" s="113">
        <f t="shared" si="2"/>
        <v>0.653812358001082</v>
      </c>
      <c r="J21" s="98"/>
      <c r="K21" s="98"/>
    </row>
    <row r="22" s="95" customFormat="1" spans="1:11">
      <c r="A22" s="114">
        <v>291</v>
      </c>
      <c r="B22" s="115" t="s">
        <v>975</v>
      </c>
      <c r="C22" s="116" t="s">
        <v>976</v>
      </c>
      <c r="D22" s="123" t="s">
        <v>977</v>
      </c>
      <c r="E22" s="124">
        <v>475.2</v>
      </c>
      <c r="F22" s="124">
        <v>118.48</v>
      </c>
      <c r="G22" s="112">
        <f t="shared" si="0"/>
        <v>56301.7</v>
      </c>
      <c r="H22" s="113">
        <f t="shared" si="1"/>
        <v>0.0126834966358559</v>
      </c>
      <c r="I22" s="113">
        <f t="shared" si="2"/>
        <v>0.666495854636938</v>
      </c>
      <c r="J22" s="98"/>
      <c r="K22" s="98"/>
    </row>
    <row r="23" s="95" customFormat="1" ht="25.5" spans="1:11">
      <c r="A23" s="108">
        <v>201</v>
      </c>
      <c r="B23" s="108">
        <v>8004008025010</v>
      </c>
      <c r="C23" s="110" t="s">
        <v>1998</v>
      </c>
      <c r="D23" s="111" t="s">
        <v>466</v>
      </c>
      <c r="E23" s="112">
        <v>330</v>
      </c>
      <c r="F23" s="112">
        <v>152.95</v>
      </c>
      <c r="G23" s="112">
        <f t="shared" si="0"/>
        <v>50473.5</v>
      </c>
      <c r="H23" s="113">
        <f t="shared" si="1"/>
        <v>0.0113705353026618</v>
      </c>
      <c r="I23" s="113">
        <f t="shared" si="2"/>
        <v>0.6778663899396</v>
      </c>
      <c r="J23" s="98"/>
      <c r="K23" s="98"/>
    </row>
    <row r="24" s="95" customFormat="1" ht="25.5" spans="1:11">
      <c r="A24" s="114">
        <v>197</v>
      </c>
      <c r="B24" s="115" t="s">
        <v>846</v>
      </c>
      <c r="C24" s="116" t="s">
        <v>847</v>
      </c>
      <c r="D24" s="123" t="s">
        <v>463</v>
      </c>
      <c r="E24" s="124">
        <v>3417.77</v>
      </c>
      <c r="F24" s="124">
        <v>13.28</v>
      </c>
      <c r="G24" s="112">
        <f t="shared" si="0"/>
        <v>45387.99</v>
      </c>
      <c r="H24" s="113">
        <f t="shared" si="1"/>
        <v>0.0102248851894927</v>
      </c>
      <c r="I24" s="113">
        <f t="shared" si="2"/>
        <v>0.688091275129092</v>
      </c>
      <c r="J24" s="98"/>
      <c r="K24" s="98"/>
    </row>
    <row r="25" s="95" customFormat="1" spans="1:11">
      <c r="A25" s="114">
        <v>262</v>
      </c>
      <c r="B25" s="115" t="s">
        <v>931</v>
      </c>
      <c r="C25" s="116" t="s">
        <v>541</v>
      </c>
      <c r="D25" s="123" t="s">
        <v>466</v>
      </c>
      <c r="E25" s="124">
        <v>2672.53</v>
      </c>
      <c r="F25" s="124">
        <v>15.68</v>
      </c>
      <c r="G25" s="112">
        <f t="shared" si="0"/>
        <v>41905.27</v>
      </c>
      <c r="H25" s="113">
        <f t="shared" si="1"/>
        <v>0.00944030732765856</v>
      </c>
      <c r="I25" s="113">
        <f t="shared" si="2"/>
        <v>0.697531582456751</v>
      </c>
      <c r="J25" s="98"/>
      <c r="K25" s="98"/>
    </row>
    <row r="26" s="95" customFormat="1" ht="25.5" spans="1:11">
      <c r="A26" s="114">
        <v>152</v>
      </c>
      <c r="B26" s="115" t="s">
        <v>763</v>
      </c>
      <c r="C26" s="116" t="s">
        <v>764</v>
      </c>
      <c r="D26" s="111" t="s">
        <v>476</v>
      </c>
      <c r="E26" s="112">
        <v>5869.74</v>
      </c>
      <c r="F26" s="112">
        <v>6.86</v>
      </c>
      <c r="G26" s="112">
        <f t="shared" si="0"/>
        <v>40266.42</v>
      </c>
      <c r="H26" s="113">
        <f t="shared" si="1"/>
        <v>0.00907111157581319</v>
      </c>
      <c r="I26" s="113">
        <f t="shared" si="2"/>
        <v>0.706602694032564</v>
      </c>
      <c r="J26" s="98"/>
      <c r="K26" s="98"/>
    </row>
    <row r="27" s="95" customFormat="1" ht="25.5" spans="1:11">
      <c r="A27" s="114">
        <v>204</v>
      </c>
      <c r="B27" s="115" t="s">
        <v>546</v>
      </c>
      <c r="C27" s="110" t="s">
        <v>1999</v>
      </c>
      <c r="D27" s="111" t="s">
        <v>476</v>
      </c>
      <c r="E27" s="112">
        <v>126.6</v>
      </c>
      <c r="F27" s="112">
        <v>313.12</v>
      </c>
      <c r="G27" s="112">
        <f t="shared" si="0"/>
        <v>39640.99</v>
      </c>
      <c r="H27" s="113">
        <f t="shared" si="1"/>
        <v>0.00893021637547353</v>
      </c>
      <c r="I27" s="113">
        <f t="shared" si="2"/>
        <v>0.715532910408038</v>
      </c>
      <c r="J27" s="98"/>
      <c r="K27" s="98"/>
    </row>
    <row r="28" s="95" customFormat="1" ht="25.5" spans="1:11">
      <c r="A28" s="117">
        <v>26</v>
      </c>
      <c r="B28" s="117">
        <v>1511003047012</v>
      </c>
      <c r="C28" s="118" t="s">
        <v>622</v>
      </c>
      <c r="D28" s="119" t="s">
        <v>494</v>
      </c>
      <c r="E28" s="120">
        <v>2</v>
      </c>
      <c r="F28" s="120">
        <v>19700</v>
      </c>
      <c r="G28" s="121">
        <f t="shared" si="0"/>
        <v>39400</v>
      </c>
      <c r="H28" s="122">
        <f t="shared" si="1"/>
        <v>0.00887592679177935</v>
      </c>
      <c r="I28" s="122">
        <f t="shared" si="2"/>
        <v>0.724408837199817</v>
      </c>
    </row>
    <row r="29" ht="51" spans="1:11">
      <c r="A29" s="114">
        <v>173</v>
      </c>
      <c r="B29" s="115" t="s">
        <v>802</v>
      </c>
      <c r="C29" s="110" t="s">
        <v>2000</v>
      </c>
      <c r="D29" s="111" t="s">
        <v>476</v>
      </c>
      <c r="E29" s="112">
        <v>3043.27</v>
      </c>
      <c r="F29" s="112">
        <v>12.51</v>
      </c>
      <c r="G29" s="112">
        <f t="shared" si="0"/>
        <v>38071.31</v>
      </c>
      <c r="H29" s="113">
        <f t="shared" si="1"/>
        <v>0.00857660305652632</v>
      </c>
      <c r="I29" s="113">
        <f t="shared" si="2"/>
        <v>0.732985440256343</v>
      </c>
    </row>
    <row r="30" ht="25.5" spans="1:11">
      <c r="A30" s="125">
        <v>90</v>
      </c>
      <c r="B30" s="125">
        <v>1515903060024</v>
      </c>
      <c r="C30" s="118" t="s">
        <v>686</v>
      </c>
      <c r="D30" s="126" t="s">
        <v>494</v>
      </c>
      <c r="E30" s="121">
        <v>7</v>
      </c>
      <c r="F30" s="121">
        <v>5079.28</v>
      </c>
      <c r="G30" s="121">
        <f t="shared" si="0"/>
        <v>35554.96</v>
      </c>
      <c r="H30" s="122">
        <f t="shared" si="1"/>
        <v>0.00800972644783358</v>
      </c>
      <c r="I30" s="122">
        <f t="shared" si="2"/>
        <v>0.740995166704177</v>
      </c>
      <c r="J30" s="95"/>
      <c r="K30" s="95"/>
    </row>
    <row r="31" ht="25.5" spans="1:11">
      <c r="A31" s="117">
        <v>87</v>
      </c>
      <c r="B31" s="117">
        <v>1515903059066</v>
      </c>
      <c r="C31" s="118" t="s">
        <v>683</v>
      </c>
      <c r="D31" s="119" t="s">
        <v>494</v>
      </c>
      <c r="E31" s="120">
        <v>1</v>
      </c>
      <c r="F31" s="120">
        <v>27426.53</v>
      </c>
      <c r="G31" s="121">
        <f t="shared" si="0"/>
        <v>27426.53</v>
      </c>
      <c r="H31" s="122">
        <f t="shared" si="1"/>
        <v>0.00617857544245025</v>
      </c>
      <c r="I31" s="122">
        <f t="shared" si="2"/>
        <v>0.747173742146627</v>
      </c>
      <c r="J31" s="95"/>
      <c r="K31" s="95"/>
    </row>
    <row r="32" ht="25.5" spans="1:11">
      <c r="A32" s="125">
        <v>37</v>
      </c>
      <c r="B32" s="125">
        <v>1513903023038</v>
      </c>
      <c r="C32" s="118" t="s">
        <v>633</v>
      </c>
      <c r="D32" s="126" t="s">
        <v>494</v>
      </c>
      <c r="E32" s="121">
        <v>4</v>
      </c>
      <c r="F32" s="121">
        <v>6834.27</v>
      </c>
      <c r="G32" s="121">
        <f t="shared" si="0"/>
        <v>27337.08</v>
      </c>
      <c r="H32" s="122">
        <f t="shared" si="1"/>
        <v>0.00615842438530496</v>
      </c>
      <c r="I32" s="122">
        <f t="shared" si="2"/>
        <v>0.753332166531932</v>
      </c>
      <c r="J32" s="95"/>
      <c r="K32" s="95"/>
    </row>
    <row r="33" s="95" customFormat="1" ht="38.25" spans="1:11">
      <c r="A33" s="127">
        <v>110</v>
      </c>
      <c r="B33" s="128" t="s">
        <v>708</v>
      </c>
      <c r="C33" s="118" t="s">
        <v>709</v>
      </c>
      <c r="D33" s="119" t="s">
        <v>476</v>
      </c>
      <c r="E33" s="120">
        <v>49.7</v>
      </c>
      <c r="F33" s="120">
        <v>526.43</v>
      </c>
      <c r="G33" s="121">
        <f t="shared" si="0"/>
        <v>26163.57</v>
      </c>
      <c r="H33" s="122">
        <f t="shared" si="1"/>
        <v>0.00589405918608107</v>
      </c>
      <c r="I33" s="122">
        <f t="shared" si="2"/>
        <v>0.759226225718013</v>
      </c>
    </row>
    <row r="34" s="95" customFormat="1" ht="25.5" spans="1:11">
      <c r="A34" s="131">
        <v>141</v>
      </c>
      <c r="B34" s="132" t="s">
        <v>744</v>
      </c>
      <c r="C34" s="116" t="s">
        <v>745</v>
      </c>
      <c r="D34" s="111" t="s">
        <v>466</v>
      </c>
      <c r="E34" s="112">
        <v>809.57</v>
      </c>
      <c r="F34" s="112">
        <v>31.93</v>
      </c>
      <c r="G34" s="112">
        <f t="shared" si="0"/>
        <v>25849.57</v>
      </c>
      <c r="H34" s="113">
        <f t="shared" si="1"/>
        <v>0.00582332210454253</v>
      </c>
      <c r="I34" s="113">
        <f t="shared" si="2"/>
        <v>0.765049547822556</v>
      </c>
      <c r="J34" s="98"/>
      <c r="K34" s="98"/>
    </row>
    <row r="35" s="95" customFormat="1" ht="25.5" spans="1:11">
      <c r="A35" s="117">
        <v>88</v>
      </c>
      <c r="B35" s="117">
        <v>1515903091004</v>
      </c>
      <c r="C35" s="118" t="s">
        <v>684</v>
      </c>
      <c r="D35" s="119" t="s">
        <v>494</v>
      </c>
      <c r="E35" s="120">
        <v>1</v>
      </c>
      <c r="F35" s="120">
        <v>25361.65</v>
      </c>
      <c r="G35" s="121">
        <f t="shared" si="0"/>
        <v>25361.65</v>
      </c>
      <c r="H35" s="122">
        <f t="shared" si="1"/>
        <v>0.0057134047898155</v>
      </c>
      <c r="I35" s="122">
        <f t="shared" si="2"/>
        <v>0.770762952612371</v>
      </c>
    </row>
    <row r="36" s="95" customFormat="1" spans="1:11">
      <c r="A36" s="114">
        <v>154</v>
      </c>
      <c r="B36" s="115" t="s">
        <v>767</v>
      </c>
      <c r="C36" s="116" t="s">
        <v>768</v>
      </c>
      <c r="D36" s="123" t="s">
        <v>466</v>
      </c>
      <c r="E36" s="124">
        <v>2862.37</v>
      </c>
      <c r="F36" s="124">
        <v>8.46</v>
      </c>
      <c r="G36" s="112">
        <f t="shared" si="0"/>
        <v>24215.65</v>
      </c>
      <c r="H36" s="113">
        <f t="shared" si="1"/>
        <v>0.00545523696993278</v>
      </c>
      <c r="I36" s="113">
        <f t="shared" si="2"/>
        <v>0.776218189582304</v>
      </c>
      <c r="J36" s="98"/>
      <c r="K36" s="98"/>
    </row>
    <row r="37" ht="51" spans="1:11">
      <c r="A37" s="131">
        <v>163</v>
      </c>
      <c r="B37" s="132" t="s">
        <v>782</v>
      </c>
      <c r="C37" s="110" t="s">
        <v>2001</v>
      </c>
      <c r="D37" s="111" t="s">
        <v>476</v>
      </c>
      <c r="E37" s="112">
        <v>4139.35</v>
      </c>
      <c r="F37" s="112">
        <v>5.82</v>
      </c>
      <c r="G37" s="112">
        <f t="shared" si="0"/>
        <v>24091.02</v>
      </c>
      <c r="H37" s="113">
        <f t="shared" si="1"/>
        <v>0.00542716065632721</v>
      </c>
      <c r="I37" s="113">
        <f t="shared" si="2"/>
        <v>0.781645350238631</v>
      </c>
    </row>
    <row r="38" s="95" customFormat="1" ht="38.25" spans="1:11">
      <c r="A38" s="117">
        <v>288</v>
      </c>
      <c r="B38" s="117">
        <v>2204011001001</v>
      </c>
      <c r="C38" s="118" t="s">
        <v>972</v>
      </c>
      <c r="D38" s="119" t="s">
        <v>973</v>
      </c>
      <c r="E38" s="120">
        <v>18</v>
      </c>
      <c r="F38" s="120">
        <v>1316.7</v>
      </c>
      <c r="G38" s="121">
        <f t="shared" si="0"/>
        <v>23700.6</v>
      </c>
      <c r="H38" s="122">
        <f t="shared" si="1"/>
        <v>0.00533920788124989</v>
      </c>
      <c r="I38" s="122">
        <f t="shared" si="2"/>
        <v>0.786984558119881</v>
      </c>
    </row>
    <row r="39" s="95" customFormat="1" ht="25.5" spans="1:11">
      <c r="A39" s="114">
        <v>206</v>
      </c>
      <c r="B39" s="115" t="s">
        <v>483</v>
      </c>
      <c r="C39" s="110" t="s">
        <v>2002</v>
      </c>
      <c r="D39" s="111" t="s">
        <v>476</v>
      </c>
      <c r="E39" s="112">
        <v>7.12</v>
      </c>
      <c r="F39" s="112">
        <v>3327.48</v>
      </c>
      <c r="G39" s="112">
        <f t="shared" si="0"/>
        <v>23691.66</v>
      </c>
      <c r="H39" s="113">
        <f t="shared" si="1"/>
        <v>0.00533719390192201</v>
      </c>
      <c r="I39" s="113">
        <f t="shared" si="2"/>
        <v>0.792321752021803</v>
      </c>
      <c r="J39" s="98"/>
      <c r="K39" s="98"/>
    </row>
    <row r="40" ht="25.5" spans="1:11">
      <c r="A40" s="117">
        <v>86</v>
      </c>
      <c r="B40" s="117">
        <v>1515903059023</v>
      </c>
      <c r="C40" s="118" t="s">
        <v>682</v>
      </c>
      <c r="D40" s="119" t="s">
        <v>494</v>
      </c>
      <c r="E40" s="120">
        <v>2</v>
      </c>
      <c r="F40" s="120">
        <v>11363.84</v>
      </c>
      <c r="G40" s="121">
        <f t="shared" si="0"/>
        <v>22727.68</v>
      </c>
      <c r="H40" s="122">
        <f t="shared" si="1"/>
        <v>0.00512003106159867</v>
      </c>
      <c r="I40" s="122">
        <f t="shared" si="2"/>
        <v>0.797441783083402</v>
      </c>
      <c r="J40" s="95"/>
      <c r="K40" s="95"/>
    </row>
    <row r="41" ht="25.5" spans="1:11">
      <c r="A41" s="125">
        <v>20</v>
      </c>
      <c r="B41" s="125">
        <v>1511003139022</v>
      </c>
      <c r="C41" s="118" t="s">
        <v>616</v>
      </c>
      <c r="D41" s="126" t="s">
        <v>494</v>
      </c>
      <c r="E41" s="121">
        <v>1</v>
      </c>
      <c r="F41" s="121">
        <v>21761.28</v>
      </c>
      <c r="G41" s="121">
        <f t="shared" si="0"/>
        <v>21761.28</v>
      </c>
      <c r="H41" s="122">
        <f t="shared" si="1"/>
        <v>0.00490232305013736</v>
      </c>
      <c r="I41" s="122">
        <f t="shared" si="2"/>
        <v>0.802344106133539</v>
      </c>
      <c r="J41" s="95"/>
      <c r="K41" s="95"/>
    </row>
    <row r="42" s="95" customFormat="1" spans="1:11">
      <c r="A42" s="114">
        <v>273</v>
      </c>
      <c r="B42" s="115" t="s">
        <v>948</v>
      </c>
      <c r="C42" s="116" t="s">
        <v>949</v>
      </c>
      <c r="D42" s="123" t="s">
        <v>476</v>
      </c>
      <c r="E42" s="124">
        <v>288.83</v>
      </c>
      <c r="F42" s="124">
        <v>74.82</v>
      </c>
      <c r="G42" s="112">
        <f t="shared" si="0"/>
        <v>21610.26</v>
      </c>
      <c r="H42" s="113">
        <f t="shared" si="1"/>
        <v>0.00486830166779994</v>
      </c>
      <c r="I42" s="113">
        <f t="shared" si="2"/>
        <v>0.807212407801339</v>
      </c>
      <c r="J42" s="98"/>
      <c r="K42" s="98"/>
    </row>
    <row r="43" ht="38.25" spans="1:11">
      <c r="A43" s="114">
        <v>174</v>
      </c>
      <c r="B43" s="115" t="s">
        <v>804</v>
      </c>
      <c r="C43" s="110" t="s">
        <v>2003</v>
      </c>
      <c r="D43" s="123" t="s">
        <v>412</v>
      </c>
      <c r="E43" s="124">
        <v>23273.88</v>
      </c>
      <c r="F43" s="124">
        <v>0.89</v>
      </c>
      <c r="G43" s="112">
        <f t="shared" si="0"/>
        <v>20713.75</v>
      </c>
      <c r="H43" s="113">
        <f t="shared" si="1"/>
        <v>0.0046663382889142</v>
      </c>
      <c r="I43" s="113">
        <f t="shared" si="2"/>
        <v>0.811878746090253</v>
      </c>
    </row>
    <row r="44" s="95" customFormat="1" ht="25.5" spans="1:11">
      <c r="A44" s="127">
        <v>113</v>
      </c>
      <c r="B44" s="128" t="s">
        <v>714</v>
      </c>
      <c r="C44" s="118" t="s">
        <v>715</v>
      </c>
      <c r="D44" s="126" t="s">
        <v>466</v>
      </c>
      <c r="E44" s="121">
        <v>51</v>
      </c>
      <c r="F44" s="121">
        <v>400</v>
      </c>
      <c r="G44" s="121">
        <f t="shared" si="0"/>
        <v>20400</v>
      </c>
      <c r="H44" s="122">
        <f t="shared" si="1"/>
        <v>0.00459565752670809</v>
      </c>
      <c r="I44" s="122">
        <f t="shared" si="2"/>
        <v>0.816474403616961</v>
      </c>
    </row>
    <row r="45" s="95" customFormat="1" ht="25.5" spans="1:11">
      <c r="A45" s="117">
        <v>47</v>
      </c>
      <c r="B45" s="117">
        <v>1514603085189</v>
      </c>
      <c r="C45" s="118" t="s">
        <v>643</v>
      </c>
      <c r="D45" s="119" t="s">
        <v>494</v>
      </c>
      <c r="E45" s="120">
        <v>1</v>
      </c>
      <c r="F45" s="120">
        <v>20262.94</v>
      </c>
      <c r="G45" s="121">
        <f t="shared" si="0"/>
        <v>20262.94</v>
      </c>
      <c r="H45" s="122">
        <f t="shared" si="1"/>
        <v>0.00456478101589384</v>
      </c>
      <c r="I45" s="122">
        <f t="shared" si="2"/>
        <v>0.821039184632855</v>
      </c>
    </row>
    <row r="46" s="95" customFormat="1" ht="38.25" spans="1:11">
      <c r="A46" s="114">
        <v>151</v>
      </c>
      <c r="B46" s="115" t="s">
        <v>761</v>
      </c>
      <c r="C46" s="110" t="s">
        <v>2004</v>
      </c>
      <c r="D46" s="111" t="s">
        <v>601</v>
      </c>
      <c r="E46" s="112">
        <v>3136.09</v>
      </c>
      <c r="F46" s="112">
        <v>6.46</v>
      </c>
      <c r="G46" s="112">
        <f t="shared" si="0"/>
        <v>20259.14</v>
      </c>
      <c r="H46" s="113">
        <f t="shared" si="1"/>
        <v>0.00456392496204083</v>
      </c>
      <c r="I46" s="113">
        <f t="shared" si="2"/>
        <v>0.825603109594896</v>
      </c>
      <c r="J46" s="98"/>
      <c r="K46" s="98"/>
    </row>
    <row r="47" s="95" customFormat="1" spans="1:11">
      <c r="A47" s="114">
        <v>181</v>
      </c>
      <c r="B47" s="115" t="s">
        <v>818</v>
      </c>
      <c r="C47" s="116" t="s">
        <v>819</v>
      </c>
      <c r="D47" s="123" t="s">
        <v>476</v>
      </c>
      <c r="E47" s="124">
        <v>70.02</v>
      </c>
      <c r="F47" s="124">
        <v>266.67</v>
      </c>
      <c r="G47" s="112">
        <f t="shared" si="0"/>
        <v>18672.23</v>
      </c>
      <c r="H47" s="113">
        <f t="shared" si="1"/>
        <v>0.00420643011470218</v>
      </c>
      <c r="I47" s="113">
        <f t="shared" si="2"/>
        <v>0.829809539709598</v>
      </c>
      <c r="J47" s="98"/>
      <c r="K47" s="98"/>
    </row>
    <row r="48" s="95" customFormat="1" ht="25.5" spans="1:11">
      <c r="A48" s="125">
        <v>89</v>
      </c>
      <c r="B48" s="125">
        <v>1515903060058</v>
      </c>
      <c r="C48" s="118" t="s">
        <v>685</v>
      </c>
      <c r="D48" s="126" t="s">
        <v>494</v>
      </c>
      <c r="E48" s="121">
        <v>1</v>
      </c>
      <c r="F48" s="121">
        <v>17923.43</v>
      </c>
      <c r="G48" s="121">
        <f t="shared" si="0"/>
        <v>17923.43</v>
      </c>
      <c r="H48" s="122">
        <f t="shared" si="1"/>
        <v>0.00403774245019243</v>
      </c>
      <c r="I48" s="122">
        <f t="shared" si="2"/>
        <v>0.833847282159791</v>
      </c>
    </row>
    <row r="49" s="95" customFormat="1" ht="25.5" spans="1:11">
      <c r="A49" s="108">
        <v>39</v>
      </c>
      <c r="B49" s="108">
        <v>1513903023019</v>
      </c>
      <c r="C49" s="110" t="s">
        <v>2005</v>
      </c>
      <c r="D49" s="111" t="s">
        <v>494</v>
      </c>
      <c r="E49" s="112">
        <v>1</v>
      </c>
      <c r="F49" s="112">
        <v>16948.98</v>
      </c>
      <c r="G49" s="112">
        <f t="shared" si="0"/>
        <v>16948.98</v>
      </c>
      <c r="H49" s="113">
        <f t="shared" si="1"/>
        <v>0.00381822095622671</v>
      </c>
      <c r="I49" s="113">
        <f t="shared" si="2"/>
        <v>0.837665503116018</v>
      </c>
      <c r="J49" s="98"/>
      <c r="K49" s="98"/>
    </row>
    <row r="50" s="95" customFormat="1" ht="25.5" spans="1:11">
      <c r="A50" s="114">
        <v>146</v>
      </c>
      <c r="B50" s="115" t="s">
        <v>751</v>
      </c>
      <c r="C50" s="116" t="s">
        <v>752</v>
      </c>
      <c r="D50" s="111" t="s">
        <v>476</v>
      </c>
      <c r="E50" s="112">
        <v>101.22</v>
      </c>
      <c r="F50" s="112">
        <v>159.92</v>
      </c>
      <c r="G50" s="112">
        <f t="shared" si="0"/>
        <v>16187.1</v>
      </c>
      <c r="H50" s="113">
        <f t="shared" si="1"/>
        <v>0.00364658666424395</v>
      </c>
      <c r="I50" s="113">
        <f t="shared" si="2"/>
        <v>0.841312089780262</v>
      </c>
      <c r="J50" s="98"/>
      <c r="K50" s="98"/>
    </row>
    <row r="51" s="95" customFormat="1" ht="25.5" spans="1:11">
      <c r="A51" s="125">
        <v>14</v>
      </c>
      <c r="B51" s="125">
        <v>1505503002016</v>
      </c>
      <c r="C51" s="118" t="s">
        <v>610</v>
      </c>
      <c r="D51" s="126" t="s">
        <v>494</v>
      </c>
      <c r="E51" s="121">
        <v>6</v>
      </c>
      <c r="F51" s="121">
        <v>2658.58</v>
      </c>
      <c r="G51" s="121">
        <f t="shared" si="0"/>
        <v>15951.48</v>
      </c>
      <c r="H51" s="122">
        <f t="shared" si="1"/>
        <v>0.00359350681981047</v>
      </c>
      <c r="I51" s="122">
        <f t="shared" si="2"/>
        <v>0.844905596600072</v>
      </c>
    </row>
    <row r="52" s="95" customFormat="1" spans="1:11">
      <c r="A52" s="114">
        <v>254</v>
      </c>
      <c r="B52" s="115" t="s">
        <v>919</v>
      </c>
      <c r="C52" s="116" t="s">
        <v>920</v>
      </c>
      <c r="D52" s="123" t="s">
        <v>466</v>
      </c>
      <c r="E52" s="124">
        <v>2672.53</v>
      </c>
      <c r="F52" s="124">
        <v>5.85</v>
      </c>
      <c r="G52" s="112">
        <f t="shared" si="0"/>
        <v>15634.3</v>
      </c>
      <c r="H52" s="113">
        <f t="shared" si="1"/>
        <v>0.00352205335636335</v>
      </c>
      <c r="I52" s="113">
        <f t="shared" si="2"/>
        <v>0.848427649956435</v>
      </c>
      <c r="J52" s="98"/>
      <c r="K52" s="98"/>
    </row>
    <row r="53" s="95" customFormat="1" ht="25.5" spans="1:11">
      <c r="A53" s="133">
        <v>107</v>
      </c>
      <c r="B53" s="134" t="s">
        <v>703</v>
      </c>
      <c r="C53" s="118" t="s">
        <v>704</v>
      </c>
      <c r="D53" s="126" t="s">
        <v>112</v>
      </c>
      <c r="E53" s="121">
        <v>14.55</v>
      </c>
      <c r="F53" s="121">
        <v>989.1</v>
      </c>
      <c r="G53" s="121">
        <f t="shared" si="0"/>
        <v>14391.41</v>
      </c>
      <c r="H53" s="122">
        <f t="shared" si="1"/>
        <v>0.00324205841600206</v>
      </c>
      <c r="I53" s="122">
        <f t="shared" si="2"/>
        <v>0.851669708372437</v>
      </c>
    </row>
    <row r="54" s="95" customFormat="1" ht="25.5" spans="1:11">
      <c r="A54" s="114">
        <v>237</v>
      </c>
      <c r="B54" s="115" t="s">
        <v>897</v>
      </c>
      <c r="C54" s="116" t="s">
        <v>326</v>
      </c>
      <c r="D54" s="123" t="s">
        <v>476</v>
      </c>
      <c r="E54" s="124">
        <v>6.71</v>
      </c>
      <c r="F54" s="124">
        <v>2136.73</v>
      </c>
      <c r="G54" s="112">
        <f t="shared" si="0"/>
        <v>14337.46</v>
      </c>
      <c r="H54" s="113">
        <f t="shared" si="1"/>
        <v>0.00322990470406256</v>
      </c>
      <c r="I54" s="113">
        <f t="shared" si="2"/>
        <v>0.8548996130765</v>
      </c>
      <c r="J54" s="98"/>
      <c r="K54" s="98"/>
    </row>
    <row r="55" s="95" customFormat="1" ht="25.5" spans="1:11">
      <c r="A55" s="114">
        <v>245</v>
      </c>
      <c r="B55" s="115" t="s">
        <v>572</v>
      </c>
      <c r="C55" s="116" t="s">
        <v>573</v>
      </c>
      <c r="D55" s="111" t="s">
        <v>466</v>
      </c>
      <c r="E55" s="112">
        <v>298.4</v>
      </c>
      <c r="F55" s="112">
        <v>47.72</v>
      </c>
      <c r="G55" s="112">
        <f t="shared" si="0"/>
        <v>14239.65</v>
      </c>
      <c r="H55" s="113">
        <f t="shared" si="1"/>
        <v>0.00320787032844063</v>
      </c>
      <c r="I55" s="113">
        <f t="shared" si="2"/>
        <v>0.858107483404941</v>
      </c>
      <c r="J55" s="98"/>
      <c r="K55" s="98"/>
    </row>
    <row r="56" ht="25.5" spans="1:11">
      <c r="A56" s="108">
        <v>3</v>
      </c>
      <c r="B56" s="109">
        <v>173003001001</v>
      </c>
      <c r="C56" s="116" t="s">
        <v>597</v>
      </c>
      <c r="D56" s="111" t="s">
        <v>598</v>
      </c>
      <c r="E56" s="112">
        <v>9</v>
      </c>
      <c r="F56" s="112">
        <v>1578.72</v>
      </c>
      <c r="G56" s="112">
        <f t="shared" si="0"/>
        <v>14208.48</v>
      </c>
      <c r="H56" s="113">
        <f t="shared" si="1"/>
        <v>0.00320084843407261</v>
      </c>
      <c r="I56" s="113">
        <f t="shared" si="2"/>
        <v>0.861308331839013</v>
      </c>
    </row>
    <row r="57" s="95" customFormat="1" ht="25.5" spans="1:11">
      <c r="A57" s="117">
        <v>85</v>
      </c>
      <c r="B57" s="117">
        <v>1515903059022</v>
      </c>
      <c r="C57" s="118" t="s">
        <v>681</v>
      </c>
      <c r="D57" s="119" t="s">
        <v>494</v>
      </c>
      <c r="E57" s="120">
        <v>3</v>
      </c>
      <c r="F57" s="120">
        <v>4647.23</v>
      </c>
      <c r="G57" s="121">
        <f t="shared" si="0"/>
        <v>13941.69</v>
      </c>
      <c r="H57" s="122">
        <f t="shared" si="1"/>
        <v>0.00314074669527112</v>
      </c>
      <c r="I57" s="122">
        <f t="shared" si="2"/>
        <v>0.864449078534284</v>
      </c>
    </row>
    <row r="58" s="95" customFormat="1" ht="25.5" spans="1:11">
      <c r="A58" s="125">
        <v>83</v>
      </c>
      <c r="B58" s="125">
        <v>1515903114003</v>
      </c>
      <c r="C58" s="118" t="s">
        <v>679</v>
      </c>
      <c r="D58" s="126" t="s">
        <v>494</v>
      </c>
      <c r="E58" s="121">
        <v>1</v>
      </c>
      <c r="F58" s="121">
        <v>13736.82</v>
      </c>
      <c r="G58" s="121">
        <f t="shared" si="0"/>
        <v>13736.82</v>
      </c>
      <c r="H58" s="122">
        <f t="shared" si="1"/>
        <v>0.00309459412872717</v>
      </c>
      <c r="I58" s="122">
        <f t="shared" si="2"/>
        <v>0.867543672663012</v>
      </c>
    </row>
    <row r="59" s="95" customFormat="1" ht="25.5" spans="1:11">
      <c r="A59" s="125">
        <v>123</v>
      </c>
      <c r="B59" s="125">
        <v>2290005007047</v>
      </c>
      <c r="C59" s="118" t="s">
        <v>727</v>
      </c>
      <c r="D59" s="126" t="s">
        <v>494</v>
      </c>
      <c r="E59" s="121">
        <v>1</v>
      </c>
      <c r="F59" s="121">
        <v>12658</v>
      </c>
      <c r="G59" s="121">
        <f t="shared" si="0"/>
        <v>12658</v>
      </c>
      <c r="H59" s="122">
        <f t="shared" si="1"/>
        <v>0.00285156043985642</v>
      </c>
      <c r="I59" s="122">
        <f t="shared" si="2"/>
        <v>0.870395233102868</v>
      </c>
    </row>
    <row r="60" ht="25.5" spans="1:11">
      <c r="A60" s="114">
        <v>258</v>
      </c>
      <c r="B60" s="115" t="s">
        <v>923</v>
      </c>
      <c r="C60" s="110" t="s">
        <v>2006</v>
      </c>
      <c r="D60" s="111" t="s">
        <v>466</v>
      </c>
      <c r="E60" s="112">
        <v>25</v>
      </c>
      <c r="F60" s="112">
        <v>465.22</v>
      </c>
      <c r="G60" s="112">
        <f t="shared" si="0"/>
        <v>11630.5</v>
      </c>
      <c r="H60" s="113">
        <f t="shared" si="1"/>
        <v>0.00262008798354796</v>
      </c>
      <c r="I60" s="113">
        <f t="shared" si="2"/>
        <v>0.873015321086416</v>
      </c>
    </row>
    <row r="61" s="95" customFormat="1" ht="25.5" spans="1:11">
      <c r="A61" s="125">
        <v>104</v>
      </c>
      <c r="B61" s="125">
        <v>1515903046003</v>
      </c>
      <c r="C61" s="118" t="s">
        <v>700</v>
      </c>
      <c r="D61" s="126" t="s">
        <v>494</v>
      </c>
      <c r="E61" s="121">
        <v>1</v>
      </c>
      <c r="F61" s="121">
        <v>11575.18</v>
      </c>
      <c r="G61" s="121">
        <f t="shared" si="0"/>
        <v>11575.18</v>
      </c>
      <c r="H61" s="122">
        <f t="shared" si="1"/>
        <v>0.00260762564166671</v>
      </c>
      <c r="I61" s="122">
        <f t="shared" si="2"/>
        <v>0.875622946728083</v>
      </c>
    </row>
    <row r="62" s="95" customFormat="1" ht="25.5" spans="1:11">
      <c r="A62" s="117">
        <v>52</v>
      </c>
      <c r="B62" s="117">
        <v>1514603061021</v>
      </c>
      <c r="C62" s="118" t="s">
        <v>648</v>
      </c>
      <c r="D62" s="119" t="s">
        <v>494</v>
      </c>
      <c r="E62" s="120">
        <v>1</v>
      </c>
      <c r="F62" s="120">
        <v>10737.3</v>
      </c>
      <c r="G62" s="121">
        <f t="shared" si="0"/>
        <v>10737.3</v>
      </c>
      <c r="H62" s="122">
        <f t="shared" si="1"/>
        <v>0.00241887027262366</v>
      </c>
      <c r="I62" s="122">
        <f t="shared" si="2"/>
        <v>0.878041817000706</v>
      </c>
    </row>
    <row r="63" s="95" customFormat="1" ht="25.5" spans="1:11">
      <c r="A63" s="114">
        <v>177</v>
      </c>
      <c r="B63" s="115" t="s">
        <v>810</v>
      </c>
      <c r="C63" s="110" t="s">
        <v>2007</v>
      </c>
      <c r="D63" s="111" t="s">
        <v>412</v>
      </c>
      <c r="E63" s="112">
        <v>3503.15</v>
      </c>
      <c r="F63" s="112">
        <v>3.06</v>
      </c>
      <c r="G63" s="112">
        <f t="shared" si="0"/>
        <v>10719.64</v>
      </c>
      <c r="H63" s="113">
        <f t="shared" si="1"/>
        <v>0.00241489187498045</v>
      </c>
      <c r="I63" s="113">
        <f t="shared" si="2"/>
        <v>0.880456708875687</v>
      </c>
      <c r="J63" s="98"/>
      <c r="K63" s="98"/>
    </row>
    <row r="64" s="95" customFormat="1" ht="25.5" spans="1:11">
      <c r="A64" s="114">
        <v>155</v>
      </c>
      <c r="B64" s="115" t="s">
        <v>769</v>
      </c>
      <c r="C64" s="116" t="s">
        <v>770</v>
      </c>
      <c r="D64" s="123" t="s">
        <v>476</v>
      </c>
      <c r="E64" s="124">
        <v>64.9</v>
      </c>
      <c r="F64" s="124">
        <v>164.8</v>
      </c>
      <c r="G64" s="112">
        <f t="shared" si="0"/>
        <v>10695.52</v>
      </c>
      <c r="H64" s="113">
        <f t="shared" si="1"/>
        <v>0.0024094581857871</v>
      </c>
      <c r="I64" s="113">
        <f t="shared" si="2"/>
        <v>0.882866167061474</v>
      </c>
      <c r="J64" s="98"/>
      <c r="K64" s="98"/>
    </row>
    <row r="65" s="95" customFormat="1" ht="25.5" spans="1:11">
      <c r="A65" s="117">
        <v>45</v>
      </c>
      <c r="B65" s="117">
        <v>1514603025060</v>
      </c>
      <c r="C65" s="118" t="s">
        <v>641</v>
      </c>
      <c r="D65" s="119" t="s">
        <v>494</v>
      </c>
      <c r="E65" s="120">
        <v>2</v>
      </c>
      <c r="F65" s="120">
        <v>5083.3</v>
      </c>
      <c r="G65" s="121">
        <f t="shared" si="0"/>
        <v>10166.6</v>
      </c>
      <c r="H65" s="122">
        <f t="shared" si="1"/>
        <v>0.00229030450054071</v>
      </c>
      <c r="I65" s="122">
        <f t="shared" si="2"/>
        <v>0.885156471562015</v>
      </c>
    </row>
    <row r="66" s="95" customFormat="1" ht="25.5" spans="1:11">
      <c r="A66" s="125">
        <v>105</v>
      </c>
      <c r="B66" s="125">
        <v>1515903101020</v>
      </c>
      <c r="C66" s="118" t="s">
        <v>701</v>
      </c>
      <c r="D66" s="126" t="s">
        <v>494</v>
      </c>
      <c r="E66" s="121">
        <v>1</v>
      </c>
      <c r="F66" s="121">
        <v>9888</v>
      </c>
      <c r="G66" s="121">
        <f t="shared" ref="G66:G129" si="3">ROUND(E66*F66,2)</f>
        <v>9888</v>
      </c>
      <c r="H66" s="122">
        <f t="shared" si="1"/>
        <v>0.00222754223647498</v>
      </c>
      <c r="I66" s="122">
        <f t="shared" si="2"/>
        <v>0.88738401379849</v>
      </c>
    </row>
    <row r="67" s="95" customFormat="1" ht="25.5" spans="1:11">
      <c r="A67" s="117">
        <v>91</v>
      </c>
      <c r="B67" s="117">
        <v>1515903060021</v>
      </c>
      <c r="C67" s="118" t="s">
        <v>687</v>
      </c>
      <c r="D67" s="119" t="s">
        <v>494</v>
      </c>
      <c r="E67" s="120">
        <v>7</v>
      </c>
      <c r="F67" s="120">
        <v>1356.4</v>
      </c>
      <c r="G67" s="121">
        <f t="shared" si="3"/>
        <v>9494.8</v>
      </c>
      <c r="H67" s="122">
        <f t="shared" ref="H67:H130" si="4">G67/$J$1</f>
        <v>0.00213896319042098</v>
      </c>
      <c r="I67" s="122">
        <f t="shared" si="2"/>
        <v>0.889522976988911</v>
      </c>
    </row>
    <row r="68" s="95" customFormat="1" ht="25.5" spans="1:11">
      <c r="A68" s="114">
        <v>186</v>
      </c>
      <c r="B68" s="115" t="s">
        <v>828</v>
      </c>
      <c r="C68" s="110" t="s">
        <v>2008</v>
      </c>
      <c r="D68" s="111" t="s">
        <v>466</v>
      </c>
      <c r="E68" s="112">
        <v>603</v>
      </c>
      <c r="F68" s="112">
        <v>15.46</v>
      </c>
      <c r="G68" s="112">
        <f t="shared" si="3"/>
        <v>9322.38</v>
      </c>
      <c r="H68" s="113">
        <f t="shared" si="4"/>
        <v>0.0021001208732271</v>
      </c>
      <c r="I68" s="113">
        <f t="shared" ref="I68:I131" si="5">H68+I67</f>
        <v>0.891623097862138</v>
      </c>
      <c r="J68" s="98"/>
      <c r="K68" s="98"/>
    </row>
    <row r="69" s="95" customFormat="1" ht="25.5" spans="1:11">
      <c r="A69" s="117">
        <v>63</v>
      </c>
      <c r="B69" s="117">
        <v>1515903098034</v>
      </c>
      <c r="C69" s="118" t="s">
        <v>659</v>
      </c>
      <c r="D69" s="119" t="s">
        <v>494</v>
      </c>
      <c r="E69" s="120">
        <v>26</v>
      </c>
      <c r="F69" s="120">
        <v>351.51</v>
      </c>
      <c r="G69" s="121">
        <f t="shared" si="3"/>
        <v>9139.26</v>
      </c>
      <c r="H69" s="122">
        <f t="shared" si="4"/>
        <v>0.00205886808860501</v>
      </c>
      <c r="I69" s="122">
        <f t="shared" si="5"/>
        <v>0.893681965950743</v>
      </c>
    </row>
    <row r="70" s="95" customFormat="1" ht="25.5" spans="1:11">
      <c r="A70" s="108">
        <v>227</v>
      </c>
      <c r="B70" s="108">
        <v>8004508130031</v>
      </c>
      <c r="C70" s="116" t="s">
        <v>886</v>
      </c>
      <c r="D70" s="111" t="s">
        <v>494</v>
      </c>
      <c r="E70" s="112">
        <v>52</v>
      </c>
      <c r="F70" s="112">
        <v>168.11</v>
      </c>
      <c r="G70" s="112">
        <f t="shared" si="3"/>
        <v>8741.72</v>
      </c>
      <c r="H70" s="113">
        <f t="shared" si="4"/>
        <v>0.00196931133893993</v>
      </c>
      <c r="I70" s="113">
        <f t="shared" si="5"/>
        <v>0.895651277289683</v>
      </c>
      <c r="J70" s="98"/>
      <c r="K70" s="98"/>
    </row>
    <row r="71" s="95" customFormat="1" ht="51" spans="1:11">
      <c r="A71" s="125">
        <v>53</v>
      </c>
      <c r="B71" s="125">
        <v>1514603046048</v>
      </c>
      <c r="C71" s="118" t="s">
        <v>649</v>
      </c>
      <c r="D71" s="126" t="s">
        <v>494</v>
      </c>
      <c r="E71" s="121">
        <v>2</v>
      </c>
      <c r="F71" s="121">
        <v>4262.89</v>
      </c>
      <c r="G71" s="121">
        <f t="shared" si="3"/>
        <v>8525.78</v>
      </c>
      <c r="H71" s="122">
        <f t="shared" si="4"/>
        <v>0.00192066495235575</v>
      </c>
      <c r="I71" s="122">
        <f t="shared" si="5"/>
        <v>0.897571942242038</v>
      </c>
    </row>
    <row r="72" s="95" customFormat="1" ht="25.5" spans="1:11">
      <c r="A72" s="125">
        <v>70</v>
      </c>
      <c r="B72" s="125">
        <v>1515903062005</v>
      </c>
      <c r="C72" s="118" t="s">
        <v>666</v>
      </c>
      <c r="D72" s="126" t="s">
        <v>494</v>
      </c>
      <c r="E72" s="121">
        <v>1</v>
      </c>
      <c r="F72" s="121">
        <v>8232.82</v>
      </c>
      <c r="G72" s="121">
        <f t="shared" si="3"/>
        <v>8232.82</v>
      </c>
      <c r="H72" s="122">
        <f t="shared" si="4"/>
        <v>0.00185466770583494</v>
      </c>
      <c r="I72" s="122">
        <f t="shared" si="5"/>
        <v>0.899426609947873</v>
      </c>
    </row>
    <row r="73" s="95" customFormat="1" ht="25.5" spans="1:11">
      <c r="A73" s="125">
        <v>102</v>
      </c>
      <c r="B73" s="125">
        <v>1515903042120</v>
      </c>
      <c r="C73" s="118" t="s">
        <v>698</v>
      </c>
      <c r="D73" s="126" t="s">
        <v>494</v>
      </c>
      <c r="E73" s="121">
        <v>3</v>
      </c>
      <c r="F73" s="121">
        <v>2719.37</v>
      </c>
      <c r="G73" s="121">
        <f t="shared" si="3"/>
        <v>8158.11</v>
      </c>
      <c r="H73" s="122">
        <f t="shared" si="4"/>
        <v>0.00183783723653003</v>
      </c>
      <c r="I73" s="122">
        <f t="shared" si="5"/>
        <v>0.901264447184403</v>
      </c>
    </row>
    <row r="74" s="95" customFormat="1" spans="1:11">
      <c r="A74" s="114">
        <v>248</v>
      </c>
      <c r="B74" s="115" t="s">
        <v>910</v>
      </c>
      <c r="C74" s="116" t="s">
        <v>911</v>
      </c>
      <c r="D74" s="123" t="s">
        <v>466</v>
      </c>
      <c r="E74" s="124">
        <v>187</v>
      </c>
      <c r="F74" s="124">
        <v>43.11</v>
      </c>
      <c r="G74" s="112">
        <f t="shared" si="3"/>
        <v>8061.57</v>
      </c>
      <c r="H74" s="113">
        <f t="shared" si="4"/>
        <v>0.00181608896311687</v>
      </c>
      <c r="I74" s="113">
        <f t="shared" si="5"/>
        <v>0.90308053614752</v>
      </c>
      <c r="J74" s="98"/>
      <c r="K74" s="98"/>
    </row>
    <row r="75" s="95" customFormat="1" spans="1:11">
      <c r="A75" s="114">
        <v>272</v>
      </c>
      <c r="B75" s="115" t="s">
        <v>946</v>
      </c>
      <c r="C75" s="116" t="s">
        <v>947</v>
      </c>
      <c r="D75" s="123" t="s">
        <v>476</v>
      </c>
      <c r="E75" s="124">
        <v>125.54</v>
      </c>
      <c r="F75" s="124">
        <v>62.35</v>
      </c>
      <c r="G75" s="112">
        <f t="shared" si="3"/>
        <v>7827.42</v>
      </c>
      <c r="H75" s="113">
        <f t="shared" si="4"/>
        <v>0.00176334027635811</v>
      </c>
      <c r="I75" s="113">
        <f t="shared" si="5"/>
        <v>0.904843876423878</v>
      </c>
      <c r="J75" s="98"/>
      <c r="K75" s="98"/>
    </row>
    <row r="76" s="95" customFormat="1" ht="25.5" spans="1:11">
      <c r="A76" s="114">
        <v>251</v>
      </c>
      <c r="B76" s="115" t="s">
        <v>560</v>
      </c>
      <c r="C76" s="116" t="s">
        <v>915</v>
      </c>
      <c r="D76" s="123" t="s">
        <v>494</v>
      </c>
      <c r="E76" s="124">
        <v>1</v>
      </c>
      <c r="F76" s="124">
        <v>7767.71</v>
      </c>
      <c r="G76" s="112">
        <f t="shared" si="3"/>
        <v>7767.71</v>
      </c>
      <c r="H76" s="113">
        <f t="shared" si="4"/>
        <v>0.0017498889669993</v>
      </c>
      <c r="I76" s="113">
        <f t="shared" si="5"/>
        <v>0.906593765390878</v>
      </c>
      <c r="J76" s="98"/>
      <c r="K76" s="98"/>
    </row>
    <row r="77" s="95" customFormat="1" ht="25.5" spans="1:11">
      <c r="A77" s="108">
        <v>257</v>
      </c>
      <c r="B77" s="108">
        <v>8008008010033</v>
      </c>
      <c r="C77" s="110" t="s">
        <v>2009</v>
      </c>
      <c r="D77" s="111" t="s">
        <v>466</v>
      </c>
      <c r="E77" s="112">
        <v>10</v>
      </c>
      <c r="F77" s="112">
        <v>771.27</v>
      </c>
      <c r="G77" s="112">
        <f t="shared" si="3"/>
        <v>7712.7</v>
      </c>
      <c r="H77" s="113">
        <f t="shared" si="4"/>
        <v>0.00173749646109027</v>
      </c>
      <c r="I77" s="113">
        <f t="shared" si="5"/>
        <v>0.908331261851968</v>
      </c>
      <c r="J77" s="98"/>
      <c r="K77" s="98"/>
    </row>
    <row r="78" s="95" customFormat="1" ht="25.5" spans="1:11">
      <c r="A78" s="108">
        <v>36</v>
      </c>
      <c r="B78" s="108">
        <v>1513903023011</v>
      </c>
      <c r="C78" s="110" t="s">
        <v>2010</v>
      </c>
      <c r="D78" s="111" t="s">
        <v>494</v>
      </c>
      <c r="E78" s="112">
        <v>3</v>
      </c>
      <c r="F78" s="112">
        <v>2551.46</v>
      </c>
      <c r="G78" s="112">
        <f t="shared" si="3"/>
        <v>7654.38</v>
      </c>
      <c r="H78" s="113">
        <f t="shared" si="4"/>
        <v>0.0017243582872198</v>
      </c>
      <c r="I78" s="113">
        <f t="shared" si="5"/>
        <v>0.910055620139188</v>
      </c>
      <c r="J78" s="98"/>
      <c r="K78" s="98"/>
    </row>
    <row r="79" s="95" customFormat="1" ht="25.5" spans="1:11">
      <c r="A79" s="114">
        <v>193</v>
      </c>
      <c r="B79" s="115" t="s">
        <v>562</v>
      </c>
      <c r="C79" s="116" t="s">
        <v>563</v>
      </c>
      <c r="D79" s="123" t="s">
        <v>466</v>
      </c>
      <c r="E79" s="124">
        <v>79.42</v>
      </c>
      <c r="F79" s="124">
        <v>95.5</v>
      </c>
      <c r="G79" s="112">
        <f t="shared" si="3"/>
        <v>7584.61</v>
      </c>
      <c r="H79" s="113">
        <f t="shared" si="4"/>
        <v>0.0017086406879238</v>
      </c>
      <c r="I79" s="113">
        <f t="shared" si="5"/>
        <v>0.911764260827112</v>
      </c>
      <c r="J79" s="98"/>
      <c r="K79" s="98"/>
    </row>
    <row r="80" s="95" customFormat="1" ht="25.5" spans="1:11">
      <c r="A80" s="114">
        <v>189</v>
      </c>
      <c r="B80" s="115" t="s">
        <v>834</v>
      </c>
      <c r="C80" s="110" t="s">
        <v>2011</v>
      </c>
      <c r="D80" s="111" t="s">
        <v>112</v>
      </c>
      <c r="E80" s="112">
        <v>128.78</v>
      </c>
      <c r="F80" s="112">
        <v>58.77</v>
      </c>
      <c r="G80" s="112">
        <f t="shared" si="3"/>
        <v>7568.4</v>
      </c>
      <c r="H80" s="113">
        <f t="shared" si="4"/>
        <v>0.0017049889424087</v>
      </c>
      <c r="I80" s="113">
        <f t="shared" si="5"/>
        <v>0.91346924976952</v>
      </c>
      <c r="J80" s="98"/>
      <c r="K80" s="98"/>
    </row>
    <row r="81" s="95" customFormat="1" ht="25.5" spans="1:11">
      <c r="A81" s="125">
        <v>96</v>
      </c>
      <c r="B81" s="125">
        <v>1515903040011</v>
      </c>
      <c r="C81" s="118" t="s">
        <v>692</v>
      </c>
      <c r="D81" s="126" t="s">
        <v>112</v>
      </c>
      <c r="E81" s="121">
        <v>3</v>
      </c>
      <c r="F81" s="121">
        <v>2367.44</v>
      </c>
      <c r="G81" s="121">
        <f t="shared" si="3"/>
        <v>7102.32</v>
      </c>
      <c r="H81" s="122">
        <f t="shared" si="4"/>
        <v>0.00159999168456321</v>
      </c>
      <c r="I81" s="122">
        <f t="shared" si="5"/>
        <v>0.915069241454083</v>
      </c>
    </row>
    <row r="82" s="95" customFormat="1" ht="25.5" spans="1:11">
      <c r="A82" s="117">
        <v>74</v>
      </c>
      <c r="B82" s="117">
        <v>1515903084008</v>
      </c>
      <c r="C82" s="118" t="s">
        <v>670</v>
      </c>
      <c r="D82" s="119" t="s">
        <v>494</v>
      </c>
      <c r="E82" s="120">
        <v>1</v>
      </c>
      <c r="F82" s="120">
        <v>7053.62</v>
      </c>
      <c r="G82" s="121">
        <f t="shared" si="3"/>
        <v>7053.62</v>
      </c>
      <c r="H82" s="122">
        <f t="shared" si="4"/>
        <v>0.00158902067860484</v>
      </c>
      <c r="I82" s="122">
        <f t="shared" si="5"/>
        <v>0.916658262132688</v>
      </c>
    </row>
    <row r="83" s="95" customFormat="1" ht="51" spans="1:11">
      <c r="A83" s="125">
        <v>67</v>
      </c>
      <c r="B83" s="125">
        <v>1515903014138</v>
      </c>
      <c r="C83" s="118" t="s">
        <v>663</v>
      </c>
      <c r="D83" s="126" t="s">
        <v>494</v>
      </c>
      <c r="E83" s="121">
        <v>320</v>
      </c>
      <c r="F83" s="121">
        <v>22</v>
      </c>
      <c r="G83" s="121">
        <f t="shared" si="3"/>
        <v>7040</v>
      </c>
      <c r="H83" s="122">
        <f t="shared" si="4"/>
        <v>0.00158595240137377</v>
      </c>
      <c r="I83" s="122">
        <f t="shared" si="5"/>
        <v>0.918244214534062</v>
      </c>
    </row>
    <row r="84" s="95" customFormat="1" spans="1:11">
      <c r="A84" s="129">
        <v>134</v>
      </c>
      <c r="B84" s="129">
        <v>8001008020005</v>
      </c>
      <c r="C84" s="116" t="s">
        <v>736</v>
      </c>
      <c r="D84" s="123" t="s">
        <v>112</v>
      </c>
      <c r="E84" s="124">
        <v>2555.69</v>
      </c>
      <c r="F84" s="124">
        <v>2.71</v>
      </c>
      <c r="G84" s="112">
        <f t="shared" si="3"/>
        <v>6925.92</v>
      </c>
      <c r="H84" s="113">
        <f t="shared" si="4"/>
        <v>0.00156025276359696</v>
      </c>
      <c r="I84" s="113">
        <f t="shared" si="5"/>
        <v>0.919804467297659</v>
      </c>
      <c r="J84" s="98"/>
      <c r="K84" s="98"/>
    </row>
    <row r="85" s="95" customFormat="1" ht="25.5" spans="1:11">
      <c r="A85" s="117">
        <v>82</v>
      </c>
      <c r="B85" s="117">
        <v>1515903074016</v>
      </c>
      <c r="C85" s="118" t="s">
        <v>678</v>
      </c>
      <c r="D85" s="119" t="s">
        <v>494</v>
      </c>
      <c r="E85" s="120">
        <v>1</v>
      </c>
      <c r="F85" s="120">
        <v>6750.22</v>
      </c>
      <c r="G85" s="121">
        <f t="shared" si="3"/>
        <v>6750.22</v>
      </c>
      <c r="H85" s="122">
        <f t="shared" si="4"/>
        <v>0.00152067153676154</v>
      </c>
      <c r="I85" s="122">
        <f t="shared" si="5"/>
        <v>0.921325138834421</v>
      </c>
    </row>
    <row r="86" s="95" customFormat="1" ht="25.5" spans="1:11">
      <c r="A86" s="127">
        <v>112</v>
      </c>
      <c r="B86" s="128" t="s">
        <v>712</v>
      </c>
      <c r="C86" s="118" t="s">
        <v>713</v>
      </c>
      <c r="D86" s="126" t="s">
        <v>112</v>
      </c>
      <c r="E86" s="121">
        <v>36</v>
      </c>
      <c r="F86" s="121">
        <v>186.1</v>
      </c>
      <c r="G86" s="121">
        <f t="shared" si="3"/>
        <v>6699.6</v>
      </c>
      <c r="H86" s="122">
        <f t="shared" si="4"/>
        <v>0.00150926799833007</v>
      </c>
      <c r="I86" s="122">
        <f t="shared" si="5"/>
        <v>0.922834406832751</v>
      </c>
    </row>
    <row r="87" s="95" customFormat="1" ht="25.5" spans="1:11">
      <c r="A87" s="125">
        <v>103</v>
      </c>
      <c r="B87" s="125">
        <v>1515903042148</v>
      </c>
      <c r="C87" s="118" t="s">
        <v>699</v>
      </c>
      <c r="D87" s="126" t="s">
        <v>494</v>
      </c>
      <c r="E87" s="121">
        <v>1</v>
      </c>
      <c r="F87" s="121">
        <v>6678.99</v>
      </c>
      <c r="G87" s="121">
        <f t="shared" si="3"/>
        <v>6678.99</v>
      </c>
      <c r="H87" s="122">
        <f t="shared" si="4"/>
        <v>0.00150462503256412</v>
      </c>
      <c r="I87" s="122">
        <f t="shared" si="5"/>
        <v>0.924339031865315</v>
      </c>
    </row>
    <row r="88" s="95" customFormat="1" ht="25.5" spans="1:11">
      <c r="A88" s="114">
        <v>265</v>
      </c>
      <c r="B88" s="115" t="s">
        <v>935</v>
      </c>
      <c r="C88" s="116" t="s">
        <v>375</v>
      </c>
      <c r="D88" s="123" t="s">
        <v>494</v>
      </c>
      <c r="E88" s="124">
        <v>1</v>
      </c>
      <c r="F88" s="124">
        <v>6653.68</v>
      </c>
      <c r="G88" s="112">
        <f t="shared" si="3"/>
        <v>6653.68</v>
      </c>
      <c r="H88" s="113">
        <f t="shared" si="4"/>
        <v>0.00149892326334839</v>
      </c>
      <c r="I88" s="113">
        <f t="shared" si="5"/>
        <v>0.925837955128663</v>
      </c>
      <c r="J88" s="98"/>
      <c r="K88" s="98"/>
    </row>
    <row r="89" s="95" customFormat="1" ht="25.5" spans="1:11">
      <c r="A89" s="117">
        <v>79</v>
      </c>
      <c r="B89" s="117">
        <v>1515903061016</v>
      </c>
      <c r="C89" s="118" t="s">
        <v>675</v>
      </c>
      <c r="D89" s="119" t="s">
        <v>494</v>
      </c>
      <c r="E89" s="120">
        <v>2</v>
      </c>
      <c r="F89" s="120">
        <v>3325.54</v>
      </c>
      <c r="G89" s="121">
        <f t="shared" si="3"/>
        <v>6651.08</v>
      </c>
      <c r="H89" s="122">
        <f t="shared" si="4"/>
        <v>0.00149833754229106</v>
      </c>
      <c r="I89" s="122">
        <f t="shared" si="5"/>
        <v>0.927336292670954</v>
      </c>
    </row>
    <row r="90" s="95" customFormat="1" ht="25.5" spans="1:11">
      <c r="A90" s="117">
        <v>34</v>
      </c>
      <c r="B90" s="117">
        <v>1513903021124</v>
      </c>
      <c r="C90" s="118" t="s">
        <v>630</v>
      </c>
      <c r="D90" s="119" t="s">
        <v>494</v>
      </c>
      <c r="E90" s="120">
        <v>2</v>
      </c>
      <c r="F90" s="120">
        <v>3251</v>
      </c>
      <c r="G90" s="121">
        <f t="shared" si="3"/>
        <v>6502</v>
      </c>
      <c r="H90" s="122">
        <f t="shared" si="4"/>
        <v>0.00146475319797333</v>
      </c>
      <c r="I90" s="122">
        <f t="shared" si="5"/>
        <v>0.928801045868928</v>
      </c>
    </row>
    <row r="91" s="95" customFormat="1" ht="25.5" spans="1:11">
      <c r="A91" s="114">
        <v>214</v>
      </c>
      <c r="B91" s="115" t="s">
        <v>870</v>
      </c>
      <c r="C91" s="116" t="s">
        <v>871</v>
      </c>
      <c r="D91" s="123" t="s">
        <v>494</v>
      </c>
      <c r="E91" s="124">
        <v>21</v>
      </c>
      <c r="F91" s="124">
        <v>308.89</v>
      </c>
      <c r="G91" s="112">
        <f t="shared" si="3"/>
        <v>6486.69</v>
      </c>
      <c r="H91" s="113">
        <f t="shared" si="4"/>
        <v>0.001461304202055</v>
      </c>
      <c r="I91" s="113">
        <f t="shared" si="5"/>
        <v>0.930262350070983</v>
      </c>
      <c r="J91" s="98"/>
      <c r="K91" s="98"/>
    </row>
    <row r="92" s="95" customFormat="1" ht="25.5" spans="1:11">
      <c r="A92" s="127">
        <v>111</v>
      </c>
      <c r="B92" s="128" t="s">
        <v>710</v>
      </c>
      <c r="C92" s="118" t="s">
        <v>711</v>
      </c>
      <c r="D92" s="126" t="s">
        <v>494</v>
      </c>
      <c r="E92" s="121">
        <v>1</v>
      </c>
      <c r="F92" s="121">
        <v>6449.46</v>
      </c>
      <c r="G92" s="121">
        <f t="shared" si="3"/>
        <v>6449.46</v>
      </c>
      <c r="H92" s="122">
        <f t="shared" si="4"/>
        <v>0.00145291712706876</v>
      </c>
      <c r="I92" s="122">
        <f t="shared" si="5"/>
        <v>0.931715267198051</v>
      </c>
    </row>
    <row r="93" s="95" customFormat="1" ht="25.5" spans="1:11">
      <c r="A93" s="114">
        <v>247</v>
      </c>
      <c r="B93" s="115" t="s">
        <v>908</v>
      </c>
      <c r="C93" s="116" t="s">
        <v>909</v>
      </c>
      <c r="D93" s="123" t="s">
        <v>466</v>
      </c>
      <c r="E93" s="124">
        <v>158.84</v>
      </c>
      <c r="F93" s="124">
        <v>39.9</v>
      </c>
      <c r="G93" s="112">
        <f t="shared" si="3"/>
        <v>6337.72</v>
      </c>
      <c r="H93" s="113">
        <f t="shared" si="4"/>
        <v>0.00142774463824355</v>
      </c>
      <c r="I93" s="113">
        <f t="shared" si="5"/>
        <v>0.933143011836295</v>
      </c>
      <c r="J93" s="98"/>
      <c r="K93" s="98"/>
    </row>
    <row r="94" s="95" customFormat="1" ht="25.5" spans="1:11">
      <c r="A94" s="114">
        <v>264</v>
      </c>
      <c r="B94" s="115" t="s">
        <v>933</v>
      </c>
      <c r="C94" s="110" t="s">
        <v>2012</v>
      </c>
      <c r="D94" s="111" t="s">
        <v>494</v>
      </c>
      <c r="E94" s="112">
        <v>1</v>
      </c>
      <c r="F94" s="112">
        <v>6126.75</v>
      </c>
      <c r="G94" s="112">
        <f t="shared" si="3"/>
        <v>6126.75</v>
      </c>
      <c r="H94" s="113">
        <f t="shared" si="4"/>
        <v>0.00138021787998818</v>
      </c>
      <c r="I94" s="113">
        <f t="shared" si="5"/>
        <v>0.934523229716283</v>
      </c>
      <c r="J94" s="98"/>
      <c r="K94" s="98"/>
    </row>
    <row r="95" s="95" customFormat="1" spans="1:11">
      <c r="A95" s="114">
        <v>277</v>
      </c>
      <c r="B95" s="115" t="s">
        <v>956</v>
      </c>
      <c r="C95" s="116" t="s">
        <v>957</v>
      </c>
      <c r="D95" s="123" t="s">
        <v>476</v>
      </c>
      <c r="E95" s="124">
        <v>58.19</v>
      </c>
      <c r="F95" s="124">
        <v>103.91</v>
      </c>
      <c r="G95" s="112">
        <f t="shared" si="3"/>
        <v>6046.52</v>
      </c>
      <c r="H95" s="113">
        <f t="shared" si="4"/>
        <v>0.00136214387982309</v>
      </c>
      <c r="I95" s="113">
        <f t="shared" si="5"/>
        <v>0.935885373596106</v>
      </c>
      <c r="J95" s="98"/>
      <c r="K95" s="98"/>
    </row>
    <row r="96" s="95" customFormat="1" ht="51" spans="1:11">
      <c r="A96" s="131">
        <v>164</v>
      </c>
      <c r="B96" s="132" t="s">
        <v>784</v>
      </c>
      <c r="C96" s="110" t="s">
        <v>2013</v>
      </c>
      <c r="D96" s="111" t="s">
        <v>476</v>
      </c>
      <c r="E96" s="112">
        <v>822.53</v>
      </c>
      <c r="F96" s="112">
        <v>7.28</v>
      </c>
      <c r="G96" s="112">
        <f t="shared" si="3"/>
        <v>5988.02</v>
      </c>
      <c r="H96" s="113">
        <f t="shared" si="4"/>
        <v>0.00134896515603326</v>
      </c>
      <c r="I96" s="113">
        <f t="shared" si="5"/>
        <v>0.937234338752139</v>
      </c>
      <c r="J96" s="98"/>
      <c r="K96" s="98"/>
    </row>
    <row r="97" s="95" customFormat="1" ht="25.5" spans="1:11">
      <c r="A97" s="117">
        <v>44</v>
      </c>
      <c r="B97" s="117">
        <v>1514603025036</v>
      </c>
      <c r="C97" s="118" t="s">
        <v>640</v>
      </c>
      <c r="D97" s="119" t="s">
        <v>494</v>
      </c>
      <c r="E97" s="120">
        <v>2</v>
      </c>
      <c r="F97" s="120">
        <v>2963.84</v>
      </c>
      <c r="G97" s="121">
        <f t="shared" si="3"/>
        <v>5927.68</v>
      </c>
      <c r="H97" s="122">
        <f t="shared" si="4"/>
        <v>0.00133537192195672</v>
      </c>
      <c r="I97" s="122">
        <f t="shared" si="5"/>
        <v>0.938569710674096</v>
      </c>
    </row>
    <row r="98" s="95" customFormat="1" ht="25.5" spans="1:11">
      <c r="A98" s="117">
        <v>60</v>
      </c>
      <c r="B98" s="117">
        <v>1515903098048</v>
      </c>
      <c r="C98" s="118" t="s">
        <v>656</v>
      </c>
      <c r="D98" s="119" t="s">
        <v>494</v>
      </c>
      <c r="E98" s="120">
        <v>7</v>
      </c>
      <c r="F98" s="120">
        <v>838.36</v>
      </c>
      <c r="G98" s="121">
        <f t="shared" si="3"/>
        <v>5868.52</v>
      </c>
      <c r="H98" s="122">
        <f t="shared" si="4"/>
        <v>0.00132204451512926</v>
      </c>
      <c r="I98" s="122">
        <f t="shared" si="5"/>
        <v>0.939891755189226</v>
      </c>
    </row>
    <row r="99" s="95" customFormat="1" ht="25.5" spans="1:11">
      <c r="A99" s="125">
        <v>24</v>
      </c>
      <c r="B99" s="125">
        <v>1511003138017</v>
      </c>
      <c r="C99" s="118" t="s">
        <v>620</v>
      </c>
      <c r="D99" s="126" t="s">
        <v>494</v>
      </c>
      <c r="E99" s="121">
        <v>2</v>
      </c>
      <c r="F99" s="121">
        <v>2915.87</v>
      </c>
      <c r="G99" s="121">
        <f t="shared" si="3"/>
        <v>5831.74</v>
      </c>
      <c r="H99" s="122">
        <f t="shared" si="4"/>
        <v>0.0013137588149414</v>
      </c>
      <c r="I99" s="122">
        <f t="shared" si="5"/>
        <v>0.941205514004167</v>
      </c>
    </row>
    <row r="100" s="95" customFormat="1" ht="38.25" spans="1:11">
      <c r="A100" s="114">
        <v>149</v>
      </c>
      <c r="B100" s="115" t="s">
        <v>757</v>
      </c>
      <c r="C100" s="110" t="s">
        <v>2014</v>
      </c>
      <c r="D100" s="111" t="s">
        <v>476</v>
      </c>
      <c r="E100" s="112">
        <v>627.22</v>
      </c>
      <c r="F100" s="112">
        <v>9.26</v>
      </c>
      <c r="G100" s="112">
        <f t="shared" si="3"/>
        <v>5808.06</v>
      </c>
      <c r="H100" s="113">
        <f t="shared" si="4"/>
        <v>0.00130842424777315</v>
      </c>
      <c r="I100" s="113">
        <f t="shared" si="5"/>
        <v>0.94251393825194</v>
      </c>
      <c r="J100" s="98"/>
      <c r="K100" s="98"/>
    </row>
    <row r="101" s="95" customFormat="1" ht="25.5" spans="1:11">
      <c r="A101" s="125">
        <v>27</v>
      </c>
      <c r="B101" s="125">
        <v>1511003130028</v>
      </c>
      <c r="C101" s="118" t="s">
        <v>623</v>
      </c>
      <c r="D101" s="126" t="s">
        <v>494</v>
      </c>
      <c r="E101" s="121">
        <v>4</v>
      </c>
      <c r="F101" s="121">
        <v>1379.03</v>
      </c>
      <c r="G101" s="121">
        <f t="shared" si="3"/>
        <v>5516.12</v>
      </c>
      <c r="H101" s="122">
        <f t="shared" si="4"/>
        <v>0.00124265678412868</v>
      </c>
      <c r="I101" s="122">
        <f t="shared" si="5"/>
        <v>0.943756595036069</v>
      </c>
    </row>
    <row r="102" s="95" customFormat="1" ht="25.5" spans="1:11">
      <c r="A102" s="114">
        <v>260</v>
      </c>
      <c r="B102" s="115" t="s">
        <v>927</v>
      </c>
      <c r="C102" s="116" t="s">
        <v>928</v>
      </c>
      <c r="D102" s="123" t="s">
        <v>466</v>
      </c>
      <c r="E102" s="124">
        <v>7908.47</v>
      </c>
      <c r="F102" s="124">
        <v>0.67</v>
      </c>
      <c r="G102" s="112">
        <f t="shared" si="3"/>
        <v>5298.67</v>
      </c>
      <c r="H102" s="113">
        <f t="shared" si="4"/>
        <v>0.00119367022877659</v>
      </c>
      <c r="I102" s="113">
        <f t="shared" si="5"/>
        <v>0.944950265264845</v>
      </c>
      <c r="J102" s="98"/>
      <c r="K102" s="98"/>
    </row>
    <row r="103" s="95" customFormat="1" ht="25.5" spans="1:11">
      <c r="A103" s="108">
        <v>158</v>
      </c>
      <c r="B103" s="108">
        <v>8002008020010</v>
      </c>
      <c r="C103" s="110" t="s">
        <v>2015</v>
      </c>
      <c r="D103" s="111" t="s">
        <v>476</v>
      </c>
      <c r="E103" s="112">
        <v>39.48</v>
      </c>
      <c r="F103" s="112">
        <v>124.7</v>
      </c>
      <c r="G103" s="112">
        <f t="shared" si="3"/>
        <v>4923.16</v>
      </c>
      <c r="H103" s="113">
        <f t="shared" si="4"/>
        <v>0.0011090763386857</v>
      </c>
      <c r="I103" s="113">
        <f t="shared" si="5"/>
        <v>0.946059341603531</v>
      </c>
      <c r="J103" s="98"/>
      <c r="K103" s="98"/>
    </row>
    <row r="104" s="95" customFormat="1" spans="1:11">
      <c r="A104" s="117">
        <v>8</v>
      </c>
      <c r="B104" s="117">
        <v>1018003001001</v>
      </c>
      <c r="C104" s="118" t="s">
        <v>604</v>
      </c>
      <c r="D104" s="119" t="s">
        <v>494</v>
      </c>
      <c r="E104" s="120">
        <v>2</v>
      </c>
      <c r="F104" s="120">
        <v>2338.07</v>
      </c>
      <c r="G104" s="121">
        <f t="shared" si="3"/>
        <v>4676.14</v>
      </c>
      <c r="H104" s="122">
        <f t="shared" si="4"/>
        <v>0.00105342833269317</v>
      </c>
      <c r="I104" s="122">
        <f t="shared" si="5"/>
        <v>0.947112769936224</v>
      </c>
    </row>
    <row r="105" s="95" customFormat="1" ht="25.5" spans="1:11">
      <c r="A105" s="125">
        <v>101</v>
      </c>
      <c r="B105" s="125">
        <v>1515903042116</v>
      </c>
      <c r="C105" s="118" t="s">
        <v>697</v>
      </c>
      <c r="D105" s="126" t="s">
        <v>494</v>
      </c>
      <c r="E105" s="121">
        <v>1</v>
      </c>
      <c r="F105" s="121">
        <v>4627.37</v>
      </c>
      <c r="G105" s="121">
        <f t="shared" si="3"/>
        <v>4627.37</v>
      </c>
      <c r="H105" s="122">
        <f t="shared" si="4"/>
        <v>0.00104244155732173</v>
      </c>
      <c r="I105" s="122">
        <f t="shared" si="5"/>
        <v>0.948155211493546</v>
      </c>
    </row>
    <row r="106" s="95" customFormat="1" ht="25.5" spans="1:11">
      <c r="A106" s="114">
        <v>183</v>
      </c>
      <c r="B106" s="115" t="s">
        <v>822</v>
      </c>
      <c r="C106" s="116" t="s">
        <v>823</v>
      </c>
      <c r="D106" s="123" t="s">
        <v>466</v>
      </c>
      <c r="E106" s="124">
        <v>150.62</v>
      </c>
      <c r="F106" s="124">
        <v>30.53</v>
      </c>
      <c r="G106" s="112">
        <f t="shared" si="3"/>
        <v>4598.43</v>
      </c>
      <c r="H106" s="113">
        <f t="shared" si="4"/>
        <v>0.00103592203139903</v>
      </c>
      <c r="I106" s="113">
        <f t="shared" si="5"/>
        <v>0.949191133524945</v>
      </c>
      <c r="J106" s="98"/>
      <c r="K106" s="98"/>
    </row>
    <row r="107" spans="1:11">
      <c r="A107" s="114">
        <v>191</v>
      </c>
      <c r="B107" s="115" t="s">
        <v>837</v>
      </c>
      <c r="C107" s="116" t="s">
        <v>838</v>
      </c>
      <c r="D107" s="123" t="s">
        <v>839</v>
      </c>
      <c r="E107" s="124">
        <v>131.48</v>
      </c>
      <c r="F107" s="124">
        <v>34.02</v>
      </c>
      <c r="G107" s="112">
        <f t="shared" si="3"/>
        <v>4472.95</v>
      </c>
      <c r="H107" s="113">
        <f t="shared" si="4"/>
        <v>0.00100765423206318</v>
      </c>
      <c r="I107" s="113">
        <f t="shared" si="5"/>
        <v>0.950198787757008</v>
      </c>
    </row>
    <row r="108" s="95" customFormat="1" ht="25.5" spans="1:11">
      <c r="A108" s="125">
        <v>57</v>
      </c>
      <c r="B108" s="125">
        <v>1515703005122</v>
      </c>
      <c r="C108" s="118" t="s">
        <v>653</v>
      </c>
      <c r="D108" s="126" t="s">
        <v>494</v>
      </c>
      <c r="E108" s="121">
        <v>1</v>
      </c>
      <c r="F108" s="121">
        <v>4400.11</v>
      </c>
      <c r="G108" s="121">
        <f t="shared" si="3"/>
        <v>4400.11</v>
      </c>
      <c r="H108" s="122">
        <f t="shared" si="4"/>
        <v>0.000991245031364879</v>
      </c>
      <c r="I108" s="122">
        <f t="shared" si="5"/>
        <v>0.951190032788373</v>
      </c>
    </row>
    <row r="109" ht="25.5" spans="1:11">
      <c r="A109" s="114">
        <v>224</v>
      </c>
      <c r="B109" s="115" t="s">
        <v>885</v>
      </c>
      <c r="C109" s="116" t="s">
        <v>320</v>
      </c>
      <c r="D109" s="123" t="s">
        <v>112</v>
      </c>
      <c r="E109" s="124">
        <v>43.5</v>
      </c>
      <c r="F109" s="124">
        <v>100.45</v>
      </c>
      <c r="G109" s="112">
        <f t="shared" si="3"/>
        <v>4369.58</v>
      </c>
      <c r="H109" s="113">
        <f t="shared" si="4"/>
        <v>0.000984367314487898</v>
      </c>
      <c r="I109" s="113">
        <f t="shared" si="5"/>
        <v>0.952174400102861</v>
      </c>
    </row>
    <row r="110" s="95" customFormat="1" ht="51" spans="1:11">
      <c r="A110" s="108">
        <v>12</v>
      </c>
      <c r="B110" s="108">
        <v>1251003008004</v>
      </c>
      <c r="C110" s="116" t="s">
        <v>608</v>
      </c>
      <c r="D110" s="111" t="s">
        <v>598</v>
      </c>
      <c r="E110" s="112">
        <v>9</v>
      </c>
      <c r="F110" s="112">
        <v>484.03</v>
      </c>
      <c r="G110" s="112">
        <f t="shared" si="3"/>
        <v>4356.27</v>
      </c>
      <c r="H110" s="113">
        <f t="shared" si="4"/>
        <v>0.000981368873229051</v>
      </c>
      <c r="I110" s="113">
        <f t="shared" si="5"/>
        <v>0.95315576897609</v>
      </c>
      <c r="J110" s="98"/>
      <c r="K110" s="98"/>
    </row>
    <row r="111" s="95" customFormat="1" ht="25.5" spans="1:11">
      <c r="A111" s="125">
        <v>98</v>
      </c>
      <c r="B111" s="125">
        <v>1515903043178</v>
      </c>
      <c r="C111" s="118" t="s">
        <v>694</v>
      </c>
      <c r="D111" s="126" t="s">
        <v>494</v>
      </c>
      <c r="E111" s="121">
        <v>1</v>
      </c>
      <c r="F111" s="121">
        <v>4326.9</v>
      </c>
      <c r="G111" s="121">
        <f t="shared" si="3"/>
        <v>4326.9</v>
      </c>
      <c r="H111" s="122">
        <f t="shared" si="4"/>
        <v>0.00097475247805457</v>
      </c>
      <c r="I111" s="122">
        <f t="shared" si="5"/>
        <v>0.954130521454145</v>
      </c>
    </row>
    <row r="112" s="95" customFormat="1" ht="25.5" spans="1:11">
      <c r="A112" s="117">
        <v>75</v>
      </c>
      <c r="B112" s="117">
        <v>1515903077038</v>
      </c>
      <c r="C112" s="118" t="s">
        <v>671</v>
      </c>
      <c r="D112" s="119" t="s">
        <v>494</v>
      </c>
      <c r="E112" s="120">
        <v>1</v>
      </c>
      <c r="F112" s="120">
        <v>4316.07</v>
      </c>
      <c r="G112" s="121">
        <f t="shared" si="3"/>
        <v>4316.07</v>
      </c>
      <c r="H112" s="122">
        <f t="shared" si="4"/>
        <v>0.000972312724573479</v>
      </c>
      <c r="I112" s="122">
        <f t="shared" si="5"/>
        <v>0.955102834178718</v>
      </c>
    </row>
    <row r="113" s="95" customFormat="1" ht="25.5" spans="1:11">
      <c r="A113" s="125">
        <v>99</v>
      </c>
      <c r="B113" s="125">
        <v>1515903042104</v>
      </c>
      <c r="C113" s="118" t="s">
        <v>695</v>
      </c>
      <c r="D113" s="126" t="s">
        <v>494</v>
      </c>
      <c r="E113" s="121">
        <v>2</v>
      </c>
      <c r="F113" s="121">
        <v>2136.06</v>
      </c>
      <c r="G113" s="121">
        <f t="shared" si="3"/>
        <v>4272.12</v>
      </c>
      <c r="H113" s="122">
        <f t="shared" si="4"/>
        <v>0.00096241178593138</v>
      </c>
      <c r="I113" s="122">
        <f t="shared" si="5"/>
        <v>0.956065245964649</v>
      </c>
    </row>
    <row r="114" s="95" customFormat="1" ht="25.5" spans="1:11">
      <c r="A114" s="127">
        <v>109</v>
      </c>
      <c r="B114" s="128" t="s">
        <v>706</v>
      </c>
      <c r="C114" s="118" t="s">
        <v>707</v>
      </c>
      <c r="D114" s="119" t="s">
        <v>476</v>
      </c>
      <c r="E114" s="120">
        <v>7.9</v>
      </c>
      <c r="F114" s="120">
        <v>540.12</v>
      </c>
      <c r="G114" s="121">
        <f t="shared" si="3"/>
        <v>4266.95</v>
      </c>
      <c r="H114" s="122">
        <f t="shared" si="4"/>
        <v>0.000961247102136621</v>
      </c>
      <c r="I114" s="122">
        <f t="shared" si="5"/>
        <v>0.957026493066786</v>
      </c>
    </row>
    <row r="115" s="95" customFormat="1" ht="25.5" spans="1:11">
      <c r="A115" s="114">
        <v>261</v>
      </c>
      <c r="B115" s="115" t="s">
        <v>929</v>
      </c>
      <c r="C115" s="110" t="s">
        <v>2016</v>
      </c>
      <c r="D115" s="111" t="s">
        <v>466</v>
      </c>
      <c r="E115" s="112">
        <v>6.4</v>
      </c>
      <c r="F115" s="112">
        <v>660.56</v>
      </c>
      <c r="G115" s="112">
        <f t="shared" si="3"/>
        <v>4227.58</v>
      </c>
      <c r="H115" s="113">
        <f t="shared" si="4"/>
        <v>0.000952377933664734</v>
      </c>
      <c r="I115" s="113">
        <f t="shared" si="5"/>
        <v>0.957978871000451</v>
      </c>
      <c r="J115" s="98"/>
      <c r="K115" s="98"/>
    </row>
    <row r="116" ht="25.5" spans="1:11">
      <c r="A116" s="125">
        <v>71</v>
      </c>
      <c r="B116" s="125">
        <v>1515903022035</v>
      </c>
      <c r="C116" s="118" t="s">
        <v>667</v>
      </c>
      <c r="D116" s="126" t="s">
        <v>494</v>
      </c>
      <c r="E116" s="121">
        <v>1</v>
      </c>
      <c r="F116" s="121">
        <v>4226.79</v>
      </c>
      <c r="G116" s="121">
        <f t="shared" si="3"/>
        <v>4226.79</v>
      </c>
      <c r="H116" s="122">
        <f t="shared" si="4"/>
        <v>0.000952199964574239</v>
      </c>
      <c r="I116" s="122">
        <f t="shared" si="5"/>
        <v>0.958931070965025</v>
      </c>
      <c r="J116" s="95"/>
      <c r="K116" s="95"/>
    </row>
    <row r="117" ht="25.5" spans="1:11">
      <c r="A117" s="114">
        <v>250</v>
      </c>
      <c r="B117" s="115" t="s">
        <v>913</v>
      </c>
      <c r="C117" s="116" t="s">
        <v>914</v>
      </c>
      <c r="D117" s="123" t="s">
        <v>494</v>
      </c>
      <c r="E117" s="124">
        <v>1</v>
      </c>
      <c r="F117" s="124">
        <v>4182.04</v>
      </c>
      <c r="G117" s="112">
        <f t="shared" si="3"/>
        <v>4182.04</v>
      </c>
      <c r="H117" s="113">
        <f t="shared" si="4"/>
        <v>0.000942118804068348</v>
      </c>
      <c r="I117" s="113">
        <f t="shared" si="5"/>
        <v>0.959873189769093</v>
      </c>
    </row>
    <row r="118" s="95" customFormat="1" ht="25.5" spans="1:11">
      <c r="A118" s="125">
        <v>78</v>
      </c>
      <c r="B118" s="125">
        <v>1515903004021</v>
      </c>
      <c r="C118" s="118" t="s">
        <v>674</v>
      </c>
      <c r="D118" s="126" t="s">
        <v>494</v>
      </c>
      <c r="E118" s="121">
        <v>1</v>
      </c>
      <c r="F118" s="121">
        <v>4168.34</v>
      </c>
      <c r="G118" s="121">
        <f t="shared" si="3"/>
        <v>4168.34</v>
      </c>
      <c r="H118" s="122">
        <f t="shared" si="4"/>
        <v>0.000939032504650901</v>
      </c>
      <c r="I118" s="122">
        <f t="shared" si="5"/>
        <v>0.960812222273744</v>
      </c>
    </row>
    <row r="119" s="95" customFormat="1" ht="25.5" spans="1:11">
      <c r="A119" s="108">
        <v>137</v>
      </c>
      <c r="B119" s="108">
        <v>8001008010002</v>
      </c>
      <c r="C119" s="110" t="s">
        <v>2017</v>
      </c>
      <c r="D119" s="111" t="s">
        <v>112</v>
      </c>
      <c r="E119" s="112">
        <v>2555.69</v>
      </c>
      <c r="F119" s="112">
        <v>1.59</v>
      </c>
      <c r="G119" s="112">
        <f t="shared" si="3"/>
        <v>4063.55</v>
      </c>
      <c r="H119" s="113">
        <f t="shared" si="4"/>
        <v>0.000915425693267385</v>
      </c>
      <c r="I119" s="113">
        <f t="shared" si="5"/>
        <v>0.961727647967012</v>
      </c>
      <c r="J119" s="98"/>
      <c r="K119" s="98"/>
    </row>
    <row r="120" s="95" customFormat="1" ht="51" spans="1:11">
      <c r="A120" s="125">
        <v>68</v>
      </c>
      <c r="B120" s="125">
        <v>1515903014139</v>
      </c>
      <c r="C120" s="118" t="s">
        <v>664</v>
      </c>
      <c r="D120" s="126" t="s">
        <v>494</v>
      </c>
      <c r="E120" s="121">
        <v>100</v>
      </c>
      <c r="F120" s="121">
        <v>40.33</v>
      </c>
      <c r="G120" s="121">
        <f t="shared" si="3"/>
        <v>4033</v>
      </c>
      <c r="H120" s="122">
        <f t="shared" si="4"/>
        <v>0.00090854347084381</v>
      </c>
      <c r="I120" s="122">
        <f t="shared" si="5"/>
        <v>0.962636191437855</v>
      </c>
    </row>
    <row r="121" s="95" customFormat="1" ht="25.5" spans="1:11">
      <c r="A121" s="125">
        <v>100</v>
      </c>
      <c r="B121" s="125">
        <v>1515903042108</v>
      </c>
      <c r="C121" s="118" t="s">
        <v>696</v>
      </c>
      <c r="D121" s="126" t="s">
        <v>494</v>
      </c>
      <c r="E121" s="121">
        <v>1</v>
      </c>
      <c r="F121" s="121">
        <v>4000.18</v>
      </c>
      <c r="G121" s="121">
        <f t="shared" si="3"/>
        <v>4000.18</v>
      </c>
      <c r="H121" s="122">
        <f t="shared" si="4"/>
        <v>0.000901149868881723</v>
      </c>
      <c r="I121" s="122">
        <f t="shared" si="5"/>
        <v>0.963537341306737</v>
      </c>
    </row>
    <row r="122" spans="1:11">
      <c r="A122" s="117">
        <v>84</v>
      </c>
      <c r="B122" s="117">
        <v>1515903083007</v>
      </c>
      <c r="C122" s="118" t="s">
        <v>680</v>
      </c>
      <c r="D122" s="119" t="s">
        <v>494</v>
      </c>
      <c r="E122" s="120">
        <v>1</v>
      </c>
      <c r="F122" s="120">
        <v>3952.98</v>
      </c>
      <c r="G122" s="121">
        <f t="shared" si="3"/>
        <v>3952.98</v>
      </c>
      <c r="H122" s="122">
        <f t="shared" si="4"/>
        <v>0.000890516778917967</v>
      </c>
      <c r="I122" s="122">
        <f t="shared" si="5"/>
        <v>0.964427858085655</v>
      </c>
      <c r="J122" s="95"/>
      <c r="K122" s="95"/>
    </row>
    <row r="123" ht="38.25" spans="1:11">
      <c r="A123" s="117">
        <v>117</v>
      </c>
      <c r="B123" s="117">
        <v>8001004003003</v>
      </c>
      <c r="C123" s="118" t="s">
        <v>720</v>
      </c>
      <c r="D123" s="119" t="s">
        <v>494</v>
      </c>
      <c r="E123" s="120">
        <v>12</v>
      </c>
      <c r="F123" s="120">
        <v>328.53</v>
      </c>
      <c r="G123" s="121">
        <f t="shared" si="3"/>
        <v>3942.36</v>
      </c>
      <c r="H123" s="122">
        <f t="shared" si="4"/>
        <v>0.000888124333676122</v>
      </c>
      <c r="I123" s="122">
        <f t="shared" si="5"/>
        <v>0.965315982419331</v>
      </c>
      <c r="J123" s="95"/>
      <c r="K123" s="95"/>
    </row>
    <row r="124" s="95" customFormat="1" ht="25.5" spans="1:11">
      <c r="A124" s="117">
        <v>62</v>
      </c>
      <c r="B124" s="117">
        <v>1515903098020</v>
      </c>
      <c r="C124" s="118" t="s">
        <v>658</v>
      </c>
      <c r="D124" s="119" t="s">
        <v>494</v>
      </c>
      <c r="E124" s="120">
        <v>35</v>
      </c>
      <c r="F124" s="120">
        <v>112.58</v>
      </c>
      <c r="G124" s="121">
        <f t="shared" si="3"/>
        <v>3940.3</v>
      </c>
      <c r="H124" s="122">
        <f t="shared" si="4"/>
        <v>0.000887660262376857</v>
      </c>
      <c r="I124" s="122">
        <f t="shared" si="5"/>
        <v>0.966203642681708</v>
      </c>
    </row>
    <row r="125" ht="38.25" spans="1:11">
      <c r="A125" s="108">
        <v>135</v>
      </c>
      <c r="B125" s="108">
        <v>8001008020020</v>
      </c>
      <c r="C125" s="110" t="s">
        <v>2018</v>
      </c>
      <c r="D125" s="111" t="s">
        <v>494</v>
      </c>
      <c r="E125" s="112">
        <v>18</v>
      </c>
      <c r="F125" s="112">
        <v>218.85</v>
      </c>
      <c r="G125" s="112">
        <f t="shared" si="3"/>
        <v>3939.3</v>
      </c>
      <c r="H125" s="113">
        <f t="shared" si="4"/>
        <v>0.000887434985047116</v>
      </c>
      <c r="I125" s="113">
        <f t="shared" si="5"/>
        <v>0.967091077666755</v>
      </c>
    </row>
    <row r="126" ht="25.5" spans="1:11">
      <c r="A126" s="117">
        <v>92</v>
      </c>
      <c r="B126" s="117">
        <v>1515903070007</v>
      </c>
      <c r="C126" s="118" t="s">
        <v>688</v>
      </c>
      <c r="D126" s="119" t="s">
        <v>494</v>
      </c>
      <c r="E126" s="120">
        <v>1</v>
      </c>
      <c r="F126" s="120">
        <v>3889.97</v>
      </c>
      <c r="G126" s="121">
        <f t="shared" si="3"/>
        <v>3889.97</v>
      </c>
      <c r="H126" s="122">
        <f t="shared" si="4"/>
        <v>0.000876322054371013</v>
      </c>
      <c r="I126" s="122">
        <f t="shared" si="5"/>
        <v>0.967967399721126</v>
      </c>
      <c r="J126" s="95"/>
      <c r="K126" s="95"/>
    </row>
    <row r="127" ht="25.5" spans="1:11">
      <c r="A127" s="117">
        <v>51</v>
      </c>
      <c r="B127" s="117">
        <v>1514603076265</v>
      </c>
      <c r="C127" s="118" t="s">
        <v>647</v>
      </c>
      <c r="D127" s="119" t="s">
        <v>494</v>
      </c>
      <c r="E127" s="120">
        <v>1</v>
      </c>
      <c r="F127" s="120">
        <v>3726</v>
      </c>
      <c r="G127" s="121">
        <f t="shared" si="3"/>
        <v>3726</v>
      </c>
      <c r="H127" s="122">
        <f t="shared" si="4"/>
        <v>0.000839383330613448</v>
      </c>
      <c r="I127" s="122">
        <f t="shared" si="5"/>
        <v>0.96880678305174</v>
      </c>
      <c r="J127" s="95"/>
      <c r="K127" s="95"/>
    </row>
    <row r="128" ht="25.5" spans="1:11">
      <c r="A128" s="114">
        <v>182</v>
      </c>
      <c r="B128" s="115" t="s">
        <v>820</v>
      </c>
      <c r="C128" s="110" t="s">
        <v>2019</v>
      </c>
      <c r="D128" s="111" t="s">
        <v>466</v>
      </c>
      <c r="E128" s="112">
        <v>51.5</v>
      </c>
      <c r="F128" s="112">
        <v>70.64</v>
      </c>
      <c r="G128" s="112">
        <f t="shared" si="3"/>
        <v>3637.96</v>
      </c>
      <c r="H128" s="113">
        <f t="shared" si="4"/>
        <v>0.000819549914503086</v>
      </c>
      <c r="I128" s="113">
        <f t="shared" si="5"/>
        <v>0.969626332966243</v>
      </c>
    </row>
    <row r="129" ht="25.5" spans="1:11">
      <c r="A129" s="114">
        <v>136</v>
      </c>
      <c r="B129" s="115" t="s">
        <v>574</v>
      </c>
      <c r="C129" s="110" t="s">
        <v>2020</v>
      </c>
      <c r="D129" s="111" t="s">
        <v>112</v>
      </c>
      <c r="E129" s="112">
        <v>51.05</v>
      </c>
      <c r="F129" s="112">
        <v>69.08</v>
      </c>
      <c r="G129" s="112">
        <f t="shared" si="3"/>
        <v>3526.53</v>
      </c>
      <c r="H129" s="113">
        <f t="shared" si="4"/>
        <v>0.000794447261650092</v>
      </c>
      <c r="I129" s="113">
        <f t="shared" si="5"/>
        <v>0.970420780227893</v>
      </c>
    </row>
    <row r="130" ht="25.5" spans="1:11">
      <c r="A130" s="125">
        <v>25</v>
      </c>
      <c r="B130" s="125">
        <v>1511003138031</v>
      </c>
      <c r="C130" s="118" t="s">
        <v>621</v>
      </c>
      <c r="D130" s="126" t="s">
        <v>494</v>
      </c>
      <c r="E130" s="121">
        <v>4</v>
      </c>
      <c r="F130" s="121">
        <v>831</v>
      </c>
      <c r="G130" s="121">
        <f t="shared" ref="G130:G193" si="6">ROUND(E130*F130,2)</f>
        <v>3324</v>
      </c>
      <c r="H130" s="122">
        <f t="shared" si="4"/>
        <v>0.00074882184405773</v>
      </c>
      <c r="I130" s="122">
        <f t="shared" si="5"/>
        <v>0.97116960207195</v>
      </c>
      <c r="J130" s="95"/>
      <c r="K130" s="95"/>
    </row>
    <row r="131" ht="25.5" spans="1:11">
      <c r="A131" s="117">
        <v>33</v>
      </c>
      <c r="B131" s="117">
        <v>1513903021123</v>
      </c>
      <c r="C131" s="118" t="s">
        <v>629</v>
      </c>
      <c r="D131" s="119" t="s">
        <v>494</v>
      </c>
      <c r="E131" s="120">
        <v>2</v>
      </c>
      <c r="F131" s="120">
        <v>1623.58</v>
      </c>
      <c r="G131" s="121">
        <f t="shared" si="6"/>
        <v>3247.16</v>
      </c>
      <c r="H131" s="122">
        <f t="shared" ref="H131:H194" si="7">G131/$J$1</f>
        <v>0.000731511534040462</v>
      </c>
      <c r="I131" s="122">
        <f t="shared" si="5"/>
        <v>0.971901113605991</v>
      </c>
      <c r="J131" s="95"/>
      <c r="K131" s="95"/>
    </row>
    <row r="132" ht="25.5" spans="1:11">
      <c r="A132" s="125">
        <v>94</v>
      </c>
      <c r="B132" s="125">
        <v>1515903040004</v>
      </c>
      <c r="C132" s="118" t="s">
        <v>690</v>
      </c>
      <c r="D132" s="126" t="s">
        <v>112</v>
      </c>
      <c r="E132" s="121">
        <v>4</v>
      </c>
      <c r="F132" s="121">
        <v>806.26</v>
      </c>
      <c r="G132" s="121">
        <f t="shared" si="6"/>
        <v>3225.04</v>
      </c>
      <c r="H132" s="122">
        <f t="shared" si="7"/>
        <v>0.000726528399506601</v>
      </c>
      <c r="I132" s="122">
        <f t="shared" ref="I132:I195" si="8">H132+I131</f>
        <v>0.972627642005498</v>
      </c>
      <c r="J132" s="95"/>
      <c r="K132" s="95"/>
    </row>
    <row r="133" ht="51" spans="1:11">
      <c r="A133" s="114">
        <v>170</v>
      </c>
      <c r="B133" s="115" t="s">
        <v>796</v>
      </c>
      <c r="C133" s="110" t="s">
        <v>2021</v>
      </c>
      <c r="D133" s="111" t="s">
        <v>476</v>
      </c>
      <c r="E133" s="112">
        <v>152.38</v>
      </c>
      <c r="F133" s="112">
        <v>20.69</v>
      </c>
      <c r="G133" s="112">
        <f t="shared" si="6"/>
        <v>3152.74</v>
      </c>
      <c r="H133" s="113">
        <f t="shared" si="7"/>
        <v>0.000710240848566356</v>
      </c>
      <c r="I133" s="113">
        <f t="shared" si="8"/>
        <v>0.973337882854064</v>
      </c>
    </row>
    <row r="134" ht="51" spans="1:11">
      <c r="A134" s="131">
        <v>162</v>
      </c>
      <c r="B134" s="132" t="s">
        <v>780</v>
      </c>
      <c r="C134" s="110" t="s">
        <v>2022</v>
      </c>
      <c r="D134" s="111" t="s">
        <v>476</v>
      </c>
      <c r="E134" s="112">
        <v>394.74</v>
      </c>
      <c r="F134" s="112">
        <v>7.62</v>
      </c>
      <c r="G134" s="112">
        <f t="shared" si="6"/>
        <v>3007.92</v>
      </c>
      <c r="H134" s="113">
        <f t="shared" si="7"/>
        <v>0.000677616185673323</v>
      </c>
      <c r="I134" s="113">
        <f t="shared" si="8"/>
        <v>0.974015499039737</v>
      </c>
    </row>
    <row r="135" ht="25.5" spans="1:11">
      <c r="A135" s="127">
        <v>120</v>
      </c>
      <c r="B135" s="128" t="s">
        <v>723</v>
      </c>
      <c r="C135" s="118" t="s">
        <v>724</v>
      </c>
      <c r="D135" s="126" t="s">
        <v>476</v>
      </c>
      <c r="E135" s="121">
        <v>58</v>
      </c>
      <c r="F135" s="121">
        <v>49.35</v>
      </c>
      <c r="G135" s="121">
        <f t="shared" si="6"/>
        <v>2862.3</v>
      </c>
      <c r="H135" s="122">
        <f t="shared" si="7"/>
        <v>0.000644811300916498</v>
      </c>
      <c r="I135" s="122">
        <f t="shared" si="8"/>
        <v>0.974660310340654</v>
      </c>
      <c r="J135" s="95"/>
      <c r="K135" s="95"/>
    </row>
    <row r="136" ht="25.5" spans="1:11">
      <c r="A136" s="125">
        <v>95</v>
      </c>
      <c r="B136" s="125">
        <v>1515903040008</v>
      </c>
      <c r="C136" s="118" t="s">
        <v>691</v>
      </c>
      <c r="D136" s="126" t="s">
        <v>112</v>
      </c>
      <c r="E136" s="121">
        <v>2</v>
      </c>
      <c r="F136" s="121">
        <v>1430.51</v>
      </c>
      <c r="G136" s="121">
        <f t="shared" si="6"/>
        <v>2861.02</v>
      </c>
      <c r="H136" s="122">
        <f t="shared" si="7"/>
        <v>0.00064452294593443</v>
      </c>
      <c r="I136" s="122">
        <f t="shared" si="8"/>
        <v>0.975304833286588</v>
      </c>
      <c r="J136" s="95"/>
      <c r="K136" s="95"/>
    </row>
    <row r="137" ht="25.5" spans="1:11">
      <c r="A137" s="114">
        <v>202</v>
      </c>
      <c r="B137" s="115" t="s">
        <v>851</v>
      </c>
      <c r="C137" s="110" t="s">
        <v>2023</v>
      </c>
      <c r="D137" s="111" t="s">
        <v>476</v>
      </c>
      <c r="E137" s="112">
        <v>58</v>
      </c>
      <c r="F137" s="112">
        <v>48.26</v>
      </c>
      <c r="G137" s="112">
        <f t="shared" si="6"/>
        <v>2799.08</v>
      </c>
      <c r="H137" s="113">
        <f t="shared" si="7"/>
        <v>0.000630569268130298</v>
      </c>
      <c r="I137" s="113">
        <f t="shared" si="8"/>
        <v>0.975935402554718</v>
      </c>
    </row>
    <row r="138" ht="25.5" spans="1:11">
      <c r="A138" s="125">
        <v>73</v>
      </c>
      <c r="B138" s="125">
        <v>1515903023079</v>
      </c>
      <c r="C138" s="118" t="s">
        <v>669</v>
      </c>
      <c r="D138" s="126" t="s">
        <v>494</v>
      </c>
      <c r="E138" s="121">
        <v>3</v>
      </c>
      <c r="F138" s="121">
        <v>923.31</v>
      </c>
      <c r="G138" s="121">
        <f t="shared" si="6"/>
        <v>2769.93</v>
      </c>
      <c r="H138" s="122">
        <f t="shared" si="7"/>
        <v>0.000624002433968359</v>
      </c>
      <c r="I138" s="122">
        <f t="shared" si="8"/>
        <v>0.976559404988687</v>
      </c>
      <c r="J138" s="95"/>
      <c r="K138" s="95"/>
    </row>
    <row r="139" ht="25.5" spans="1:11">
      <c r="A139" s="114">
        <v>215</v>
      </c>
      <c r="B139" s="115" t="s">
        <v>872</v>
      </c>
      <c r="C139" s="116" t="s">
        <v>873</v>
      </c>
      <c r="D139" s="123" t="s">
        <v>494</v>
      </c>
      <c r="E139" s="124">
        <v>6</v>
      </c>
      <c r="F139" s="124">
        <v>457.93</v>
      </c>
      <c r="G139" s="112">
        <f t="shared" si="6"/>
        <v>2747.58</v>
      </c>
      <c r="H139" s="113">
        <f t="shared" si="7"/>
        <v>0.000618967485648657</v>
      </c>
      <c r="I139" s="113">
        <f t="shared" si="8"/>
        <v>0.977178372474335</v>
      </c>
    </row>
    <row r="140" ht="25.5" spans="1:11">
      <c r="A140" s="125">
        <v>38</v>
      </c>
      <c r="B140" s="125">
        <v>1513903023027</v>
      </c>
      <c r="C140" s="118" t="s">
        <v>634</v>
      </c>
      <c r="D140" s="126" t="s">
        <v>494</v>
      </c>
      <c r="E140" s="121">
        <v>1</v>
      </c>
      <c r="F140" s="121">
        <v>2733.71</v>
      </c>
      <c r="G140" s="121">
        <f t="shared" si="6"/>
        <v>2733.71</v>
      </c>
      <c r="H140" s="122">
        <f t="shared" si="7"/>
        <v>0.000615842889085155</v>
      </c>
      <c r="I140" s="122">
        <f t="shared" si="8"/>
        <v>0.97779421536342</v>
      </c>
      <c r="J140" s="95"/>
      <c r="K140" s="95"/>
    </row>
    <row r="141" ht="25.5" spans="1:11">
      <c r="A141" s="114">
        <v>217</v>
      </c>
      <c r="B141" s="115" t="s">
        <v>876</v>
      </c>
      <c r="C141" s="116" t="s">
        <v>877</v>
      </c>
      <c r="D141" s="123" t="s">
        <v>494</v>
      </c>
      <c r="E141" s="124">
        <v>6</v>
      </c>
      <c r="F141" s="124">
        <v>454.06</v>
      </c>
      <c r="G141" s="112">
        <f t="shared" si="6"/>
        <v>2724.36</v>
      </c>
      <c r="H141" s="113">
        <f t="shared" si="7"/>
        <v>0.000613736546052081</v>
      </c>
      <c r="I141" s="113">
        <f t="shared" si="8"/>
        <v>0.978407951909473</v>
      </c>
    </row>
    <row r="142" ht="25.5" spans="1:11">
      <c r="A142" s="114">
        <v>185</v>
      </c>
      <c r="B142" s="115" t="s">
        <v>826</v>
      </c>
      <c r="C142" s="116" t="s">
        <v>827</v>
      </c>
      <c r="D142" s="123" t="s">
        <v>466</v>
      </c>
      <c r="E142" s="124">
        <v>104.86</v>
      </c>
      <c r="F142" s="124">
        <v>25.63</v>
      </c>
      <c r="G142" s="112">
        <f t="shared" si="6"/>
        <v>2687.56</v>
      </c>
      <c r="H142" s="113">
        <f t="shared" si="7"/>
        <v>0.000605446340317627</v>
      </c>
      <c r="I142" s="113">
        <f t="shared" si="8"/>
        <v>0.97901339824979</v>
      </c>
    </row>
    <row r="143" spans="1:11">
      <c r="A143" s="117">
        <v>119</v>
      </c>
      <c r="B143" s="117">
        <v>8001004003012</v>
      </c>
      <c r="C143" s="118" t="s">
        <v>722</v>
      </c>
      <c r="D143" s="119" t="s">
        <v>494</v>
      </c>
      <c r="E143" s="120">
        <v>12</v>
      </c>
      <c r="F143" s="120">
        <v>222.93</v>
      </c>
      <c r="G143" s="121">
        <f t="shared" si="6"/>
        <v>2675.16</v>
      </c>
      <c r="H143" s="122">
        <f t="shared" si="7"/>
        <v>0.000602652901428844</v>
      </c>
      <c r="I143" s="122">
        <f t="shared" si="8"/>
        <v>0.979616051151219</v>
      </c>
      <c r="J143" s="95"/>
      <c r="K143" s="95"/>
    </row>
    <row r="144" spans="1:11">
      <c r="A144" s="129">
        <v>142</v>
      </c>
      <c r="B144" s="129">
        <v>8001508020021</v>
      </c>
      <c r="C144" s="116" t="s">
        <v>746</v>
      </c>
      <c r="D144" s="123" t="s">
        <v>466</v>
      </c>
      <c r="E144" s="124">
        <v>30</v>
      </c>
      <c r="F144" s="124">
        <v>88.43</v>
      </c>
      <c r="G144" s="112">
        <f t="shared" si="6"/>
        <v>2652.9</v>
      </c>
      <c r="H144" s="113">
        <f t="shared" si="7"/>
        <v>0.000597638228068818</v>
      </c>
      <c r="I144" s="113">
        <f t="shared" si="8"/>
        <v>0.980213689379288</v>
      </c>
    </row>
    <row r="145" ht="51" spans="1:11">
      <c r="A145" s="125">
        <v>66</v>
      </c>
      <c r="B145" s="125">
        <v>1515903014109</v>
      </c>
      <c r="C145" s="118" t="s">
        <v>662</v>
      </c>
      <c r="D145" s="126" t="s">
        <v>494</v>
      </c>
      <c r="E145" s="121">
        <v>216</v>
      </c>
      <c r="F145" s="121">
        <v>12.22</v>
      </c>
      <c r="G145" s="121">
        <f t="shared" si="6"/>
        <v>2639.52</v>
      </c>
      <c r="H145" s="122">
        <f t="shared" si="7"/>
        <v>0.000594624017396889</v>
      </c>
      <c r="I145" s="122">
        <f t="shared" si="8"/>
        <v>0.980808313396685</v>
      </c>
      <c r="J145" s="95"/>
      <c r="K145" s="95"/>
    </row>
    <row r="146" ht="51" spans="1:11">
      <c r="A146" s="114">
        <v>171</v>
      </c>
      <c r="B146" s="115" t="s">
        <v>798</v>
      </c>
      <c r="C146" s="110" t="s">
        <v>2024</v>
      </c>
      <c r="D146" s="111" t="s">
        <v>476</v>
      </c>
      <c r="E146" s="112">
        <v>158.19</v>
      </c>
      <c r="F146" s="112">
        <v>16.31</v>
      </c>
      <c r="G146" s="112">
        <f t="shared" si="6"/>
        <v>2580.08</v>
      </c>
      <c r="H146" s="113">
        <f t="shared" si="7"/>
        <v>0.000581233532917108</v>
      </c>
      <c r="I146" s="113">
        <f t="shared" si="8"/>
        <v>0.981389546929602</v>
      </c>
    </row>
    <row r="147" ht="25.5" spans="1:11">
      <c r="A147" s="125">
        <v>56</v>
      </c>
      <c r="B147" s="125">
        <v>1515703005121</v>
      </c>
      <c r="C147" s="118" t="s">
        <v>652</v>
      </c>
      <c r="D147" s="126" t="s">
        <v>494</v>
      </c>
      <c r="E147" s="121">
        <v>1</v>
      </c>
      <c r="F147" s="121">
        <v>2564.41</v>
      </c>
      <c r="G147" s="121">
        <f t="shared" si="6"/>
        <v>2564.41</v>
      </c>
      <c r="H147" s="122">
        <f t="shared" si="7"/>
        <v>0.000577703437160073</v>
      </c>
      <c r="I147" s="122">
        <f t="shared" si="8"/>
        <v>0.981967250366762</v>
      </c>
      <c r="J147" s="95"/>
      <c r="K147" s="95"/>
    </row>
    <row r="148" ht="25.5" spans="1:11">
      <c r="A148" s="125">
        <v>118</v>
      </c>
      <c r="B148" s="125">
        <v>8001004003010</v>
      </c>
      <c r="C148" s="118" t="s">
        <v>721</v>
      </c>
      <c r="D148" s="126" t="s">
        <v>494</v>
      </c>
      <c r="E148" s="121">
        <v>12</v>
      </c>
      <c r="F148" s="121">
        <v>211.2</v>
      </c>
      <c r="G148" s="121">
        <f t="shared" si="6"/>
        <v>2534.4</v>
      </c>
      <c r="H148" s="122">
        <f t="shared" si="7"/>
        <v>0.000570942864494558</v>
      </c>
      <c r="I148" s="122">
        <f t="shared" si="8"/>
        <v>0.982538193231256</v>
      </c>
      <c r="J148" s="95"/>
      <c r="K148" s="95"/>
    </row>
    <row r="149" spans="1:11">
      <c r="A149" s="114">
        <v>274</v>
      </c>
      <c r="B149" s="115" t="s">
        <v>950</v>
      </c>
      <c r="C149" s="116" t="s">
        <v>951</v>
      </c>
      <c r="D149" s="123" t="s">
        <v>476</v>
      </c>
      <c r="E149" s="124">
        <v>28.58</v>
      </c>
      <c r="F149" s="124">
        <v>87.29</v>
      </c>
      <c r="G149" s="112">
        <f t="shared" si="6"/>
        <v>2494.75</v>
      </c>
      <c r="H149" s="113">
        <f t="shared" si="7"/>
        <v>0.000562010618370343</v>
      </c>
      <c r="I149" s="113">
        <f t="shared" si="8"/>
        <v>0.983100203849627</v>
      </c>
    </row>
    <row r="150" ht="51" spans="1:11">
      <c r="A150" s="114">
        <v>169</v>
      </c>
      <c r="B150" s="115" t="s">
        <v>794</v>
      </c>
      <c r="C150" s="110" t="s">
        <v>2025</v>
      </c>
      <c r="D150" s="111" t="s">
        <v>476</v>
      </c>
      <c r="E150" s="112">
        <v>177.96</v>
      </c>
      <c r="F150" s="112">
        <v>13.94</v>
      </c>
      <c r="G150" s="112">
        <f t="shared" si="6"/>
        <v>2480.76</v>
      </c>
      <c r="H150" s="113">
        <f t="shared" si="7"/>
        <v>0.000558858988527272</v>
      </c>
      <c r="I150" s="113">
        <f t="shared" si="8"/>
        <v>0.983659062838154</v>
      </c>
    </row>
    <row r="151" ht="25.5" spans="1:11">
      <c r="A151" s="125">
        <v>50</v>
      </c>
      <c r="B151" s="125">
        <v>1514603076266</v>
      </c>
      <c r="C151" s="118" t="s">
        <v>646</v>
      </c>
      <c r="D151" s="126" t="s">
        <v>494</v>
      </c>
      <c r="E151" s="121">
        <v>1</v>
      </c>
      <c r="F151" s="121">
        <v>2456.18</v>
      </c>
      <c r="G151" s="121">
        <f t="shared" si="6"/>
        <v>2456.18</v>
      </c>
      <c r="H151" s="122">
        <f t="shared" si="7"/>
        <v>0.000553321671762249</v>
      </c>
      <c r="I151" s="122">
        <f t="shared" si="8"/>
        <v>0.984212384509916</v>
      </c>
      <c r="J151" s="95"/>
      <c r="K151" s="95"/>
    </row>
    <row r="152" ht="25.5" spans="1:11">
      <c r="A152" s="114">
        <v>131</v>
      </c>
      <c r="B152" s="115" t="s">
        <v>734</v>
      </c>
      <c r="C152" s="110" t="s">
        <v>2026</v>
      </c>
      <c r="D152" s="111" t="s">
        <v>494</v>
      </c>
      <c r="E152" s="112">
        <v>18</v>
      </c>
      <c r="F152" s="112">
        <v>134.66</v>
      </c>
      <c r="G152" s="112">
        <f t="shared" si="6"/>
        <v>2423.88</v>
      </c>
      <c r="H152" s="113">
        <f t="shared" si="7"/>
        <v>0.000546045214011627</v>
      </c>
      <c r="I152" s="113">
        <f t="shared" si="8"/>
        <v>0.984758429723928</v>
      </c>
    </row>
    <row r="153" ht="38.25" spans="1:11">
      <c r="A153" s="108">
        <v>230</v>
      </c>
      <c r="B153" s="108">
        <v>8004508135038</v>
      </c>
      <c r="C153" s="110" t="s">
        <v>2027</v>
      </c>
      <c r="D153" s="111" t="s">
        <v>494</v>
      </c>
      <c r="E153" s="112">
        <v>4</v>
      </c>
      <c r="F153" s="112">
        <v>601.94</v>
      </c>
      <c r="G153" s="112">
        <f t="shared" si="6"/>
        <v>2407.76</v>
      </c>
      <c r="H153" s="113">
        <f t="shared" si="7"/>
        <v>0.000542413743456209</v>
      </c>
      <c r="I153" s="113">
        <f t="shared" si="8"/>
        <v>0.985300843467384</v>
      </c>
    </row>
    <row r="154" ht="25.5" spans="1:11">
      <c r="A154" s="125">
        <v>58</v>
      </c>
      <c r="B154" s="125">
        <v>1515703014023</v>
      </c>
      <c r="C154" s="118" t="s">
        <v>654</v>
      </c>
      <c r="D154" s="126" t="s">
        <v>112</v>
      </c>
      <c r="E154" s="121">
        <v>1</v>
      </c>
      <c r="F154" s="121">
        <v>2379.62</v>
      </c>
      <c r="G154" s="121">
        <f t="shared" si="6"/>
        <v>2379.62</v>
      </c>
      <c r="H154" s="122">
        <f t="shared" si="7"/>
        <v>0.000536074439397309</v>
      </c>
      <c r="I154" s="122">
        <f t="shared" si="8"/>
        <v>0.985836917906781</v>
      </c>
      <c r="J154" s="95"/>
      <c r="K154" s="95"/>
    </row>
    <row r="155" ht="25.5" spans="1:11">
      <c r="A155" s="125">
        <v>77</v>
      </c>
      <c r="B155" s="125">
        <v>1515903018003</v>
      </c>
      <c r="C155" s="118" t="s">
        <v>673</v>
      </c>
      <c r="D155" s="126" t="s">
        <v>494</v>
      </c>
      <c r="E155" s="121">
        <v>2</v>
      </c>
      <c r="F155" s="121">
        <v>1125.51</v>
      </c>
      <c r="G155" s="121">
        <f t="shared" si="6"/>
        <v>2251.02</v>
      </c>
      <c r="H155" s="122">
        <f t="shared" si="7"/>
        <v>0.000507103774792669</v>
      </c>
      <c r="I155" s="122">
        <f t="shared" si="8"/>
        <v>0.986344021681574</v>
      </c>
      <c r="J155" s="95"/>
      <c r="K155" s="95"/>
    </row>
    <row r="156" ht="25.5" spans="1:11">
      <c r="A156" s="117">
        <v>80</v>
      </c>
      <c r="B156" s="117">
        <v>1515903061009</v>
      </c>
      <c r="C156" s="118" t="s">
        <v>676</v>
      </c>
      <c r="D156" s="119" t="s">
        <v>494</v>
      </c>
      <c r="E156" s="120">
        <v>2</v>
      </c>
      <c r="F156" s="120">
        <v>1084.91</v>
      </c>
      <c r="G156" s="121">
        <f t="shared" si="6"/>
        <v>2169.82</v>
      </c>
      <c r="H156" s="122">
        <f t="shared" si="7"/>
        <v>0.000488811255617733</v>
      </c>
      <c r="I156" s="122">
        <f t="shared" si="8"/>
        <v>0.986832832937192</v>
      </c>
      <c r="J156" s="95"/>
      <c r="K156" s="95"/>
    </row>
    <row r="157" spans="1:11">
      <c r="A157" s="129">
        <v>234</v>
      </c>
      <c r="B157" s="129">
        <v>8005008010081</v>
      </c>
      <c r="C157" s="116" t="s">
        <v>895</v>
      </c>
      <c r="D157" s="123" t="s">
        <v>466</v>
      </c>
      <c r="E157" s="124">
        <v>223.74</v>
      </c>
      <c r="F157" s="124">
        <v>9.58</v>
      </c>
      <c r="G157" s="112">
        <f t="shared" si="6"/>
        <v>2143.43</v>
      </c>
      <c r="H157" s="113">
        <f t="shared" si="7"/>
        <v>0.000482866186885878</v>
      </c>
      <c r="I157" s="113">
        <f t="shared" si="8"/>
        <v>0.987315699124078</v>
      </c>
    </row>
    <row r="158" spans="1:11">
      <c r="A158" s="114">
        <v>276</v>
      </c>
      <c r="B158" s="115" t="s">
        <v>954</v>
      </c>
      <c r="C158" s="116" t="s">
        <v>955</v>
      </c>
      <c r="D158" s="123" t="s">
        <v>476</v>
      </c>
      <c r="E158" s="124">
        <v>24.4</v>
      </c>
      <c r="F158" s="124">
        <v>87.29</v>
      </c>
      <c r="G158" s="112">
        <f t="shared" si="6"/>
        <v>2129.88</v>
      </c>
      <c r="H158" s="113">
        <f t="shared" si="7"/>
        <v>0.000479813679067893</v>
      </c>
      <c r="I158" s="113">
        <f t="shared" si="8"/>
        <v>0.987795512803146</v>
      </c>
    </row>
    <row r="159" ht="25.5" spans="1:11">
      <c r="A159" s="117">
        <v>43</v>
      </c>
      <c r="B159" s="117">
        <v>1514603025033</v>
      </c>
      <c r="C159" s="118" t="s">
        <v>639</v>
      </c>
      <c r="D159" s="119" t="s">
        <v>494</v>
      </c>
      <c r="E159" s="120">
        <v>1</v>
      </c>
      <c r="F159" s="120">
        <v>2106.15</v>
      </c>
      <c r="G159" s="121">
        <f t="shared" si="6"/>
        <v>2106.15</v>
      </c>
      <c r="H159" s="122">
        <f t="shared" si="7"/>
        <v>0.000474467848033149</v>
      </c>
      <c r="I159" s="122">
        <f t="shared" si="8"/>
        <v>0.988269980651179</v>
      </c>
      <c r="J159" s="95"/>
      <c r="K159" s="95"/>
    </row>
    <row r="160" ht="25.5" spans="1:11">
      <c r="A160" s="125">
        <v>72</v>
      </c>
      <c r="B160" s="125">
        <v>1515903023077</v>
      </c>
      <c r="C160" s="118" t="s">
        <v>668</v>
      </c>
      <c r="D160" s="126" t="s">
        <v>494</v>
      </c>
      <c r="E160" s="121">
        <v>2</v>
      </c>
      <c r="F160" s="121">
        <v>1014.15</v>
      </c>
      <c r="G160" s="121">
        <f t="shared" si="6"/>
        <v>2028.3</v>
      </c>
      <c r="H160" s="122">
        <f t="shared" si="7"/>
        <v>0.000456930007912844</v>
      </c>
      <c r="I160" s="122">
        <f t="shared" si="8"/>
        <v>0.988726910659092</v>
      </c>
      <c r="J160" s="95"/>
      <c r="K160" s="95"/>
    </row>
    <row r="161" ht="25.5" spans="1:11">
      <c r="A161" s="114">
        <v>212</v>
      </c>
      <c r="B161" s="115" t="s">
        <v>866</v>
      </c>
      <c r="C161" s="116" t="s">
        <v>867</v>
      </c>
      <c r="D161" s="123" t="s">
        <v>494</v>
      </c>
      <c r="E161" s="124">
        <v>18</v>
      </c>
      <c r="F161" s="124">
        <v>112.23</v>
      </c>
      <c r="G161" s="112">
        <f t="shared" si="6"/>
        <v>2020.14</v>
      </c>
      <c r="H161" s="113">
        <f t="shared" si="7"/>
        <v>0.000455091744902161</v>
      </c>
      <c r="I161" s="113">
        <f t="shared" si="8"/>
        <v>0.989182002403994</v>
      </c>
    </row>
    <row r="162" spans="1:11">
      <c r="A162" s="114">
        <v>238</v>
      </c>
      <c r="B162" s="115" t="s">
        <v>898</v>
      </c>
      <c r="C162" s="116" t="s">
        <v>899</v>
      </c>
      <c r="D162" s="123" t="s">
        <v>466</v>
      </c>
      <c r="E162" s="124">
        <v>3136.09</v>
      </c>
      <c r="F162" s="124">
        <v>0.58</v>
      </c>
      <c r="G162" s="112">
        <f t="shared" si="6"/>
        <v>1818.93</v>
      </c>
      <c r="H162" s="113">
        <f t="shared" si="7"/>
        <v>0.000409763693385056</v>
      </c>
      <c r="I162" s="113">
        <f t="shared" si="8"/>
        <v>0.989591766097379</v>
      </c>
    </row>
    <row r="163" ht="25.5" spans="1:11">
      <c r="A163" s="125">
        <v>97</v>
      </c>
      <c r="B163" s="125">
        <v>1515903043079</v>
      </c>
      <c r="C163" s="118" t="s">
        <v>693</v>
      </c>
      <c r="D163" s="126" t="s">
        <v>494</v>
      </c>
      <c r="E163" s="121">
        <v>1</v>
      </c>
      <c r="F163" s="121">
        <v>1688.25</v>
      </c>
      <c r="G163" s="121">
        <f t="shared" si="6"/>
        <v>1688.25</v>
      </c>
      <c r="H163" s="122">
        <f t="shared" si="7"/>
        <v>0.000380324451934555</v>
      </c>
      <c r="I163" s="122">
        <f t="shared" si="8"/>
        <v>0.989972090549313</v>
      </c>
      <c r="J163" s="95"/>
      <c r="K163" s="95"/>
    </row>
    <row r="164" ht="25.5" spans="1:11">
      <c r="A164" s="114">
        <v>196</v>
      </c>
      <c r="B164" s="115" t="s">
        <v>844</v>
      </c>
      <c r="C164" s="116" t="s">
        <v>845</v>
      </c>
      <c r="D164" s="123" t="s">
        <v>463</v>
      </c>
      <c r="E164" s="124">
        <v>107.78</v>
      </c>
      <c r="F164" s="124">
        <v>15.05</v>
      </c>
      <c r="G164" s="112">
        <f t="shared" si="6"/>
        <v>1622.09</v>
      </c>
      <c r="H164" s="113">
        <f t="shared" si="7"/>
        <v>0.000365420103798918</v>
      </c>
      <c r="I164" s="113">
        <f t="shared" si="8"/>
        <v>0.990337510653112</v>
      </c>
    </row>
    <row r="165" ht="25.5" spans="1:11">
      <c r="A165" s="114">
        <v>195</v>
      </c>
      <c r="B165" s="115" t="s">
        <v>842</v>
      </c>
      <c r="C165" s="116" t="s">
        <v>843</v>
      </c>
      <c r="D165" s="123" t="s">
        <v>463</v>
      </c>
      <c r="E165" s="124">
        <v>174.5</v>
      </c>
      <c r="F165" s="124">
        <v>9.24</v>
      </c>
      <c r="G165" s="112">
        <f t="shared" si="6"/>
        <v>1612.38</v>
      </c>
      <c r="H165" s="113">
        <f t="shared" si="7"/>
        <v>0.000363232660927137</v>
      </c>
      <c r="I165" s="113">
        <f t="shared" si="8"/>
        <v>0.990700743314039</v>
      </c>
    </row>
    <row r="166" ht="25.5" spans="1:11">
      <c r="A166" s="117">
        <v>76</v>
      </c>
      <c r="B166" s="117">
        <v>1515903077040</v>
      </c>
      <c r="C166" s="118" t="s">
        <v>672</v>
      </c>
      <c r="D166" s="119" t="s">
        <v>494</v>
      </c>
      <c r="E166" s="120">
        <v>1</v>
      </c>
      <c r="F166" s="120">
        <v>1603.71</v>
      </c>
      <c r="G166" s="121">
        <f t="shared" si="6"/>
        <v>1603.71</v>
      </c>
      <c r="H166" s="122">
        <f t="shared" si="7"/>
        <v>0.000361279506478286</v>
      </c>
      <c r="I166" s="122">
        <f t="shared" si="8"/>
        <v>0.991062022820518</v>
      </c>
      <c r="J166" s="95"/>
      <c r="K166" s="95"/>
    </row>
    <row r="167" ht="51" spans="1:11">
      <c r="A167" s="131">
        <v>165</v>
      </c>
      <c r="B167" s="132" t="s">
        <v>786</v>
      </c>
      <c r="C167" s="110" t="s">
        <v>2028</v>
      </c>
      <c r="D167" s="111" t="s">
        <v>476</v>
      </c>
      <c r="E167" s="112">
        <v>285.82</v>
      </c>
      <c r="F167" s="112">
        <v>5.6</v>
      </c>
      <c r="G167" s="112">
        <f t="shared" si="6"/>
        <v>1600.59</v>
      </c>
      <c r="H167" s="113">
        <f t="shared" si="7"/>
        <v>0.000360576641209495</v>
      </c>
      <c r="I167" s="113">
        <f t="shared" si="8"/>
        <v>0.991422599461727</v>
      </c>
    </row>
    <row r="168" ht="25.5" spans="1:11">
      <c r="A168" s="108">
        <v>156</v>
      </c>
      <c r="B168" s="108">
        <v>8002008020011</v>
      </c>
      <c r="C168" s="110" t="s">
        <v>2029</v>
      </c>
      <c r="D168" s="111" t="s">
        <v>476</v>
      </c>
      <c r="E168" s="112">
        <v>10.12</v>
      </c>
      <c r="F168" s="112">
        <v>155.88</v>
      </c>
      <c r="G168" s="112">
        <f t="shared" si="6"/>
        <v>1577.51</v>
      </c>
      <c r="H168" s="113">
        <f t="shared" si="7"/>
        <v>0.000355377240439082</v>
      </c>
      <c r="I168" s="113">
        <f t="shared" si="8"/>
        <v>0.991777976702166</v>
      </c>
    </row>
    <row r="169" ht="25.5" spans="1:11">
      <c r="A169" s="125">
        <v>69</v>
      </c>
      <c r="B169" s="125">
        <v>1515903009025</v>
      </c>
      <c r="C169" s="118" t="s">
        <v>665</v>
      </c>
      <c r="D169" s="126" t="s">
        <v>494</v>
      </c>
      <c r="E169" s="121">
        <v>3</v>
      </c>
      <c r="F169" s="121">
        <v>521.93</v>
      </c>
      <c r="G169" s="121">
        <f t="shared" si="6"/>
        <v>1565.79</v>
      </c>
      <c r="H169" s="122">
        <f t="shared" si="7"/>
        <v>0.000352736990134522</v>
      </c>
      <c r="I169" s="122">
        <f t="shared" si="8"/>
        <v>0.992130713692301</v>
      </c>
      <c r="J169" s="95"/>
      <c r="K169" s="95"/>
    </row>
    <row r="170" ht="25.5" spans="1:11">
      <c r="A170" s="114">
        <v>153</v>
      </c>
      <c r="B170" s="115" t="s">
        <v>765</v>
      </c>
      <c r="C170" s="116" t="s">
        <v>766</v>
      </c>
      <c r="D170" s="123" t="s">
        <v>601</v>
      </c>
      <c r="E170" s="124">
        <v>71.07</v>
      </c>
      <c r="F170" s="124">
        <v>20.52</v>
      </c>
      <c r="G170" s="112">
        <f t="shared" si="6"/>
        <v>1458.36</v>
      </c>
      <c r="H170" s="113">
        <f t="shared" si="7"/>
        <v>0.000328535446600491</v>
      </c>
      <c r="I170" s="113">
        <f t="shared" si="8"/>
        <v>0.992459249138901</v>
      </c>
    </row>
    <row r="171" ht="25.5" spans="1:11">
      <c r="A171" s="114">
        <v>231</v>
      </c>
      <c r="B171" s="115" t="s">
        <v>890</v>
      </c>
      <c r="C171" s="116" t="s">
        <v>891</v>
      </c>
      <c r="D171" s="111" t="s">
        <v>112</v>
      </c>
      <c r="E171" s="112">
        <v>7.2</v>
      </c>
      <c r="F171" s="112">
        <v>199.43</v>
      </c>
      <c r="G171" s="112">
        <f t="shared" si="6"/>
        <v>1435.9</v>
      </c>
      <c r="H171" s="113">
        <f t="shared" si="7"/>
        <v>0.000323475717774517</v>
      </c>
      <c r="I171" s="113">
        <f t="shared" si="8"/>
        <v>0.992782724856676</v>
      </c>
    </row>
    <row r="172" ht="25.5" spans="1:11">
      <c r="A172" s="114">
        <v>194</v>
      </c>
      <c r="B172" s="115" t="s">
        <v>840</v>
      </c>
      <c r="C172" s="116" t="s">
        <v>841</v>
      </c>
      <c r="D172" s="123" t="s">
        <v>463</v>
      </c>
      <c r="E172" s="124">
        <v>122.82</v>
      </c>
      <c r="F172" s="124">
        <v>11.35</v>
      </c>
      <c r="G172" s="112">
        <f t="shared" si="6"/>
        <v>1394.01</v>
      </c>
      <c r="H172" s="113">
        <f t="shared" si="7"/>
        <v>0.000314038850431683</v>
      </c>
      <c r="I172" s="113">
        <f t="shared" si="8"/>
        <v>0.993096763707107</v>
      </c>
    </row>
    <row r="173" spans="1:11">
      <c r="A173" s="117">
        <v>10</v>
      </c>
      <c r="B173" s="117">
        <v>1042003003007</v>
      </c>
      <c r="C173" s="118" t="s">
        <v>606</v>
      </c>
      <c r="D173" s="119" t="s">
        <v>494</v>
      </c>
      <c r="E173" s="120">
        <v>5</v>
      </c>
      <c r="F173" s="120">
        <v>259.4</v>
      </c>
      <c r="G173" s="121">
        <f t="shared" si="6"/>
        <v>1297</v>
      </c>
      <c r="H173" s="122">
        <f t="shared" si="7"/>
        <v>0.000292184696673549</v>
      </c>
      <c r="I173" s="122">
        <f t="shared" si="8"/>
        <v>0.993388948403781</v>
      </c>
      <c r="J173" s="95"/>
      <c r="K173" s="95"/>
    </row>
    <row r="174" ht="25.5" spans="1:11">
      <c r="A174" s="127">
        <v>114</v>
      </c>
      <c r="B174" s="128" t="s">
        <v>716</v>
      </c>
      <c r="C174" s="118" t="s">
        <v>717</v>
      </c>
      <c r="D174" s="126" t="s">
        <v>466</v>
      </c>
      <c r="E174" s="121">
        <v>2.25</v>
      </c>
      <c r="F174" s="121">
        <v>552.93</v>
      </c>
      <c r="G174" s="121">
        <f t="shared" si="6"/>
        <v>1244.09</v>
      </c>
      <c r="H174" s="122">
        <f t="shared" si="7"/>
        <v>0.000280265273156974</v>
      </c>
      <c r="I174" s="122">
        <f t="shared" si="8"/>
        <v>0.993669213676938</v>
      </c>
      <c r="J174" s="95"/>
      <c r="K174" s="95"/>
    </row>
    <row r="175" spans="1:11">
      <c r="A175" s="114">
        <v>139</v>
      </c>
      <c r="B175" s="115" t="s">
        <v>740</v>
      </c>
      <c r="C175" s="116" t="s">
        <v>741</v>
      </c>
      <c r="D175" s="123" t="s">
        <v>476</v>
      </c>
      <c r="E175" s="124">
        <v>1.46</v>
      </c>
      <c r="F175" s="124">
        <v>839.54</v>
      </c>
      <c r="G175" s="112">
        <f t="shared" si="6"/>
        <v>1225.73</v>
      </c>
      <c r="H175" s="113">
        <f t="shared" si="7"/>
        <v>0.000276129181382937</v>
      </c>
      <c r="I175" s="113">
        <f t="shared" si="8"/>
        <v>0.993945342858321</v>
      </c>
    </row>
    <row r="176" ht="25.5" spans="1:11">
      <c r="A176" s="114">
        <v>147</v>
      </c>
      <c r="B176" s="115" t="s">
        <v>753</v>
      </c>
      <c r="C176" s="116" t="s">
        <v>754</v>
      </c>
      <c r="D176" s="111" t="s">
        <v>476</v>
      </c>
      <c r="E176" s="112">
        <v>17.2</v>
      </c>
      <c r="F176" s="112">
        <v>67.77</v>
      </c>
      <c r="G176" s="112">
        <f t="shared" si="6"/>
        <v>1165.64</v>
      </c>
      <c r="H176" s="113">
        <f t="shared" si="7"/>
        <v>0.000262592266638824</v>
      </c>
      <c r="I176" s="113">
        <f t="shared" si="8"/>
        <v>0.99420793512496</v>
      </c>
    </row>
    <row r="177" ht="25.5" spans="1:11">
      <c r="A177" s="114">
        <v>235</v>
      </c>
      <c r="B177" s="115" t="s">
        <v>581</v>
      </c>
      <c r="C177" s="116" t="s">
        <v>582</v>
      </c>
      <c r="D177" s="123" t="s">
        <v>466</v>
      </c>
      <c r="E177" s="124">
        <v>11.16</v>
      </c>
      <c r="F177" s="124">
        <v>104.11</v>
      </c>
      <c r="G177" s="112">
        <f t="shared" si="6"/>
        <v>1161.87</v>
      </c>
      <c r="H177" s="113">
        <f t="shared" si="7"/>
        <v>0.000261742971105702</v>
      </c>
      <c r="I177" s="113">
        <f t="shared" si="8"/>
        <v>0.994469678096065</v>
      </c>
    </row>
    <row r="178" ht="25.5" spans="1:11">
      <c r="A178" s="117">
        <v>64</v>
      </c>
      <c r="B178" s="117">
        <v>1515903098050</v>
      </c>
      <c r="C178" s="118" t="s">
        <v>660</v>
      </c>
      <c r="D178" s="119" t="s">
        <v>494</v>
      </c>
      <c r="E178" s="120">
        <v>14</v>
      </c>
      <c r="F178" s="120">
        <v>75.45</v>
      </c>
      <c r="G178" s="121">
        <f t="shared" si="6"/>
        <v>1056.3</v>
      </c>
      <c r="H178" s="122">
        <f t="shared" si="7"/>
        <v>0.000237960443404988</v>
      </c>
      <c r="I178" s="122">
        <f t="shared" si="8"/>
        <v>0.99470763853947</v>
      </c>
      <c r="J178" s="95"/>
      <c r="K178" s="95"/>
    </row>
    <row r="179" spans="1:11">
      <c r="A179" s="117">
        <v>17</v>
      </c>
      <c r="B179" s="117">
        <v>1511003106005</v>
      </c>
      <c r="C179" s="118" t="s">
        <v>613</v>
      </c>
      <c r="D179" s="119" t="s">
        <v>494</v>
      </c>
      <c r="E179" s="120">
        <v>5</v>
      </c>
      <c r="F179" s="120">
        <v>204.51</v>
      </c>
      <c r="G179" s="121">
        <f t="shared" si="6"/>
        <v>1022.55</v>
      </c>
      <c r="H179" s="122">
        <f t="shared" si="7"/>
        <v>0.000230357333526243</v>
      </c>
      <c r="I179" s="122">
        <f t="shared" si="8"/>
        <v>0.994937995872997</v>
      </c>
      <c r="J179" s="95"/>
      <c r="K179" s="95"/>
    </row>
    <row r="180" spans="1:11">
      <c r="A180" s="114">
        <v>278</v>
      </c>
      <c r="B180" s="115" t="s">
        <v>958</v>
      </c>
      <c r="C180" s="116" t="s">
        <v>959</v>
      </c>
      <c r="D180" s="123" t="s">
        <v>476</v>
      </c>
      <c r="E180" s="124">
        <v>8.24</v>
      </c>
      <c r="F180" s="124">
        <v>120.54</v>
      </c>
      <c r="G180" s="112">
        <f t="shared" si="6"/>
        <v>993.25</v>
      </c>
      <c r="H180" s="113">
        <f t="shared" si="7"/>
        <v>0.000223756707764844</v>
      </c>
      <c r="I180" s="113">
        <f t="shared" si="8"/>
        <v>0.995161752580762</v>
      </c>
    </row>
    <row r="181" ht="25.5" spans="1:11">
      <c r="A181" s="114">
        <v>222</v>
      </c>
      <c r="B181" s="115" t="s">
        <v>883</v>
      </c>
      <c r="C181" s="116" t="s">
        <v>318</v>
      </c>
      <c r="D181" s="123" t="s">
        <v>112</v>
      </c>
      <c r="E181" s="124">
        <v>14.2</v>
      </c>
      <c r="F181" s="124">
        <v>67.88</v>
      </c>
      <c r="G181" s="112">
        <f t="shared" si="6"/>
        <v>963.9</v>
      </c>
      <c r="H181" s="113">
        <f t="shared" si="7"/>
        <v>0.000217144818136957</v>
      </c>
      <c r="I181" s="113">
        <f t="shared" si="8"/>
        <v>0.995378897398899</v>
      </c>
    </row>
    <row r="182" ht="25.5" spans="1:11">
      <c r="A182" s="114">
        <v>268</v>
      </c>
      <c r="B182" s="115" t="s">
        <v>940</v>
      </c>
      <c r="C182" s="110" t="s">
        <v>2030</v>
      </c>
      <c r="D182" s="111" t="s">
        <v>112</v>
      </c>
      <c r="E182" s="112">
        <v>12.5</v>
      </c>
      <c r="F182" s="112">
        <v>72.86</v>
      </c>
      <c r="G182" s="112">
        <f t="shared" si="6"/>
        <v>910.75</v>
      </c>
      <c r="H182" s="113">
        <f t="shared" si="7"/>
        <v>0.000205171328061245</v>
      </c>
      <c r="I182" s="113">
        <f t="shared" si="8"/>
        <v>0.99558406872696</v>
      </c>
    </row>
    <row r="183" ht="25.5" spans="1:11">
      <c r="A183" s="117">
        <v>93</v>
      </c>
      <c r="B183" s="117">
        <v>1515903060129</v>
      </c>
      <c r="C183" s="118" t="s">
        <v>689</v>
      </c>
      <c r="D183" s="119" t="s">
        <v>494</v>
      </c>
      <c r="E183" s="120">
        <v>1</v>
      </c>
      <c r="F183" s="120">
        <v>892</v>
      </c>
      <c r="G183" s="121">
        <f t="shared" si="6"/>
        <v>892</v>
      </c>
      <c r="H183" s="122">
        <f t="shared" si="7"/>
        <v>0.000200947378128609</v>
      </c>
      <c r="I183" s="122">
        <f t="shared" si="8"/>
        <v>0.995785016105088</v>
      </c>
      <c r="J183" s="95"/>
      <c r="K183" s="95"/>
    </row>
    <row r="184" spans="1:11">
      <c r="A184" s="114">
        <v>233</v>
      </c>
      <c r="B184" s="115" t="s">
        <v>893</v>
      </c>
      <c r="C184" s="116" t="s">
        <v>894</v>
      </c>
      <c r="D184" s="123" t="s">
        <v>476</v>
      </c>
      <c r="E184" s="124">
        <v>627.22</v>
      </c>
      <c r="F184" s="124">
        <v>1.41</v>
      </c>
      <c r="G184" s="112">
        <f t="shared" si="6"/>
        <v>884.38</v>
      </c>
      <c r="H184" s="113">
        <f t="shared" si="7"/>
        <v>0.000199230764875985</v>
      </c>
      <c r="I184" s="113">
        <f t="shared" si="8"/>
        <v>0.995984246869964</v>
      </c>
    </row>
    <row r="185" ht="51" spans="1:11">
      <c r="A185" s="131">
        <v>256</v>
      </c>
      <c r="B185" s="132" t="s">
        <v>579</v>
      </c>
      <c r="C185" s="110" t="s">
        <v>2031</v>
      </c>
      <c r="D185" s="111" t="s">
        <v>494</v>
      </c>
      <c r="E185" s="112">
        <v>1</v>
      </c>
      <c r="F185" s="112">
        <v>836.37</v>
      </c>
      <c r="G185" s="112">
        <f t="shared" si="6"/>
        <v>836.37</v>
      </c>
      <c r="H185" s="113">
        <f t="shared" si="7"/>
        <v>0.000188415200275139</v>
      </c>
      <c r="I185" s="113">
        <f t="shared" si="8"/>
        <v>0.996172662070239</v>
      </c>
    </row>
    <row r="186" ht="25.5" spans="1:11">
      <c r="A186" s="117">
        <v>32</v>
      </c>
      <c r="B186" s="117">
        <v>1513903021115</v>
      </c>
      <c r="C186" s="118" t="s">
        <v>628</v>
      </c>
      <c r="D186" s="119" t="s">
        <v>494</v>
      </c>
      <c r="E186" s="120">
        <v>1</v>
      </c>
      <c r="F186" s="120">
        <v>769.62</v>
      </c>
      <c r="G186" s="121">
        <f t="shared" si="6"/>
        <v>769.62</v>
      </c>
      <c r="H186" s="122">
        <f t="shared" si="7"/>
        <v>0.000173377938514955</v>
      </c>
      <c r="I186" s="122">
        <f t="shared" si="8"/>
        <v>0.996346040008754</v>
      </c>
      <c r="J186" s="95"/>
      <c r="K186" s="95"/>
    </row>
    <row r="187" ht="51" spans="1:11">
      <c r="A187" s="131">
        <v>167</v>
      </c>
      <c r="B187" s="132" t="s">
        <v>790</v>
      </c>
      <c r="C187" s="110" t="s">
        <v>2032</v>
      </c>
      <c r="D187" s="111" t="s">
        <v>476</v>
      </c>
      <c r="E187" s="112">
        <v>101.22</v>
      </c>
      <c r="F187" s="112">
        <v>7.33</v>
      </c>
      <c r="G187" s="112">
        <f t="shared" si="6"/>
        <v>741.94</v>
      </c>
      <c r="H187" s="113">
        <f t="shared" si="7"/>
        <v>0.000167142262027735</v>
      </c>
      <c r="I187" s="113">
        <f t="shared" si="8"/>
        <v>0.996513182270782</v>
      </c>
    </row>
    <row r="188" ht="25.5" spans="1:11">
      <c r="A188" s="108">
        <v>198</v>
      </c>
      <c r="B188" s="108">
        <v>8004008065024</v>
      </c>
      <c r="C188" s="110" t="s">
        <v>2033</v>
      </c>
      <c r="D188" s="111" t="s">
        <v>494</v>
      </c>
      <c r="E188" s="112">
        <v>6</v>
      </c>
      <c r="F188" s="112">
        <v>121.02</v>
      </c>
      <c r="G188" s="112">
        <f t="shared" si="6"/>
        <v>726.12</v>
      </c>
      <c r="H188" s="113">
        <f t="shared" si="7"/>
        <v>0.000163578374671239</v>
      </c>
      <c r="I188" s="113">
        <f t="shared" si="8"/>
        <v>0.996676760645453</v>
      </c>
    </row>
    <row r="189" ht="25.5" spans="1:11">
      <c r="A189" s="114">
        <v>218</v>
      </c>
      <c r="B189" s="115" t="s">
        <v>878</v>
      </c>
      <c r="C189" s="116" t="s">
        <v>879</v>
      </c>
      <c r="D189" s="123" t="s">
        <v>494</v>
      </c>
      <c r="E189" s="124">
        <v>1</v>
      </c>
      <c r="F189" s="124">
        <v>677.62</v>
      </c>
      <c r="G189" s="112">
        <f t="shared" si="6"/>
        <v>677.62</v>
      </c>
      <c r="H189" s="113">
        <f t="shared" si="7"/>
        <v>0.00015265242417882</v>
      </c>
      <c r="I189" s="113">
        <f t="shared" si="8"/>
        <v>0.996829413069632</v>
      </c>
    </row>
    <row r="190" spans="1:11">
      <c r="A190" s="129">
        <v>236</v>
      </c>
      <c r="B190" s="129">
        <v>8005008010085</v>
      </c>
      <c r="C190" s="116" t="s">
        <v>896</v>
      </c>
      <c r="D190" s="123" t="s">
        <v>466</v>
      </c>
      <c r="E190" s="124">
        <v>223.74</v>
      </c>
      <c r="F190" s="124">
        <v>2.96</v>
      </c>
      <c r="G190" s="112">
        <f t="shared" si="6"/>
        <v>662.27</v>
      </c>
      <c r="H190" s="113">
        <f t="shared" si="7"/>
        <v>0.000149194417167302</v>
      </c>
      <c r="I190" s="113">
        <f t="shared" si="8"/>
        <v>0.996978607486799</v>
      </c>
    </row>
    <row r="191" ht="25.5" spans="1:11">
      <c r="A191" s="129">
        <v>5</v>
      </c>
      <c r="B191" s="130">
        <v>174103006001</v>
      </c>
      <c r="C191" s="116" t="s">
        <v>600</v>
      </c>
      <c r="D191" s="123" t="s">
        <v>601</v>
      </c>
      <c r="E191" s="124">
        <v>23.25</v>
      </c>
      <c r="F191" s="124">
        <v>28.42</v>
      </c>
      <c r="G191" s="112">
        <f t="shared" si="6"/>
        <v>660.77</v>
      </c>
      <c r="H191" s="113">
        <f t="shared" si="7"/>
        <v>0.000148856501172691</v>
      </c>
      <c r="I191" s="113">
        <f t="shared" si="8"/>
        <v>0.997127463987972</v>
      </c>
    </row>
    <row r="192" ht="25.5" spans="1:11">
      <c r="A192" s="117">
        <v>81</v>
      </c>
      <c r="B192" s="117">
        <v>1515903061102</v>
      </c>
      <c r="C192" s="118" t="s">
        <v>677</v>
      </c>
      <c r="D192" s="119" t="s">
        <v>494</v>
      </c>
      <c r="E192" s="120">
        <v>2</v>
      </c>
      <c r="F192" s="120">
        <v>326.45</v>
      </c>
      <c r="G192" s="121">
        <f t="shared" si="6"/>
        <v>652.9</v>
      </c>
      <c r="H192" s="122">
        <f t="shared" si="7"/>
        <v>0.000147083568587633</v>
      </c>
      <c r="I192" s="122">
        <f t="shared" si="8"/>
        <v>0.99727454755656</v>
      </c>
      <c r="J192" s="95"/>
      <c r="K192" s="95"/>
    </row>
    <row r="193" spans="1:11">
      <c r="A193" s="129">
        <v>280</v>
      </c>
      <c r="B193" s="129">
        <v>8101008010056</v>
      </c>
      <c r="C193" s="116" t="s">
        <v>961</v>
      </c>
      <c r="D193" s="123" t="s">
        <v>494</v>
      </c>
      <c r="E193" s="124">
        <v>1</v>
      </c>
      <c r="F193" s="124">
        <v>603.27</v>
      </c>
      <c r="G193" s="112">
        <f t="shared" si="6"/>
        <v>603.27</v>
      </c>
      <c r="H193" s="113">
        <f t="shared" si="7"/>
        <v>0.000135903054712607</v>
      </c>
      <c r="I193" s="113">
        <f t="shared" si="8"/>
        <v>0.997410450611272</v>
      </c>
    </row>
    <row r="194" ht="38.25" spans="1:11">
      <c r="A194" s="114">
        <v>166</v>
      </c>
      <c r="B194" s="115" t="s">
        <v>788</v>
      </c>
      <c r="C194" s="116" t="s">
        <v>789</v>
      </c>
      <c r="D194" s="123" t="s">
        <v>476</v>
      </c>
      <c r="E194" s="124">
        <v>82.48</v>
      </c>
      <c r="F194" s="124">
        <v>7</v>
      </c>
      <c r="G194" s="112">
        <f t="shared" ref="G194:G257" si="9">ROUND(E194*F194,2)</f>
        <v>577.36</v>
      </c>
      <c r="H194" s="113">
        <f t="shared" si="7"/>
        <v>0.000130066119099029</v>
      </c>
      <c r="I194" s="113">
        <f t="shared" si="8"/>
        <v>0.997540516730371</v>
      </c>
    </row>
    <row r="195" ht="25.5" spans="1:11">
      <c r="A195" s="114">
        <v>140</v>
      </c>
      <c r="B195" s="115" t="s">
        <v>742</v>
      </c>
      <c r="C195" s="110" t="s">
        <v>2034</v>
      </c>
      <c r="D195" s="111" t="s">
        <v>476</v>
      </c>
      <c r="E195" s="112">
        <v>2.36</v>
      </c>
      <c r="F195" s="112">
        <v>233.42</v>
      </c>
      <c r="G195" s="112">
        <f t="shared" si="9"/>
        <v>550.87</v>
      </c>
      <c r="H195" s="113">
        <f t="shared" ref="H195:H251" si="10">G195/$J$1</f>
        <v>0.0001240985226342</v>
      </c>
      <c r="I195" s="113">
        <f t="shared" si="8"/>
        <v>0.997664615253006</v>
      </c>
    </row>
    <row r="196" ht="25.5" spans="1:11">
      <c r="A196" s="114">
        <v>178</v>
      </c>
      <c r="B196" s="115" t="s">
        <v>812</v>
      </c>
      <c r="C196" s="116" t="s">
        <v>813</v>
      </c>
      <c r="D196" s="123" t="s">
        <v>814</v>
      </c>
      <c r="E196" s="124">
        <v>179.73</v>
      </c>
      <c r="F196" s="124">
        <v>2.9</v>
      </c>
      <c r="G196" s="112">
        <f t="shared" si="9"/>
        <v>521.22</v>
      </c>
      <c r="H196" s="113">
        <f t="shared" si="10"/>
        <v>0.000117419049807392</v>
      </c>
      <c r="I196" s="113">
        <f t="shared" ref="I196:I251" si="11">H196+I195</f>
        <v>0.997782034302813</v>
      </c>
    </row>
    <row r="197" ht="51" spans="1:11">
      <c r="A197" s="125">
        <v>65</v>
      </c>
      <c r="B197" s="125">
        <v>1515903014108</v>
      </c>
      <c r="C197" s="118" t="s">
        <v>661</v>
      </c>
      <c r="D197" s="126" t="s">
        <v>494</v>
      </c>
      <c r="E197" s="121">
        <v>80</v>
      </c>
      <c r="F197" s="121">
        <v>6.11</v>
      </c>
      <c r="G197" s="121">
        <f t="shared" si="9"/>
        <v>488.8</v>
      </c>
      <c r="H197" s="122">
        <f t="shared" si="10"/>
        <v>0.000110115558777202</v>
      </c>
      <c r="I197" s="122">
        <f t="shared" si="11"/>
        <v>0.99789214986159</v>
      </c>
      <c r="J197" s="95"/>
      <c r="K197" s="95"/>
    </row>
    <row r="198" spans="1:11">
      <c r="A198" s="114">
        <v>275</v>
      </c>
      <c r="B198" s="115" t="s">
        <v>952</v>
      </c>
      <c r="C198" s="116" t="s">
        <v>953</v>
      </c>
      <c r="D198" s="123" t="s">
        <v>476</v>
      </c>
      <c r="E198" s="124">
        <v>9.58</v>
      </c>
      <c r="F198" s="124">
        <v>49.88</v>
      </c>
      <c r="G198" s="112">
        <f t="shared" si="9"/>
        <v>477.85</v>
      </c>
      <c r="H198" s="113">
        <f t="shared" si="10"/>
        <v>0.000107648772016542</v>
      </c>
      <c r="I198" s="113">
        <f t="shared" si="11"/>
        <v>0.997999798633607</v>
      </c>
    </row>
    <row r="199" ht="25.5" spans="1:11">
      <c r="A199" s="125">
        <v>49</v>
      </c>
      <c r="B199" s="125">
        <v>1514603076106</v>
      </c>
      <c r="C199" s="118" t="s">
        <v>645</v>
      </c>
      <c r="D199" s="126" t="s">
        <v>494</v>
      </c>
      <c r="E199" s="121">
        <v>2</v>
      </c>
      <c r="F199" s="121">
        <v>227.51</v>
      </c>
      <c r="G199" s="121">
        <f t="shared" si="9"/>
        <v>455.02</v>
      </c>
      <c r="H199" s="122">
        <f t="shared" si="10"/>
        <v>0.000102505690578564</v>
      </c>
      <c r="I199" s="122">
        <f t="shared" si="11"/>
        <v>0.998102304324185</v>
      </c>
      <c r="J199" s="95"/>
      <c r="K199" s="95"/>
    </row>
    <row r="200" spans="1:11">
      <c r="A200" s="114">
        <v>292</v>
      </c>
      <c r="B200" s="115" t="s">
        <v>978</v>
      </c>
      <c r="C200" s="116" t="s">
        <v>976</v>
      </c>
      <c r="D200" s="123" t="s">
        <v>979</v>
      </c>
      <c r="E200" s="124">
        <v>52.8</v>
      </c>
      <c r="F200" s="124">
        <v>8.61</v>
      </c>
      <c r="G200" s="112">
        <f t="shared" si="9"/>
        <v>454.61</v>
      </c>
      <c r="H200" s="113">
        <f t="shared" si="10"/>
        <v>0.000102413326873371</v>
      </c>
      <c r="I200" s="113">
        <f t="shared" si="11"/>
        <v>0.998204717651059</v>
      </c>
    </row>
    <row r="201" spans="1:11">
      <c r="A201" s="114">
        <v>255</v>
      </c>
      <c r="B201" s="115" t="s">
        <v>921</v>
      </c>
      <c r="C201" s="116" t="s">
        <v>922</v>
      </c>
      <c r="D201" s="123" t="s">
        <v>476</v>
      </c>
      <c r="E201" s="124">
        <v>174.71</v>
      </c>
      <c r="F201" s="124">
        <v>2.57</v>
      </c>
      <c r="G201" s="112">
        <f t="shared" si="9"/>
        <v>449</v>
      </c>
      <c r="H201" s="113">
        <f t="shared" si="10"/>
        <v>0.000101149521053526</v>
      </c>
      <c r="I201" s="113">
        <f t="shared" si="11"/>
        <v>0.998305867172112</v>
      </c>
    </row>
    <row r="202" ht="25.5" spans="1:11">
      <c r="A202" s="114">
        <v>216</v>
      </c>
      <c r="B202" s="115" t="s">
        <v>874</v>
      </c>
      <c r="C202" s="116" t="s">
        <v>875</v>
      </c>
      <c r="D202" s="123" t="s">
        <v>494</v>
      </c>
      <c r="E202" s="124">
        <v>8</v>
      </c>
      <c r="F202" s="124">
        <v>51.37</v>
      </c>
      <c r="G202" s="112">
        <f t="shared" si="9"/>
        <v>410.96</v>
      </c>
      <c r="H202" s="113">
        <f t="shared" si="10"/>
        <v>9.25799714301939e-5</v>
      </c>
      <c r="I202" s="113">
        <f t="shared" si="11"/>
        <v>0.998398447143542</v>
      </c>
    </row>
    <row r="203" ht="25.5" spans="1:11">
      <c r="A203" s="108">
        <v>205</v>
      </c>
      <c r="B203" s="108">
        <v>8004008020001</v>
      </c>
      <c r="C203" s="110" t="s">
        <v>2035</v>
      </c>
      <c r="D203" s="111" t="s">
        <v>476</v>
      </c>
      <c r="E203" s="112">
        <v>1.8</v>
      </c>
      <c r="F203" s="112">
        <v>225.71</v>
      </c>
      <c r="G203" s="112">
        <f t="shared" si="9"/>
        <v>406.28</v>
      </c>
      <c r="H203" s="113">
        <f t="shared" si="10"/>
        <v>9.15256735270079e-5</v>
      </c>
      <c r="I203" s="113">
        <f t="shared" si="11"/>
        <v>0.998489972817069</v>
      </c>
    </row>
    <row r="204" ht="25.5" spans="1:11">
      <c r="A204" s="114">
        <v>188</v>
      </c>
      <c r="B204" s="115" t="s">
        <v>832</v>
      </c>
      <c r="C204" s="110" t="s">
        <v>2036</v>
      </c>
      <c r="D204" s="111" t="s">
        <v>466</v>
      </c>
      <c r="E204" s="112">
        <v>51.05</v>
      </c>
      <c r="F204" s="112">
        <v>7.36</v>
      </c>
      <c r="G204" s="112">
        <f t="shared" si="9"/>
        <v>375.73</v>
      </c>
      <c r="H204" s="113">
        <f t="shared" si="10"/>
        <v>8.46434511034328e-5</v>
      </c>
      <c r="I204" s="113">
        <f t="shared" si="11"/>
        <v>0.998574616268173</v>
      </c>
    </row>
    <row r="205" ht="25.5" spans="1:11">
      <c r="A205" s="114">
        <v>203</v>
      </c>
      <c r="B205" s="115" t="s">
        <v>853</v>
      </c>
      <c r="C205" s="116" t="s">
        <v>854</v>
      </c>
      <c r="D205" s="123" t="s">
        <v>476</v>
      </c>
      <c r="E205" s="124">
        <v>1.2</v>
      </c>
      <c r="F205" s="124">
        <v>312.47</v>
      </c>
      <c r="G205" s="112">
        <f t="shared" si="9"/>
        <v>374.96</v>
      </c>
      <c r="H205" s="113">
        <f t="shared" si="10"/>
        <v>8.44699875595326e-5</v>
      </c>
      <c r="I205" s="113">
        <f t="shared" si="11"/>
        <v>0.998659086255732</v>
      </c>
    </row>
    <row r="206" ht="25.5" spans="1:11">
      <c r="A206" s="114">
        <v>213</v>
      </c>
      <c r="B206" s="115" t="s">
        <v>868</v>
      </c>
      <c r="C206" s="116" t="s">
        <v>869</v>
      </c>
      <c r="D206" s="123" t="s">
        <v>494</v>
      </c>
      <c r="E206" s="124">
        <v>2</v>
      </c>
      <c r="F206" s="124">
        <v>185.21</v>
      </c>
      <c r="G206" s="112">
        <f t="shared" si="9"/>
        <v>370.42</v>
      </c>
      <c r="H206" s="113">
        <f t="shared" si="10"/>
        <v>8.34472284825103e-5</v>
      </c>
      <c r="I206" s="113">
        <f t="shared" si="11"/>
        <v>0.998742533484215</v>
      </c>
    </row>
    <row r="207" ht="25.5" spans="1:11">
      <c r="A207" s="114">
        <v>266</v>
      </c>
      <c r="B207" s="115" t="s">
        <v>936</v>
      </c>
      <c r="C207" s="110" t="s">
        <v>2037</v>
      </c>
      <c r="D207" s="123" t="s">
        <v>494</v>
      </c>
      <c r="E207" s="124">
        <v>2</v>
      </c>
      <c r="F207" s="124">
        <v>180.67</v>
      </c>
      <c r="G207" s="112">
        <f t="shared" si="9"/>
        <v>361.34</v>
      </c>
      <c r="H207" s="113">
        <f t="shared" si="10"/>
        <v>8.14017103284657e-5</v>
      </c>
      <c r="I207" s="113">
        <f t="shared" si="11"/>
        <v>0.998823935194543</v>
      </c>
    </row>
    <row r="208" ht="25.5" spans="1:11">
      <c r="A208" s="114">
        <v>221</v>
      </c>
      <c r="B208" s="115" t="s">
        <v>882</v>
      </c>
      <c r="C208" s="116" t="s">
        <v>317</v>
      </c>
      <c r="D208" s="123" t="s">
        <v>112</v>
      </c>
      <c r="E208" s="124">
        <v>13.25</v>
      </c>
      <c r="F208" s="124">
        <v>27.04</v>
      </c>
      <c r="G208" s="112">
        <f t="shared" si="9"/>
        <v>358.28</v>
      </c>
      <c r="H208" s="113">
        <f t="shared" si="10"/>
        <v>8.07123616994595e-5</v>
      </c>
      <c r="I208" s="113">
        <f t="shared" si="11"/>
        <v>0.998904647556243</v>
      </c>
    </row>
    <row r="209" ht="51" spans="1:11">
      <c r="A209" s="114">
        <v>172</v>
      </c>
      <c r="B209" s="115" t="s">
        <v>800</v>
      </c>
      <c r="C209" s="110" t="s">
        <v>2038</v>
      </c>
      <c r="D209" s="111" t="s">
        <v>476</v>
      </c>
      <c r="E209" s="112">
        <v>14.68</v>
      </c>
      <c r="F209" s="112">
        <v>23.66</v>
      </c>
      <c r="G209" s="112">
        <f t="shared" si="9"/>
        <v>347.33</v>
      </c>
      <c r="H209" s="113">
        <f t="shared" si="10"/>
        <v>7.82455749388e-5</v>
      </c>
      <c r="I209" s="113">
        <f t="shared" si="11"/>
        <v>0.998982893131182</v>
      </c>
    </row>
    <row r="210" ht="25.5" spans="1:11">
      <c r="A210" s="114">
        <v>179</v>
      </c>
      <c r="B210" s="115" t="s">
        <v>815</v>
      </c>
      <c r="C210" s="116" t="s">
        <v>816</v>
      </c>
      <c r="D210" s="123" t="s">
        <v>814</v>
      </c>
      <c r="E210" s="124">
        <v>241.04</v>
      </c>
      <c r="F210" s="124">
        <v>1.44</v>
      </c>
      <c r="G210" s="112">
        <f t="shared" si="9"/>
        <v>347.1</v>
      </c>
      <c r="H210" s="113">
        <f t="shared" si="10"/>
        <v>7.81937611529597e-5</v>
      </c>
      <c r="I210" s="113">
        <f t="shared" si="11"/>
        <v>0.999061086892335</v>
      </c>
    </row>
    <row r="211" ht="38.25" spans="1:11">
      <c r="A211" s="108">
        <v>229</v>
      </c>
      <c r="B211" s="108">
        <v>8004508135033</v>
      </c>
      <c r="C211" s="110" t="s">
        <v>2039</v>
      </c>
      <c r="D211" s="111" t="s">
        <v>494</v>
      </c>
      <c r="E211" s="112">
        <v>4</v>
      </c>
      <c r="F211" s="112">
        <v>82.55</v>
      </c>
      <c r="G211" s="112">
        <f t="shared" si="9"/>
        <v>330.2</v>
      </c>
      <c r="H211" s="113">
        <f t="shared" si="10"/>
        <v>7.43865742803437e-5</v>
      </c>
      <c r="I211" s="113">
        <f t="shared" si="11"/>
        <v>0.999135473466615</v>
      </c>
    </row>
    <row r="212" ht="25.5" spans="1:11">
      <c r="A212" s="114">
        <v>267</v>
      </c>
      <c r="B212" s="115" t="s">
        <v>938</v>
      </c>
      <c r="C212" s="110" t="s">
        <v>2040</v>
      </c>
      <c r="D212" s="111" t="s">
        <v>494</v>
      </c>
      <c r="E212" s="112">
        <v>1</v>
      </c>
      <c r="F212" s="112">
        <v>307.84</v>
      </c>
      <c r="G212" s="112">
        <f t="shared" si="9"/>
        <v>307.84</v>
      </c>
      <c r="H212" s="113">
        <f t="shared" si="10"/>
        <v>6.9349373187344e-5</v>
      </c>
      <c r="I212" s="113">
        <f t="shared" si="11"/>
        <v>0.999204822839802</v>
      </c>
    </row>
    <row r="213" spans="1:11">
      <c r="A213" s="114">
        <v>259</v>
      </c>
      <c r="B213" s="115" t="s">
        <v>925</v>
      </c>
      <c r="C213" s="116" t="s">
        <v>926</v>
      </c>
      <c r="D213" s="123" t="s">
        <v>466</v>
      </c>
      <c r="E213" s="124">
        <v>51.05</v>
      </c>
      <c r="F213" s="124">
        <v>5.31</v>
      </c>
      <c r="G213" s="112">
        <f t="shared" si="9"/>
        <v>271.08</v>
      </c>
      <c r="H213" s="113">
        <f t="shared" si="10"/>
        <v>6.10681785460798e-5</v>
      </c>
      <c r="I213" s="113">
        <f t="shared" si="11"/>
        <v>0.999265891018348</v>
      </c>
    </row>
    <row r="214" ht="25.5" spans="1:11">
      <c r="A214" s="117">
        <v>54</v>
      </c>
      <c r="B214" s="117">
        <v>1514603006037</v>
      </c>
      <c r="C214" s="118" t="s">
        <v>650</v>
      </c>
      <c r="D214" s="119" t="s">
        <v>112</v>
      </c>
      <c r="E214" s="120">
        <v>15</v>
      </c>
      <c r="F214" s="120">
        <v>17.06</v>
      </c>
      <c r="G214" s="121">
        <f t="shared" si="9"/>
        <v>255.9</v>
      </c>
      <c r="H214" s="122">
        <f t="shared" si="10"/>
        <v>5.76484686806176e-5</v>
      </c>
      <c r="I214" s="122">
        <f t="shared" si="11"/>
        <v>0.999323539487029</v>
      </c>
      <c r="J214" s="95"/>
      <c r="K214" s="95"/>
    </row>
    <row r="215" ht="38.25" spans="1:11">
      <c r="A215" s="117">
        <v>35</v>
      </c>
      <c r="B215" s="117">
        <v>1513903021079</v>
      </c>
      <c r="C215" s="118" t="s">
        <v>631</v>
      </c>
      <c r="D215" s="119" t="s">
        <v>494</v>
      </c>
      <c r="E215" s="120">
        <v>2</v>
      </c>
      <c r="F215" s="120">
        <v>96.2</v>
      </c>
      <c r="G215" s="121">
        <f t="shared" si="9"/>
        <v>192.4</v>
      </c>
      <c r="H215" s="122">
        <f t="shared" si="10"/>
        <v>4.334335824209e-5</v>
      </c>
      <c r="I215" s="122">
        <f t="shared" si="11"/>
        <v>0.999366882845271</v>
      </c>
      <c r="J215" s="95"/>
      <c r="K215" s="95"/>
    </row>
    <row r="216" ht="25.5" spans="1:11">
      <c r="A216" s="114">
        <v>211</v>
      </c>
      <c r="B216" s="115" t="s">
        <v>864</v>
      </c>
      <c r="C216" s="116" t="s">
        <v>865</v>
      </c>
      <c r="D216" s="123" t="s">
        <v>494</v>
      </c>
      <c r="E216" s="124">
        <v>3</v>
      </c>
      <c r="F216" s="124">
        <v>61.52</v>
      </c>
      <c r="G216" s="112">
        <f t="shared" si="9"/>
        <v>184.56</v>
      </c>
      <c r="H216" s="113">
        <f t="shared" si="10"/>
        <v>4.15771839769238e-5</v>
      </c>
      <c r="I216" s="113">
        <f t="shared" si="11"/>
        <v>0.999408460029248</v>
      </c>
    </row>
    <row r="217" ht="25.5" spans="1:11">
      <c r="A217" s="114">
        <v>242</v>
      </c>
      <c r="B217" s="115" t="s">
        <v>904</v>
      </c>
      <c r="C217" s="116" t="s">
        <v>905</v>
      </c>
      <c r="D217" s="123" t="s">
        <v>494</v>
      </c>
      <c r="E217" s="124">
        <v>1</v>
      </c>
      <c r="F217" s="124">
        <v>183.53</v>
      </c>
      <c r="G217" s="112">
        <f t="shared" si="9"/>
        <v>183.53</v>
      </c>
      <c r="H217" s="113">
        <f t="shared" si="10"/>
        <v>4.13451483272909e-5</v>
      </c>
      <c r="I217" s="113">
        <f t="shared" si="11"/>
        <v>0.999449805177575</v>
      </c>
    </row>
    <row r="218" ht="25.5" spans="1:11">
      <c r="A218" s="114">
        <v>168</v>
      </c>
      <c r="B218" s="115" t="s">
        <v>792</v>
      </c>
      <c r="C218" s="110" t="s">
        <v>2041</v>
      </c>
      <c r="D218" s="111" t="s">
        <v>476</v>
      </c>
      <c r="E218" s="112">
        <v>6.45</v>
      </c>
      <c r="F218" s="112">
        <v>28.45</v>
      </c>
      <c r="G218" s="112">
        <f t="shared" si="9"/>
        <v>183.5</v>
      </c>
      <c r="H218" s="113">
        <f t="shared" si="10"/>
        <v>4.13383900073987e-5</v>
      </c>
      <c r="I218" s="113">
        <f t="shared" si="11"/>
        <v>0.999491143567583</v>
      </c>
    </row>
    <row r="219" ht="25.5" spans="1:11">
      <c r="A219" s="114">
        <v>209</v>
      </c>
      <c r="B219" s="115" t="s">
        <v>860</v>
      </c>
      <c r="C219" s="116" t="s">
        <v>861</v>
      </c>
      <c r="D219" s="111" t="s">
        <v>494</v>
      </c>
      <c r="E219" s="112">
        <v>2</v>
      </c>
      <c r="F219" s="112">
        <v>88.22</v>
      </c>
      <c r="G219" s="112">
        <f t="shared" si="9"/>
        <v>176.44</v>
      </c>
      <c r="H219" s="113">
        <f t="shared" si="10"/>
        <v>3.97479320594301e-5</v>
      </c>
      <c r="I219" s="113">
        <f t="shared" si="11"/>
        <v>0.999530891499642</v>
      </c>
    </row>
    <row r="220" ht="25.5" spans="1:11">
      <c r="A220" s="117">
        <v>61</v>
      </c>
      <c r="B220" s="117">
        <v>1515903098049</v>
      </c>
      <c r="C220" s="118" t="s">
        <v>657</v>
      </c>
      <c r="D220" s="119" t="s">
        <v>494</v>
      </c>
      <c r="E220" s="120">
        <v>2</v>
      </c>
      <c r="F220" s="120">
        <v>83.24</v>
      </c>
      <c r="G220" s="121">
        <f t="shared" si="9"/>
        <v>166.48</v>
      </c>
      <c r="H220" s="122">
        <f t="shared" si="10"/>
        <v>3.75041698552138e-5</v>
      </c>
      <c r="I220" s="122">
        <f t="shared" si="11"/>
        <v>0.999568395669497</v>
      </c>
      <c r="J220" s="95"/>
      <c r="K220" s="95"/>
    </row>
    <row r="221" ht="25.5" spans="1:11">
      <c r="A221" s="114">
        <v>252</v>
      </c>
      <c r="B221" s="115" t="s">
        <v>916</v>
      </c>
      <c r="C221" s="110" t="s">
        <v>2042</v>
      </c>
      <c r="D221" s="111" t="s">
        <v>112</v>
      </c>
      <c r="E221" s="112">
        <v>5</v>
      </c>
      <c r="F221" s="112">
        <v>32.85</v>
      </c>
      <c r="G221" s="112">
        <f t="shared" si="9"/>
        <v>164.25</v>
      </c>
      <c r="H221" s="113">
        <f t="shared" si="10"/>
        <v>3.70018014098923e-5</v>
      </c>
      <c r="I221" s="113">
        <f t="shared" si="11"/>
        <v>0.999605397470907</v>
      </c>
    </row>
    <row r="222" ht="25.5" spans="1:11">
      <c r="A222" s="131">
        <v>199</v>
      </c>
      <c r="B222" s="132" t="s">
        <v>583</v>
      </c>
      <c r="C222" s="110" t="s">
        <v>2043</v>
      </c>
      <c r="D222" s="111" t="s">
        <v>494</v>
      </c>
      <c r="E222" s="112">
        <v>2</v>
      </c>
      <c r="F222" s="112">
        <v>81.77</v>
      </c>
      <c r="G222" s="112">
        <f t="shared" si="9"/>
        <v>163.54</v>
      </c>
      <c r="H222" s="113">
        <f t="shared" si="10"/>
        <v>3.68418545057765e-5</v>
      </c>
      <c r="I222" s="113">
        <f t="shared" si="11"/>
        <v>0.999642239325413</v>
      </c>
    </row>
    <row r="223" ht="25.5" spans="1:11">
      <c r="A223" s="114">
        <v>128</v>
      </c>
      <c r="B223" s="115" t="s">
        <v>730</v>
      </c>
      <c r="C223" s="116" t="s">
        <v>731</v>
      </c>
      <c r="D223" s="123" t="s">
        <v>466</v>
      </c>
      <c r="E223" s="124">
        <v>18.31</v>
      </c>
      <c r="F223" s="124">
        <v>8.11</v>
      </c>
      <c r="G223" s="112">
        <f t="shared" si="9"/>
        <v>148.49</v>
      </c>
      <c r="H223" s="113">
        <f t="shared" si="10"/>
        <v>3.34514306931806e-5</v>
      </c>
      <c r="I223" s="113">
        <f t="shared" si="11"/>
        <v>0.999675690756106</v>
      </c>
    </row>
    <row r="224" ht="25.5" spans="1:11">
      <c r="A224" s="114">
        <v>241</v>
      </c>
      <c r="B224" s="115" t="s">
        <v>902</v>
      </c>
      <c r="C224" s="110" t="s">
        <v>2044</v>
      </c>
      <c r="D224" s="111" t="s">
        <v>494</v>
      </c>
      <c r="E224" s="112">
        <v>1</v>
      </c>
      <c r="F224" s="112">
        <v>137.56</v>
      </c>
      <c r="G224" s="112">
        <f t="shared" si="9"/>
        <v>137.56</v>
      </c>
      <c r="H224" s="113">
        <f t="shared" si="10"/>
        <v>3.09891494791159e-5</v>
      </c>
      <c r="I224" s="113">
        <f t="shared" si="11"/>
        <v>0.999706679905585</v>
      </c>
    </row>
    <row r="225" spans="1:11">
      <c r="A225" s="129">
        <v>29</v>
      </c>
      <c r="B225" s="129">
        <v>1512003007001</v>
      </c>
      <c r="C225" s="116" t="s">
        <v>625</v>
      </c>
      <c r="D225" s="123" t="s">
        <v>494</v>
      </c>
      <c r="E225" s="124">
        <v>1</v>
      </c>
      <c r="F225" s="124">
        <v>129.9</v>
      </c>
      <c r="G225" s="112">
        <f t="shared" si="9"/>
        <v>129.9</v>
      </c>
      <c r="H225" s="113">
        <f t="shared" si="10"/>
        <v>2.9263525133303e-5</v>
      </c>
      <c r="I225" s="113">
        <f t="shared" si="11"/>
        <v>0.999735943430719</v>
      </c>
    </row>
    <row r="226" ht="25.5" spans="1:11">
      <c r="A226" s="108">
        <v>30</v>
      </c>
      <c r="B226" s="108">
        <v>1512003001034</v>
      </c>
      <c r="C226" s="110" t="s">
        <v>2045</v>
      </c>
      <c r="D226" s="111" t="s">
        <v>494</v>
      </c>
      <c r="E226" s="112">
        <v>1</v>
      </c>
      <c r="F226" s="112">
        <v>120.69</v>
      </c>
      <c r="G226" s="112">
        <f t="shared" si="9"/>
        <v>120.69</v>
      </c>
      <c r="H226" s="113">
        <f t="shared" si="10"/>
        <v>2.71887209263921e-5</v>
      </c>
      <c r="I226" s="113">
        <f t="shared" si="11"/>
        <v>0.999763132151645</v>
      </c>
    </row>
    <row r="227" ht="38.25" spans="1:11">
      <c r="A227" s="114">
        <v>150</v>
      </c>
      <c r="B227" s="115" t="s">
        <v>759</v>
      </c>
      <c r="C227" s="110" t="s">
        <v>2046</v>
      </c>
      <c r="D227" s="111" t="s">
        <v>476</v>
      </c>
      <c r="E227" s="112">
        <v>12.23</v>
      </c>
      <c r="F227" s="112">
        <v>9.67</v>
      </c>
      <c r="G227" s="112">
        <f t="shared" si="9"/>
        <v>118.26</v>
      </c>
      <c r="H227" s="113">
        <f t="shared" si="10"/>
        <v>2.66412970151225e-5</v>
      </c>
      <c r="I227" s="113">
        <f t="shared" si="11"/>
        <v>0.99978977344866</v>
      </c>
    </row>
    <row r="228" ht="25.5" spans="1:11">
      <c r="A228" s="117">
        <v>46</v>
      </c>
      <c r="B228" s="117">
        <v>1514603025021</v>
      </c>
      <c r="C228" s="118" t="s">
        <v>642</v>
      </c>
      <c r="D228" s="119" t="s">
        <v>494</v>
      </c>
      <c r="E228" s="120">
        <v>2</v>
      </c>
      <c r="F228" s="120">
        <v>57.8</v>
      </c>
      <c r="G228" s="121">
        <f t="shared" si="9"/>
        <v>115.6</v>
      </c>
      <c r="H228" s="122">
        <f t="shared" si="10"/>
        <v>2.60420593180125e-5</v>
      </c>
      <c r="I228" s="122">
        <f t="shared" si="11"/>
        <v>0.999815815507978</v>
      </c>
      <c r="J228" s="95"/>
      <c r="K228" s="95"/>
    </row>
    <row r="229" spans="1:11">
      <c r="A229" s="114">
        <v>148</v>
      </c>
      <c r="B229" s="115" t="s">
        <v>755</v>
      </c>
      <c r="C229" s="116" t="s">
        <v>756</v>
      </c>
      <c r="D229" s="123" t="s">
        <v>601</v>
      </c>
      <c r="E229" s="124">
        <v>12.75</v>
      </c>
      <c r="F229" s="124">
        <v>7.52</v>
      </c>
      <c r="G229" s="112">
        <f t="shared" si="9"/>
        <v>95.88</v>
      </c>
      <c r="H229" s="113">
        <f t="shared" si="10"/>
        <v>2.1599590375528e-5</v>
      </c>
      <c r="I229" s="113">
        <f t="shared" si="11"/>
        <v>0.999837415098354</v>
      </c>
    </row>
    <row r="230" ht="38.25" spans="1:11">
      <c r="A230" s="114">
        <v>176</v>
      </c>
      <c r="B230" s="115" t="s">
        <v>808</v>
      </c>
      <c r="C230" s="110" t="s">
        <v>2047</v>
      </c>
      <c r="D230" s="123" t="s">
        <v>412</v>
      </c>
      <c r="E230" s="124">
        <v>73.41</v>
      </c>
      <c r="F230" s="124">
        <v>1.23</v>
      </c>
      <c r="G230" s="112">
        <f t="shared" si="9"/>
        <v>90.29</v>
      </c>
      <c r="H230" s="113">
        <f t="shared" si="10"/>
        <v>2.03402901022781e-5</v>
      </c>
      <c r="I230" s="113">
        <f t="shared" si="11"/>
        <v>0.999857755388456</v>
      </c>
    </row>
    <row r="231" spans="1:11">
      <c r="A231" s="129">
        <v>157</v>
      </c>
      <c r="B231" s="129">
        <v>8002008020009</v>
      </c>
      <c r="C231" s="116" t="s">
        <v>772</v>
      </c>
      <c r="D231" s="123" t="s">
        <v>476</v>
      </c>
      <c r="E231" s="124">
        <v>0.77</v>
      </c>
      <c r="F231" s="124">
        <v>93.53</v>
      </c>
      <c r="G231" s="112">
        <f t="shared" si="9"/>
        <v>72.02</v>
      </c>
      <c r="H231" s="113">
        <f t="shared" si="10"/>
        <v>1.62244732879175e-5</v>
      </c>
      <c r="I231" s="113">
        <f t="shared" si="11"/>
        <v>0.999873979861744</v>
      </c>
    </row>
    <row r="232" ht="25.5" spans="1:11">
      <c r="A232" s="114">
        <v>208</v>
      </c>
      <c r="B232" s="115" t="s">
        <v>858</v>
      </c>
      <c r="C232" s="116" t="s">
        <v>859</v>
      </c>
      <c r="D232" s="111" t="s">
        <v>494</v>
      </c>
      <c r="E232" s="112">
        <v>2</v>
      </c>
      <c r="F232" s="112">
        <v>35.28</v>
      </c>
      <c r="G232" s="112">
        <f t="shared" si="9"/>
        <v>70.56</v>
      </c>
      <c r="H232" s="113">
        <f t="shared" si="10"/>
        <v>1.58955683864962e-5</v>
      </c>
      <c r="I232" s="113">
        <f t="shared" si="11"/>
        <v>0.99988987543013</v>
      </c>
    </row>
    <row r="233" ht="38.25" spans="1:11">
      <c r="A233" s="114">
        <v>161</v>
      </c>
      <c r="B233" s="115" t="s">
        <v>778</v>
      </c>
      <c r="C233" s="116" t="s">
        <v>779</v>
      </c>
      <c r="D233" s="111" t="s">
        <v>476</v>
      </c>
      <c r="E233" s="112">
        <v>7.69</v>
      </c>
      <c r="F233" s="112">
        <v>8.14</v>
      </c>
      <c r="G233" s="112">
        <f t="shared" si="9"/>
        <v>62.6</v>
      </c>
      <c r="H233" s="113">
        <f t="shared" si="10"/>
        <v>1.41023608417611e-5</v>
      </c>
      <c r="I233" s="113">
        <f t="shared" si="11"/>
        <v>0.999903977790972</v>
      </c>
    </row>
    <row r="234" ht="25.5" spans="1:11">
      <c r="A234" s="108">
        <v>228</v>
      </c>
      <c r="B234" s="108">
        <v>8004508130018</v>
      </c>
      <c r="C234" s="116" t="s">
        <v>887</v>
      </c>
      <c r="D234" s="111" t="s">
        <v>494</v>
      </c>
      <c r="E234" s="112">
        <v>4</v>
      </c>
      <c r="F234" s="112">
        <v>14.88</v>
      </c>
      <c r="G234" s="112">
        <f t="shared" si="9"/>
        <v>59.52</v>
      </c>
      <c r="H234" s="113">
        <f t="shared" si="10"/>
        <v>1.34085066661601e-5</v>
      </c>
      <c r="I234" s="113">
        <f t="shared" si="11"/>
        <v>0.999917386297638</v>
      </c>
    </row>
    <row r="235" ht="38.25" spans="1:11">
      <c r="A235" s="114">
        <v>219</v>
      </c>
      <c r="B235" s="115" t="s">
        <v>880</v>
      </c>
      <c r="C235" s="110" t="s">
        <v>2048</v>
      </c>
      <c r="D235" s="111" t="s">
        <v>112</v>
      </c>
      <c r="E235" s="112">
        <v>8</v>
      </c>
      <c r="F235" s="112">
        <v>6.26</v>
      </c>
      <c r="G235" s="112">
        <f t="shared" si="9"/>
        <v>50.08</v>
      </c>
      <c r="H235" s="113">
        <f t="shared" si="10"/>
        <v>1.12818886734089e-5</v>
      </c>
      <c r="I235" s="113">
        <f t="shared" si="11"/>
        <v>0.999928668186312</v>
      </c>
    </row>
    <row r="236" ht="38.25" spans="1:11">
      <c r="A236" s="114">
        <v>223</v>
      </c>
      <c r="B236" s="115" t="s">
        <v>884</v>
      </c>
      <c r="C236" s="110" t="s">
        <v>2049</v>
      </c>
      <c r="D236" s="111" t="s">
        <v>112</v>
      </c>
      <c r="E236" s="112">
        <v>2</v>
      </c>
      <c r="F236" s="112">
        <v>24.31</v>
      </c>
      <c r="G236" s="112">
        <f t="shared" si="9"/>
        <v>48.62</v>
      </c>
      <c r="H236" s="113">
        <f t="shared" si="10"/>
        <v>1.09529837719876e-5</v>
      </c>
      <c r="I236" s="113">
        <f t="shared" si="11"/>
        <v>0.999939621170084</v>
      </c>
    </row>
    <row r="237" ht="38.25" spans="1:11">
      <c r="A237" s="114">
        <v>210</v>
      </c>
      <c r="B237" s="115" t="s">
        <v>862</v>
      </c>
      <c r="C237" s="110" t="s">
        <v>2050</v>
      </c>
      <c r="D237" s="111" t="s">
        <v>494</v>
      </c>
      <c r="E237" s="112">
        <v>2</v>
      </c>
      <c r="F237" s="112">
        <v>19.84</v>
      </c>
      <c r="G237" s="112">
        <f t="shared" si="9"/>
        <v>39.68</v>
      </c>
      <c r="H237" s="113">
        <f t="shared" si="10"/>
        <v>8.93900444410671e-6</v>
      </c>
      <c r="I237" s="113">
        <f t="shared" si="11"/>
        <v>0.999948560174528</v>
      </c>
    </row>
    <row r="238" ht="25.5" spans="1:11">
      <c r="A238" s="125">
        <v>41</v>
      </c>
      <c r="B238" s="125">
        <v>1514303022006</v>
      </c>
      <c r="C238" s="118" t="s">
        <v>637</v>
      </c>
      <c r="D238" s="126" t="s">
        <v>494</v>
      </c>
      <c r="E238" s="121">
        <v>1</v>
      </c>
      <c r="F238" s="121">
        <v>39.56</v>
      </c>
      <c r="G238" s="121">
        <f t="shared" si="9"/>
        <v>39.56</v>
      </c>
      <c r="H238" s="122">
        <f t="shared" si="10"/>
        <v>8.91197116453784e-6</v>
      </c>
      <c r="I238" s="122">
        <f t="shared" si="11"/>
        <v>0.999957472145692</v>
      </c>
      <c r="J238" s="95"/>
      <c r="K238" s="95"/>
    </row>
    <row r="239" spans="1:11">
      <c r="A239" s="114">
        <v>270</v>
      </c>
      <c r="B239" s="115" t="s">
        <v>943</v>
      </c>
      <c r="C239" s="116" t="s">
        <v>944</v>
      </c>
      <c r="D239" s="123" t="s">
        <v>112</v>
      </c>
      <c r="E239" s="124">
        <v>2</v>
      </c>
      <c r="F239" s="124">
        <v>16.5</v>
      </c>
      <c r="G239" s="112">
        <f t="shared" si="9"/>
        <v>33</v>
      </c>
      <c r="H239" s="113">
        <f t="shared" si="10"/>
        <v>7.43415188143955e-6</v>
      </c>
      <c r="I239" s="113">
        <f t="shared" si="11"/>
        <v>0.999964906297574</v>
      </c>
    </row>
    <row r="240" ht="38.25" spans="1:11">
      <c r="A240" s="114">
        <v>220</v>
      </c>
      <c r="B240" s="115" t="s">
        <v>881</v>
      </c>
      <c r="C240" s="110" t="s">
        <v>2051</v>
      </c>
      <c r="D240" s="111" t="s">
        <v>112</v>
      </c>
      <c r="E240" s="112">
        <v>4</v>
      </c>
      <c r="F240" s="112">
        <v>7.95</v>
      </c>
      <c r="G240" s="112">
        <f t="shared" si="9"/>
        <v>31.8</v>
      </c>
      <c r="H240" s="113">
        <f t="shared" si="10"/>
        <v>7.16381908575084e-6</v>
      </c>
      <c r="I240" s="113">
        <f t="shared" si="11"/>
        <v>0.999972070116659</v>
      </c>
    </row>
    <row r="241" ht="38.25" spans="1:9">
      <c r="A241" s="131">
        <v>159</v>
      </c>
      <c r="B241" s="132" t="s">
        <v>774</v>
      </c>
      <c r="C241" s="110" t="s">
        <v>2052</v>
      </c>
      <c r="D241" s="111" t="s">
        <v>476</v>
      </c>
      <c r="E241" s="112">
        <v>4.3</v>
      </c>
      <c r="F241" s="112">
        <v>6.22</v>
      </c>
      <c r="G241" s="112">
        <f t="shared" si="9"/>
        <v>26.75</v>
      </c>
      <c r="H241" s="113">
        <f t="shared" si="10"/>
        <v>6.02616857056085e-6</v>
      </c>
      <c r="I241" s="113">
        <f t="shared" si="11"/>
        <v>0.99997809628523</v>
      </c>
    </row>
    <row r="242" ht="38.25" spans="1:9">
      <c r="A242" s="131">
        <v>160</v>
      </c>
      <c r="B242" s="132" t="s">
        <v>776</v>
      </c>
      <c r="C242" s="110" t="s">
        <v>2053</v>
      </c>
      <c r="D242" s="111" t="s">
        <v>476</v>
      </c>
      <c r="E242" s="112">
        <v>3.38</v>
      </c>
      <c r="F242" s="112">
        <v>7.77</v>
      </c>
      <c r="G242" s="112">
        <f t="shared" si="9"/>
        <v>26.26</v>
      </c>
      <c r="H242" s="113">
        <f t="shared" si="10"/>
        <v>5.91578267898796e-6</v>
      </c>
      <c r="I242" s="113">
        <f t="shared" si="11"/>
        <v>0.999984012067909</v>
      </c>
    </row>
    <row r="243" spans="1:9">
      <c r="A243" s="129">
        <v>143</v>
      </c>
      <c r="B243" s="129">
        <v>8001508040044</v>
      </c>
      <c r="C243" s="116" t="s">
        <v>747</v>
      </c>
      <c r="D243" s="123" t="s">
        <v>112</v>
      </c>
      <c r="E243" s="124">
        <v>2</v>
      </c>
      <c r="F243" s="124">
        <v>12.47</v>
      </c>
      <c r="G243" s="112">
        <f t="shared" si="9"/>
        <v>24.94</v>
      </c>
      <c r="H243" s="113">
        <f t="shared" si="10"/>
        <v>5.61841660373038e-6</v>
      </c>
      <c r="I243" s="113">
        <f t="shared" si="11"/>
        <v>0.999989630484513</v>
      </c>
    </row>
    <row r="244" spans="1:9">
      <c r="A244" s="129">
        <v>240</v>
      </c>
      <c r="B244" s="129">
        <v>8005508100001</v>
      </c>
      <c r="C244" s="116" t="s">
        <v>901</v>
      </c>
      <c r="D244" s="123" t="s">
        <v>494</v>
      </c>
      <c r="E244" s="124">
        <v>1</v>
      </c>
      <c r="F244" s="124">
        <v>24.88</v>
      </c>
      <c r="G244" s="112">
        <f t="shared" si="9"/>
        <v>24.88</v>
      </c>
      <c r="H244" s="113">
        <f t="shared" si="10"/>
        <v>5.60489996394594e-6</v>
      </c>
      <c r="I244" s="113">
        <f t="shared" si="11"/>
        <v>0.999995235384477</v>
      </c>
    </row>
    <row r="245" ht="25.5" spans="1:9">
      <c r="A245" s="108">
        <v>226</v>
      </c>
      <c r="B245" s="108">
        <v>8004508283005</v>
      </c>
      <c r="C245" s="116" t="s">
        <v>322</v>
      </c>
      <c r="D245" s="111" t="s">
        <v>112</v>
      </c>
      <c r="E245" s="112">
        <v>15</v>
      </c>
      <c r="F245" s="112">
        <v>0.81</v>
      </c>
      <c r="G245" s="112">
        <f t="shared" si="9"/>
        <v>12.15</v>
      </c>
      <c r="H245" s="113">
        <f t="shared" si="10"/>
        <v>2.7371195563482e-6</v>
      </c>
      <c r="I245" s="113">
        <f t="shared" si="11"/>
        <v>0.999997972504033</v>
      </c>
    </row>
    <row r="246" spans="1:9">
      <c r="A246" s="96">
        <v>293</v>
      </c>
      <c r="H246" s="100">
        <f t="shared" si="10"/>
        <v>0</v>
      </c>
      <c r="I246" s="100">
        <f t="shared" si="11"/>
        <v>0.999997972504033</v>
      </c>
    </row>
    <row r="247" spans="1:9">
      <c r="A247" s="96">
        <v>294</v>
      </c>
      <c r="H247" s="100">
        <f t="shared" si="10"/>
        <v>0</v>
      </c>
      <c r="I247" s="100">
        <f t="shared" si="11"/>
        <v>0.999997972504033</v>
      </c>
    </row>
    <row r="248" spans="1:9">
      <c r="A248" s="96">
        <v>295</v>
      </c>
      <c r="H248" s="100">
        <f t="shared" si="10"/>
        <v>0</v>
      </c>
      <c r="I248" s="100">
        <f t="shared" si="11"/>
        <v>0.999997972504033</v>
      </c>
    </row>
    <row r="249" spans="1:9">
      <c r="A249" s="96">
        <v>296</v>
      </c>
      <c r="H249" s="100">
        <f t="shared" si="10"/>
        <v>0</v>
      </c>
      <c r="I249" s="100">
        <f t="shared" si="11"/>
        <v>0.999997972504033</v>
      </c>
    </row>
    <row r="250" spans="1:9">
      <c r="A250" s="96">
        <v>297</v>
      </c>
      <c r="H250" s="100">
        <f t="shared" si="10"/>
        <v>0</v>
      </c>
      <c r="I250" s="100">
        <f t="shared" si="11"/>
        <v>0.999997972504033</v>
      </c>
    </row>
    <row r="251" spans="1:9">
      <c r="A251" s="96">
        <v>298</v>
      </c>
      <c r="H251" s="100">
        <f t="shared" si="10"/>
        <v>0</v>
      </c>
      <c r="I251" s="100">
        <f t="shared" si="11"/>
        <v>0.999997972504033</v>
      </c>
    </row>
  </sheetData>
  <autoFilter xmlns:etc="http://www.wps.cn/officeDocument/2017/etCustomData" ref="A1:M308" etc:filterBottomFollowUsedRange="0">
    <extLst/>
  </autoFilter>
  <conditionalFormatting sqref="A$1:A$1048576">
    <cfRule type="duplicateValues" dxfId="0" priority="1"/>
  </conditionalFormatting>
  <conditionalFormatting sqref="B$1:B$1048576">
    <cfRule type="duplicateValues" dxfId="0" priority="3"/>
  </conditionalFormatting>
  <conditionalFormatting sqref="F$1:F$1048576">
    <cfRule type="duplicateValues" dxfId="0" priority="2"/>
  </conditionalFormatting>
  <pageMargins left="0.511811024" right="0.511811024" top="0.787401575" bottom="0.787401575" header="0.31496062" footer="0.31496062"/>
  <pageSetup paperSize="9" scale="41" orientation="portrait"/>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A1:I2328"/>
  <sheetViews>
    <sheetView view="pageBreakPreview" zoomScale="80" zoomScaleNormal="100" workbookViewId="0">
      <selection activeCell="F8" sqref="F8"/>
    </sheetView>
  </sheetViews>
  <sheetFormatPr defaultColWidth="9" defaultRowHeight="12.75"/>
  <cols>
    <col min="1" max="1" width="9.1047619047619" style="79" customWidth="1"/>
    <col min="2" max="3" width="20.7809523809524" style="79" customWidth="1"/>
    <col min="4" max="4" width="79.7809523809524" style="80" customWidth="1"/>
    <col min="5" max="5" width="11.1047619047619" style="81" customWidth="1"/>
    <col min="6" max="6" width="11.4380952380952" style="81" customWidth="1"/>
    <col min="7" max="7" width="13.1047619047619" style="81" customWidth="1"/>
    <col min="8" max="8" width="11.4380952380952" style="81" customWidth="1"/>
    <col min="9" max="9" width="19.7809523809524" style="81" customWidth="1"/>
    <col min="10" max="10" width="10" style="80" customWidth="1"/>
    <col min="11" max="16384" width="8.88571428571429" style="80"/>
  </cols>
  <sheetData>
    <row r="1" spans="1:9">
      <c r="A1" s="82" t="s">
        <v>134</v>
      </c>
      <c r="B1" s="82" t="s">
        <v>2054</v>
      </c>
      <c r="C1" s="82" t="s">
        <v>115</v>
      </c>
      <c r="D1" s="83" t="s">
        <v>27</v>
      </c>
      <c r="E1" s="84" t="s">
        <v>494</v>
      </c>
      <c r="F1" s="84" t="s">
        <v>2055</v>
      </c>
      <c r="G1" s="84" t="s">
        <v>2056</v>
      </c>
      <c r="H1" s="84" t="s">
        <v>2057</v>
      </c>
      <c r="I1" s="84" t="s">
        <v>2058</v>
      </c>
    </row>
    <row r="2" spans="1:9">
      <c r="A2" s="85" t="s">
        <v>2059</v>
      </c>
      <c r="B2" s="86"/>
      <c r="C2" s="86"/>
      <c r="D2" s="87" t="s">
        <v>282</v>
      </c>
      <c r="E2" s="88"/>
      <c r="F2" s="89">
        <v>0</v>
      </c>
      <c r="G2" s="89">
        <v>0</v>
      </c>
      <c r="H2" s="89">
        <v>0</v>
      </c>
      <c r="I2" s="89">
        <v>0</v>
      </c>
    </row>
    <row r="3" spans="1:9">
      <c r="A3" s="85" t="s">
        <v>2060</v>
      </c>
      <c r="B3" s="86"/>
      <c r="C3" s="86"/>
      <c r="D3" s="87" t="s">
        <v>596</v>
      </c>
      <c r="E3" s="88"/>
      <c r="F3" s="89">
        <v>0</v>
      </c>
      <c r="G3" s="89">
        <v>0</v>
      </c>
      <c r="H3" s="89">
        <v>0</v>
      </c>
      <c r="I3" s="89">
        <v>0</v>
      </c>
    </row>
    <row r="4" ht="25.5" spans="1:9">
      <c r="A4" s="85" t="s">
        <v>2061</v>
      </c>
      <c r="B4" s="85" t="s">
        <v>2062</v>
      </c>
      <c r="C4" s="85" t="s">
        <v>2063</v>
      </c>
      <c r="D4" s="87" t="s">
        <v>597</v>
      </c>
      <c r="E4" s="89" t="s">
        <v>598</v>
      </c>
      <c r="F4" s="89">
        <v>9</v>
      </c>
      <c r="G4" s="89">
        <v>1578.72</v>
      </c>
      <c r="H4" s="89">
        <v>14208.48</v>
      </c>
      <c r="I4" s="89">
        <v>9</v>
      </c>
    </row>
    <row r="5" spans="1:9">
      <c r="A5" s="90"/>
      <c r="B5" s="91" t="s">
        <v>1133</v>
      </c>
      <c r="C5" s="91" t="s">
        <v>1132</v>
      </c>
      <c r="D5" s="92" t="s">
        <v>1134</v>
      </c>
      <c r="E5" s="93" t="s">
        <v>598</v>
      </c>
      <c r="F5" s="93">
        <v>1.04</v>
      </c>
      <c r="G5" s="93">
        <v>1518</v>
      </c>
      <c r="H5" s="93">
        <v>1578.72</v>
      </c>
      <c r="I5" s="93">
        <v>9.36</v>
      </c>
    </row>
    <row r="6" spans="1:9">
      <c r="A6" s="85" t="s">
        <v>2064</v>
      </c>
      <c r="B6" s="86"/>
      <c r="C6" s="86"/>
      <c r="D6" s="87" t="s">
        <v>599</v>
      </c>
      <c r="E6" s="88"/>
      <c r="F6" s="89">
        <v>0</v>
      </c>
      <c r="G6" s="89">
        <v>0</v>
      </c>
      <c r="H6" s="89">
        <v>0</v>
      </c>
      <c r="I6" s="89">
        <v>0</v>
      </c>
    </row>
    <row r="7" ht="25.5" spans="1:9">
      <c r="A7" s="85" t="s">
        <v>2065</v>
      </c>
      <c r="B7" s="85" t="s">
        <v>1509</v>
      </c>
      <c r="C7" s="85" t="s">
        <v>1508</v>
      </c>
      <c r="D7" s="87" t="s">
        <v>600</v>
      </c>
      <c r="E7" s="89" t="s">
        <v>601</v>
      </c>
      <c r="F7" s="89">
        <v>23.25</v>
      </c>
      <c r="G7" s="89">
        <v>28.42</v>
      </c>
      <c r="H7" s="89">
        <v>660.76</v>
      </c>
      <c r="I7" s="89">
        <v>23.25</v>
      </c>
    </row>
    <row r="8" ht="25.5" spans="1:9">
      <c r="A8" s="85" t="s">
        <v>2066</v>
      </c>
      <c r="B8" s="85" t="s">
        <v>1018</v>
      </c>
      <c r="C8" s="85" t="s">
        <v>1017</v>
      </c>
      <c r="D8" s="87" t="s">
        <v>602</v>
      </c>
      <c r="E8" s="89" t="s">
        <v>601</v>
      </c>
      <c r="F8" s="89">
        <v>5430.58</v>
      </c>
      <c r="G8" s="89">
        <v>17.13</v>
      </c>
      <c r="H8" s="89">
        <v>93025.83</v>
      </c>
      <c r="I8" s="89">
        <v>5430.58</v>
      </c>
    </row>
    <row r="9" spans="1:9">
      <c r="A9" s="85" t="s">
        <v>2067</v>
      </c>
      <c r="B9" s="86"/>
      <c r="C9" s="86"/>
      <c r="D9" s="87" t="s">
        <v>603</v>
      </c>
      <c r="E9" s="88"/>
      <c r="F9" s="89">
        <v>0</v>
      </c>
      <c r="G9" s="89">
        <v>0</v>
      </c>
      <c r="H9" s="89">
        <v>0</v>
      </c>
      <c r="I9" s="89">
        <v>0</v>
      </c>
    </row>
    <row r="10" spans="1:9">
      <c r="A10" s="85" t="s">
        <v>2068</v>
      </c>
      <c r="B10" s="85" t="s">
        <v>1257</v>
      </c>
      <c r="C10" s="85" t="s">
        <v>1256</v>
      </c>
      <c r="D10" s="87" t="s">
        <v>604</v>
      </c>
      <c r="E10" s="89" t="s">
        <v>494</v>
      </c>
      <c r="F10" s="89">
        <v>2</v>
      </c>
      <c r="G10" s="89">
        <v>2338.07</v>
      </c>
      <c r="H10" s="89">
        <v>4676.14</v>
      </c>
      <c r="I10" s="89">
        <v>2</v>
      </c>
    </row>
    <row r="11" spans="1:9">
      <c r="A11" s="85" t="s">
        <v>2069</v>
      </c>
      <c r="B11" s="86"/>
      <c r="C11" s="86"/>
      <c r="D11" s="87" t="s">
        <v>605</v>
      </c>
      <c r="E11" s="88"/>
      <c r="F11" s="89">
        <v>0</v>
      </c>
      <c r="G11" s="89">
        <v>0</v>
      </c>
      <c r="H11" s="89">
        <v>0</v>
      </c>
      <c r="I11" s="89">
        <v>0</v>
      </c>
    </row>
    <row r="12" ht="25.5" spans="1:9">
      <c r="A12" s="85" t="s">
        <v>2070</v>
      </c>
      <c r="B12" s="85" t="s">
        <v>1439</v>
      </c>
      <c r="C12" s="85" t="s">
        <v>1438</v>
      </c>
      <c r="D12" s="87" t="s">
        <v>606</v>
      </c>
      <c r="E12" s="89" t="s">
        <v>494</v>
      </c>
      <c r="F12" s="89">
        <v>5</v>
      </c>
      <c r="G12" s="89">
        <v>259.4</v>
      </c>
      <c r="H12" s="89">
        <v>1297</v>
      </c>
      <c r="I12" s="89">
        <v>5</v>
      </c>
    </row>
    <row r="13" spans="1:9">
      <c r="A13" s="85" t="s">
        <v>2071</v>
      </c>
      <c r="B13" s="86"/>
      <c r="C13" s="86"/>
      <c r="D13" s="87" t="s">
        <v>607</v>
      </c>
      <c r="E13" s="88"/>
      <c r="F13" s="89">
        <v>0</v>
      </c>
      <c r="G13" s="89">
        <v>0</v>
      </c>
      <c r="H13" s="89">
        <v>0</v>
      </c>
      <c r="I13" s="89">
        <v>0</v>
      </c>
    </row>
    <row r="14" ht="76.5" spans="1:9">
      <c r="A14" s="85" t="s">
        <v>2072</v>
      </c>
      <c r="B14" s="85" t="s">
        <v>2073</v>
      </c>
      <c r="C14" s="85" t="s">
        <v>2074</v>
      </c>
      <c r="D14" s="87" t="s">
        <v>2075</v>
      </c>
      <c r="E14" s="89" t="s">
        <v>598</v>
      </c>
      <c r="F14" s="89">
        <v>9</v>
      </c>
      <c r="G14" s="89">
        <v>493.99</v>
      </c>
      <c r="H14" s="89">
        <v>4445.91</v>
      </c>
      <c r="I14" s="89">
        <v>9</v>
      </c>
    </row>
    <row r="15" ht="25.5" spans="1:9">
      <c r="A15" s="90"/>
      <c r="B15" s="91" t="s">
        <v>1544</v>
      </c>
      <c r="C15" s="91" t="s">
        <v>1543</v>
      </c>
      <c r="D15" s="92" t="s">
        <v>1545</v>
      </c>
      <c r="E15" s="93" t="s">
        <v>494</v>
      </c>
      <c r="F15" s="93">
        <v>0.01764166</v>
      </c>
      <c r="G15" s="93">
        <v>2704.81</v>
      </c>
      <c r="H15" s="93">
        <v>47.71</v>
      </c>
      <c r="I15" s="93">
        <v>0.15877494</v>
      </c>
    </row>
    <row r="16" spans="1:9">
      <c r="A16" s="90"/>
      <c r="B16" s="91" t="s">
        <v>1575</v>
      </c>
      <c r="C16" s="91" t="s">
        <v>1574</v>
      </c>
      <c r="D16" s="92" t="s">
        <v>1576</v>
      </c>
      <c r="E16" s="93" t="s">
        <v>494</v>
      </c>
      <c r="F16" s="93">
        <v>0.12056666</v>
      </c>
      <c r="G16" s="93">
        <v>256.5</v>
      </c>
      <c r="H16" s="93">
        <v>30.92</v>
      </c>
      <c r="I16" s="93">
        <v>1.08509994</v>
      </c>
    </row>
    <row r="17" spans="1:9">
      <c r="A17" s="90"/>
      <c r="B17" s="91" t="s">
        <v>1623</v>
      </c>
      <c r="C17" s="91" t="s">
        <v>1622</v>
      </c>
      <c r="D17" s="92" t="s">
        <v>1624</v>
      </c>
      <c r="E17" s="93" t="s">
        <v>494</v>
      </c>
      <c r="F17" s="93">
        <v>0.06028333</v>
      </c>
      <c r="G17" s="93">
        <v>262.2</v>
      </c>
      <c r="H17" s="93">
        <v>15.8</v>
      </c>
      <c r="I17" s="93">
        <v>0.54254997</v>
      </c>
    </row>
    <row r="18" ht="25.5" spans="1:9">
      <c r="A18" s="90"/>
      <c r="B18" s="91" t="s">
        <v>1396</v>
      </c>
      <c r="C18" s="91" t="s">
        <v>1395</v>
      </c>
      <c r="D18" s="92" t="s">
        <v>1397</v>
      </c>
      <c r="E18" s="93" t="s">
        <v>494</v>
      </c>
      <c r="F18" s="93">
        <v>0.03638921</v>
      </c>
      <c r="G18" s="93">
        <v>6034.25</v>
      </c>
      <c r="H18" s="93">
        <v>219.58</v>
      </c>
      <c r="I18" s="93">
        <v>0.32750289</v>
      </c>
    </row>
    <row r="19" spans="1:9">
      <c r="A19" s="90"/>
      <c r="B19" s="91" t="s">
        <v>1430</v>
      </c>
      <c r="C19" s="91" t="s">
        <v>1429</v>
      </c>
      <c r="D19" s="92" t="s">
        <v>1431</v>
      </c>
      <c r="E19" s="93" t="s">
        <v>598</v>
      </c>
      <c r="F19" s="93">
        <v>1</v>
      </c>
      <c r="G19" s="93">
        <v>159.9</v>
      </c>
      <c r="H19" s="93">
        <v>159.9</v>
      </c>
      <c r="I19" s="93">
        <v>9</v>
      </c>
    </row>
    <row r="20" spans="1:9">
      <c r="A20" s="90"/>
      <c r="B20" s="91" t="s">
        <v>1599</v>
      </c>
      <c r="C20" s="91" t="s">
        <v>1598</v>
      </c>
      <c r="D20" s="92" t="s">
        <v>1600</v>
      </c>
      <c r="E20" s="93" t="s">
        <v>494</v>
      </c>
      <c r="F20" s="93">
        <v>0.03014166</v>
      </c>
      <c r="G20" s="93">
        <v>666.25</v>
      </c>
      <c r="H20" s="93">
        <v>20.08</v>
      </c>
      <c r="I20" s="93">
        <v>0.27127494</v>
      </c>
    </row>
    <row r="21" spans="1:9">
      <c r="A21" s="85" t="s">
        <v>2076</v>
      </c>
      <c r="B21" s="86"/>
      <c r="C21" s="86"/>
      <c r="D21" s="87" t="s">
        <v>609</v>
      </c>
      <c r="E21" s="88"/>
      <c r="F21" s="89">
        <v>0</v>
      </c>
      <c r="G21" s="89">
        <v>0</v>
      </c>
      <c r="H21" s="89">
        <v>0</v>
      </c>
      <c r="I21" s="89">
        <v>0</v>
      </c>
    </row>
    <row r="22" ht="38.25" spans="1:9">
      <c r="A22" s="85" t="s">
        <v>2077</v>
      </c>
      <c r="B22" s="85" t="s">
        <v>1117</v>
      </c>
      <c r="C22" s="85" t="s">
        <v>1116</v>
      </c>
      <c r="D22" s="87" t="s">
        <v>1118</v>
      </c>
      <c r="E22" s="89" t="s">
        <v>494</v>
      </c>
      <c r="F22" s="89">
        <v>6</v>
      </c>
      <c r="G22" s="89">
        <v>2658.58</v>
      </c>
      <c r="H22" s="89">
        <v>15951.48</v>
      </c>
      <c r="I22" s="89">
        <v>6</v>
      </c>
    </row>
    <row r="23" spans="1:9">
      <c r="A23" s="85" t="s">
        <v>2078</v>
      </c>
      <c r="B23" s="86"/>
      <c r="C23" s="86"/>
      <c r="D23" s="87" t="s">
        <v>611</v>
      </c>
      <c r="E23" s="88"/>
      <c r="F23" s="89">
        <v>0</v>
      </c>
      <c r="G23" s="89">
        <v>0</v>
      </c>
      <c r="H23" s="89">
        <v>0</v>
      </c>
      <c r="I23" s="89">
        <v>0</v>
      </c>
    </row>
    <row r="24" ht="38.25" spans="1:9">
      <c r="A24" s="85" t="s">
        <v>2079</v>
      </c>
      <c r="B24" s="85" t="s">
        <v>1032</v>
      </c>
      <c r="C24" s="85" t="s">
        <v>1031</v>
      </c>
      <c r="D24" s="87" t="s">
        <v>612</v>
      </c>
      <c r="E24" s="89" t="s">
        <v>494</v>
      </c>
      <c r="F24" s="89">
        <v>1</v>
      </c>
      <c r="G24" s="89">
        <v>63890</v>
      </c>
      <c r="H24" s="89">
        <v>63890</v>
      </c>
      <c r="I24" s="89">
        <v>1</v>
      </c>
    </row>
    <row r="25" spans="1:9">
      <c r="A25" s="85" t="s">
        <v>2080</v>
      </c>
      <c r="B25" s="85" t="s">
        <v>1471</v>
      </c>
      <c r="C25" s="85" t="s">
        <v>1470</v>
      </c>
      <c r="D25" s="87" t="s">
        <v>613</v>
      </c>
      <c r="E25" s="89" t="s">
        <v>494</v>
      </c>
      <c r="F25" s="89">
        <v>5</v>
      </c>
      <c r="G25" s="89">
        <v>204.51</v>
      </c>
      <c r="H25" s="89">
        <v>1022.55</v>
      </c>
      <c r="I25" s="89">
        <v>5</v>
      </c>
    </row>
    <row r="26" ht="38.25" spans="1:9">
      <c r="A26" s="85" t="s">
        <v>2081</v>
      </c>
      <c r="B26" s="85" t="s">
        <v>1026</v>
      </c>
      <c r="C26" s="85" t="s">
        <v>1025</v>
      </c>
      <c r="D26" s="87" t="s">
        <v>614</v>
      </c>
      <c r="E26" s="89" t="s">
        <v>494</v>
      </c>
      <c r="F26" s="89">
        <v>4</v>
      </c>
      <c r="G26" s="89">
        <v>18464.45</v>
      </c>
      <c r="H26" s="89">
        <v>73857.8</v>
      </c>
      <c r="I26" s="89">
        <v>4</v>
      </c>
    </row>
    <row r="27" ht="38.25" spans="1:9">
      <c r="A27" s="85" t="s">
        <v>2082</v>
      </c>
      <c r="B27" s="85" t="s">
        <v>1005</v>
      </c>
      <c r="C27" s="85" t="s">
        <v>1004</v>
      </c>
      <c r="D27" s="87" t="s">
        <v>615</v>
      </c>
      <c r="E27" s="89" t="s">
        <v>494</v>
      </c>
      <c r="F27" s="89">
        <v>4</v>
      </c>
      <c r="G27" s="89">
        <v>26426.23</v>
      </c>
      <c r="H27" s="89">
        <v>105704.92</v>
      </c>
      <c r="I27" s="89">
        <v>4</v>
      </c>
    </row>
    <row r="28" ht="38.25" spans="1:9">
      <c r="A28" s="85" t="s">
        <v>2083</v>
      </c>
      <c r="B28" s="85" t="s">
        <v>1093</v>
      </c>
      <c r="C28" s="85" t="s">
        <v>1092</v>
      </c>
      <c r="D28" s="87" t="s">
        <v>616</v>
      </c>
      <c r="E28" s="89" t="s">
        <v>494</v>
      </c>
      <c r="F28" s="89">
        <v>1</v>
      </c>
      <c r="G28" s="89">
        <v>21761.28</v>
      </c>
      <c r="H28" s="89">
        <v>21761.28</v>
      </c>
      <c r="I28" s="89">
        <v>1</v>
      </c>
    </row>
    <row r="29" ht="280.5" spans="1:9">
      <c r="A29" s="85" t="s">
        <v>2084</v>
      </c>
      <c r="B29" s="85" t="s">
        <v>1030</v>
      </c>
      <c r="C29" s="85" t="s">
        <v>1029</v>
      </c>
      <c r="D29" s="87" t="s">
        <v>617</v>
      </c>
      <c r="E29" s="89" t="s">
        <v>494</v>
      </c>
      <c r="F29" s="89">
        <v>1</v>
      </c>
      <c r="G29" s="89">
        <v>66521</v>
      </c>
      <c r="H29" s="89">
        <v>66521</v>
      </c>
      <c r="I29" s="89">
        <v>1</v>
      </c>
    </row>
    <row r="30" ht="25.5" spans="1:9">
      <c r="A30" s="85" t="s">
        <v>2085</v>
      </c>
      <c r="B30" s="85" t="s">
        <v>1015</v>
      </c>
      <c r="C30" s="85" t="s">
        <v>1014</v>
      </c>
      <c r="D30" s="87" t="s">
        <v>2086</v>
      </c>
      <c r="E30" s="89" t="s">
        <v>494</v>
      </c>
      <c r="F30" s="89">
        <v>1</v>
      </c>
      <c r="G30" s="89">
        <v>97218</v>
      </c>
      <c r="H30" s="89">
        <v>97218</v>
      </c>
      <c r="I30" s="89">
        <v>1</v>
      </c>
    </row>
    <row r="31" ht="25.5" spans="1:9">
      <c r="A31" s="86"/>
      <c r="B31" s="86"/>
      <c r="C31" s="86"/>
      <c r="D31" s="87" t="s">
        <v>2087</v>
      </c>
      <c r="E31" s="88"/>
      <c r="F31" s="88"/>
      <c r="G31" s="88"/>
      <c r="H31" s="88"/>
      <c r="I31" s="88"/>
    </row>
    <row r="32" ht="38.25" spans="1:9">
      <c r="A32" s="85" t="s">
        <v>2088</v>
      </c>
      <c r="B32" s="85" t="s">
        <v>1013</v>
      </c>
      <c r="C32" s="85" t="s">
        <v>1012</v>
      </c>
      <c r="D32" s="87" t="s">
        <v>619</v>
      </c>
      <c r="E32" s="89" t="s">
        <v>494</v>
      </c>
      <c r="F32" s="89">
        <v>1</v>
      </c>
      <c r="G32" s="89">
        <v>97218</v>
      </c>
      <c r="H32" s="89">
        <v>97218</v>
      </c>
      <c r="I32" s="89">
        <v>1</v>
      </c>
    </row>
    <row r="33" ht="38.25" spans="1:9">
      <c r="A33" s="85" t="s">
        <v>2089</v>
      </c>
      <c r="B33" s="85" t="s">
        <v>1236</v>
      </c>
      <c r="C33" s="85" t="s">
        <v>1235</v>
      </c>
      <c r="D33" s="87" t="s">
        <v>620</v>
      </c>
      <c r="E33" s="89" t="s">
        <v>494</v>
      </c>
      <c r="F33" s="89">
        <v>2</v>
      </c>
      <c r="G33" s="89">
        <v>2915.87</v>
      </c>
      <c r="H33" s="89">
        <v>5831.74</v>
      </c>
      <c r="I33" s="89">
        <v>2</v>
      </c>
    </row>
    <row r="34" ht="38.25" spans="1:9">
      <c r="A34" s="85" t="s">
        <v>2090</v>
      </c>
      <c r="B34" s="85" t="s">
        <v>1302</v>
      </c>
      <c r="C34" s="85" t="s">
        <v>1301</v>
      </c>
      <c r="D34" s="87" t="s">
        <v>621</v>
      </c>
      <c r="E34" s="89" t="s">
        <v>494</v>
      </c>
      <c r="F34" s="89">
        <v>4</v>
      </c>
      <c r="G34" s="89">
        <v>831</v>
      </c>
      <c r="H34" s="89">
        <v>3324</v>
      </c>
      <c r="I34" s="89">
        <v>4</v>
      </c>
    </row>
    <row r="35" ht="38.25" spans="1:9">
      <c r="A35" s="85" t="s">
        <v>2091</v>
      </c>
      <c r="B35" s="85" t="s">
        <v>1047</v>
      </c>
      <c r="C35" s="85" t="s">
        <v>1046</v>
      </c>
      <c r="D35" s="87" t="s">
        <v>622</v>
      </c>
      <c r="E35" s="89" t="s">
        <v>494</v>
      </c>
      <c r="F35" s="89">
        <v>2</v>
      </c>
      <c r="G35" s="89">
        <v>19700</v>
      </c>
      <c r="H35" s="89">
        <v>39400</v>
      </c>
      <c r="I35" s="89">
        <v>2</v>
      </c>
    </row>
    <row r="36" ht="38.25" spans="1:9">
      <c r="A36" s="85" t="s">
        <v>2092</v>
      </c>
      <c r="B36" s="85" t="s">
        <v>1240</v>
      </c>
      <c r="C36" s="85" t="s">
        <v>1239</v>
      </c>
      <c r="D36" s="87" t="s">
        <v>623</v>
      </c>
      <c r="E36" s="89" t="s">
        <v>494</v>
      </c>
      <c r="F36" s="89">
        <v>4</v>
      </c>
      <c r="G36" s="89">
        <v>1379.03</v>
      </c>
      <c r="H36" s="89">
        <v>5516.12</v>
      </c>
      <c r="I36" s="89">
        <v>4</v>
      </c>
    </row>
    <row r="37" spans="1:9">
      <c r="A37" s="85" t="s">
        <v>2093</v>
      </c>
      <c r="B37" s="86"/>
      <c r="C37" s="86"/>
      <c r="D37" s="87" t="s">
        <v>624</v>
      </c>
      <c r="E37" s="88"/>
      <c r="F37" s="89">
        <v>0</v>
      </c>
      <c r="G37" s="89">
        <v>0</v>
      </c>
      <c r="H37" s="89">
        <v>0</v>
      </c>
      <c r="I37" s="89">
        <v>0</v>
      </c>
    </row>
    <row r="38" spans="1:9">
      <c r="A38" s="85" t="s">
        <v>2094</v>
      </c>
      <c r="B38" s="85" t="s">
        <v>1632</v>
      </c>
      <c r="C38" s="85" t="s">
        <v>1631</v>
      </c>
      <c r="D38" s="87" t="s">
        <v>625</v>
      </c>
      <c r="E38" s="89" t="s">
        <v>494</v>
      </c>
      <c r="F38" s="89">
        <v>1</v>
      </c>
      <c r="G38" s="89">
        <v>129.9</v>
      </c>
      <c r="H38" s="89">
        <v>129.9</v>
      </c>
      <c r="I38" s="89">
        <v>1</v>
      </c>
    </row>
    <row r="39" ht="25.5" spans="1:9">
      <c r="A39" s="85" t="s">
        <v>2095</v>
      </c>
      <c r="B39" s="85" t="s">
        <v>1649</v>
      </c>
      <c r="C39" s="85" t="s">
        <v>1648</v>
      </c>
      <c r="D39" s="87" t="s">
        <v>1650</v>
      </c>
      <c r="E39" s="89" t="s">
        <v>494</v>
      </c>
      <c r="F39" s="89">
        <v>1</v>
      </c>
      <c r="G39" s="89">
        <v>120.69</v>
      </c>
      <c r="H39" s="89">
        <v>120.69</v>
      </c>
      <c r="I39" s="89">
        <v>1</v>
      </c>
    </row>
    <row r="40" spans="1:9">
      <c r="A40" s="85" t="s">
        <v>2096</v>
      </c>
      <c r="B40" s="86"/>
      <c r="C40" s="86"/>
      <c r="D40" s="87" t="s">
        <v>627</v>
      </c>
      <c r="E40" s="88"/>
      <c r="F40" s="89">
        <v>0</v>
      </c>
      <c r="G40" s="89">
        <v>0</v>
      </c>
      <c r="H40" s="89">
        <v>0</v>
      </c>
      <c r="I40" s="89">
        <v>0</v>
      </c>
    </row>
    <row r="41" ht="38.25" spans="1:9">
      <c r="A41" s="85" t="s">
        <v>2097</v>
      </c>
      <c r="B41" s="85" t="s">
        <v>1496</v>
      </c>
      <c r="C41" s="85" t="s">
        <v>1495</v>
      </c>
      <c r="D41" s="87" t="s">
        <v>628</v>
      </c>
      <c r="E41" s="89" t="s">
        <v>494</v>
      </c>
      <c r="F41" s="89">
        <v>1</v>
      </c>
      <c r="G41" s="89">
        <v>769.62</v>
      </c>
      <c r="H41" s="89">
        <v>769.62</v>
      </c>
      <c r="I41" s="89">
        <v>1</v>
      </c>
    </row>
    <row r="42" ht="38.25" spans="1:9">
      <c r="A42" s="85" t="s">
        <v>2098</v>
      </c>
      <c r="B42" s="85" t="s">
        <v>1304</v>
      </c>
      <c r="C42" s="85" t="s">
        <v>1303</v>
      </c>
      <c r="D42" s="87" t="s">
        <v>629</v>
      </c>
      <c r="E42" s="89" t="s">
        <v>494</v>
      </c>
      <c r="F42" s="89">
        <v>2</v>
      </c>
      <c r="G42" s="89">
        <v>1623.58</v>
      </c>
      <c r="H42" s="89">
        <v>3247.16</v>
      </c>
      <c r="I42" s="89">
        <v>2</v>
      </c>
    </row>
    <row r="43" ht="38.25" spans="1:9">
      <c r="A43" s="85" t="s">
        <v>2099</v>
      </c>
      <c r="B43" s="85" t="s">
        <v>1225</v>
      </c>
      <c r="C43" s="85" t="s">
        <v>1224</v>
      </c>
      <c r="D43" s="87" t="s">
        <v>630</v>
      </c>
      <c r="E43" s="89" t="s">
        <v>494</v>
      </c>
      <c r="F43" s="89">
        <v>2</v>
      </c>
      <c r="G43" s="89">
        <v>3251</v>
      </c>
      <c r="H43" s="89">
        <v>6502</v>
      </c>
      <c r="I43" s="89">
        <v>2</v>
      </c>
    </row>
    <row r="44" ht="38.25" spans="1:9">
      <c r="A44" s="85" t="s">
        <v>2100</v>
      </c>
      <c r="B44" s="85" t="s">
        <v>1595</v>
      </c>
      <c r="C44" s="85" t="s">
        <v>1594</v>
      </c>
      <c r="D44" s="87" t="s">
        <v>631</v>
      </c>
      <c r="E44" s="89" t="s">
        <v>494</v>
      </c>
      <c r="F44" s="89">
        <v>2</v>
      </c>
      <c r="G44" s="89">
        <v>96.2</v>
      </c>
      <c r="H44" s="89">
        <v>192.4</v>
      </c>
      <c r="I44" s="89">
        <v>2</v>
      </c>
    </row>
    <row r="45" ht="25.5" spans="1:9">
      <c r="A45" s="85" t="s">
        <v>2101</v>
      </c>
      <c r="B45" s="85" t="s">
        <v>1198</v>
      </c>
      <c r="C45" s="85" t="s">
        <v>1197</v>
      </c>
      <c r="D45" s="87" t="s">
        <v>1199</v>
      </c>
      <c r="E45" s="89" t="s">
        <v>494</v>
      </c>
      <c r="F45" s="89">
        <v>3</v>
      </c>
      <c r="G45" s="89">
        <v>2551.46</v>
      </c>
      <c r="H45" s="89">
        <v>7654.38</v>
      </c>
      <c r="I45" s="89">
        <v>3</v>
      </c>
    </row>
    <row r="46" ht="38.25" spans="1:9">
      <c r="A46" s="85" t="s">
        <v>2102</v>
      </c>
      <c r="B46" s="85" t="s">
        <v>1075</v>
      </c>
      <c r="C46" s="85" t="s">
        <v>1074</v>
      </c>
      <c r="D46" s="87" t="s">
        <v>633</v>
      </c>
      <c r="E46" s="89" t="s">
        <v>494</v>
      </c>
      <c r="F46" s="89">
        <v>4</v>
      </c>
      <c r="G46" s="89">
        <v>6834.27</v>
      </c>
      <c r="H46" s="89">
        <v>27337.08</v>
      </c>
      <c r="I46" s="89">
        <v>4</v>
      </c>
    </row>
    <row r="47" ht="38.25" spans="1:9">
      <c r="A47" s="85" t="s">
        <v>2103</v>
      </c>
      <c r="B47" s="85" t="s">
        <v>1324</v>
      </c>
      <c r="C47" s="85" t="s">
        <v>1323</v>
      </c>
      <c r="D47" s="87" t="s">
        <v>634</v>
      </c>
      <c r="E47" s="89" t="s">
        <v>494</v>
      </c>
      <c r="F47" s="89">
        <v>1</v>
      </c>
      <c r="G47" s="89">
        <v>2733.71</v>
      </c>
      <c r="H47" s="89">
        <v>2733.71</v>
      </c>
      <c r="I47" s="89">
        <v>1</v>
      </c>
    </row>
    <row r="48" ht="25.5" spans="1:9">
      <c r="A48" s="85" t="s">
        <v>2104</v>
      </c>
      <c r="B48" s="85" t="s">
        <v>1114</v>
      </c>
      <c r="C48" s="85" t="s">
        <v>1113</v>
      </c>
      <c r="D48" s="87" t="s">
        <v>1115</v>
      </c>
      <c r="E48" s="89" t="s">
        <v>494</v>
      </c>
      <c r="F48" s="89">
        <v>1</v>
      </c>
      <c r="G48" s="89">
        <v>16948.98</v>
      </c>
      <c r="H48" s="89">
        <v>16948.98</v>
      </c>
      <c r="I48" s="89">
        <v>1</v>
      </c>
    </row>
    <row r="49" spans="1:9">
      <c r="A49" s="85" t="s">
        <v>2105</v>
      </c>
      <c r="B49" s="86"/>
      <c r="C49" s="86"/>
      <c r="D49" s="87" t="s">
        <v>636</v>
      </c>
      <c r="E49" s="88"/>
      <c r="F49" s="89">
        <v>0</v>
      </c>
      <c r="G49" s="89">
        <v>0</v>
      </c>
      <c r="H49" s="89">
        <v>0</v>
      </c>
      <c r="I49" s="89">
        <v>0</v>
      </c>
    </row>
    <row r="50" ht="38.25" spans="1:9">
      <c r="A50" s="85" t="s">
        <v>2106</v>
      </c>
      <c r="B50" s="85" t="s">
        <v>1713</v>
      </c>
      <c r="C50" s="85" t="s">
        <v>1712</v>
      </c>
      <c r="D50" s="87" t="s">
        <v>637</v>
      </c>
      <c r="E50" s="89" t="s">
        <v>494</v>
      </c>
      <c r="F50" s="89">
        <v>1</v>
      </c>
      <c r="G50" s="89">
        <v>39.56</v>
      </c>
      <c r="H50" s="89">
        <v>39.56</v>
      </c>
      <c r="I50" s="89">
        <v>1</v>
      </c>
    </row>
    <row r="51" spans="1:9">
      <c r="A51" s="85" t="s">
        <v>2107</v>
      </c>
      <c r="B51" s="86"/>
      <c r="C51" s="86"/>
      <c r="D51" s="87" t="s">
        <v>638</v>
      </c>
      <c r="E51" s="88"/>
      <c r="F51" s="89">
        <v>0</v>
      </c>
      <c r="G51" s="89">
        <v>0</v>
      </c>
      <c r="H51" s="89">
        <v>0</v>
      </c>
      <c r="I51" s="89">
        <v>0</v>
      </c>
    </row>
    <row r="52" ht="25.5" spans="1:9">
      <c r="A52" s="85" t="s">
        <v>2108</v>
      </c>
      <c r="B52" s="85" t="s">
        <v>1383</v>
      </c>
      <c r="C52" s="85" t="s">
        <v>1382</v>
      </c>
      <c r="D52" s="87" t="s">
        <v>639</v>
      </c>
      <c r="E52" s="89" t="s">
        <v>494</v>
      </c>
      <c r="F52" s="89">
        <v>1</v>
      </c>
      <c r="G52" s="89">
        <v>2106.15</v>
      </c>
      <c r="H52" s="89">
        <v>2106.15</v>
      </c>
      <c r="I52" s="89">
        <v>1</v>
      </c>
    </row>
    <row r="53" ht="25.5" spans="1:9">
      <c r="A53" s="85" t="s">
        <v>2109</v>
      </c>
      <c r="B53" s="85" t="s">
        <v>1232</v>
      </c>
      <c r="C53" s="85" t="s">
        <v>1231</v>
      </c>
      <c r="D53" s="87" t="s">
        <v>640</v>
      </c>
      <c r="E53" s="89" t="s">
        <v>494</v>
      </c>
      <c r="F53" s="89">
        <v>2</v>
      </c>
      <c r="G53" s="89">
        <v>2963.84</v>
      </c>
      <c r="H53" s="89">
        <v>5927.68</v>
      </c>
      <c r="I53" s="89">
        <v>2</v>
      </c>
    </row>
    <row r="54" ht="25.5" spans="1:9">
      <c r="A54" s="85" t="s">
        <v>2110</v>
      </c>
      <c r="B54" s="85" t="s">
        <v>1168</v>
      </c>
      <c r="C54" s="85" t="s">
        <v>1167</v>
      </c>
      <c r="D54" s="87" t="s">
        <v>641</v>
      </c>
      <c r="E54" s="89" t="s">
        <v>494</v>
      </c>
      <c r="F54" s="89">
        <v>2</v>
      </c>
      <c r="G54" s="89">
        <v>5083.3</v>
      </c>
      <c r="H54" s="89">
        <v>10166.6</v>
      </c>
      <c r="I54" s="89">
        <v>2</v>
      </c>
    </row>
    <row r="55" ht="25.5" spans="1:9">
      <c r="A55" s="85" t="s">
        <v>2111</v>
      </c>
      <c r="B55" s="85" t="s">
        <v>1652</v>
      </c>
      <c r="C55" s="85" t="s">
        <v>1651</v>
      </c>
      <c r="D55" s="87" t="s">
        <v>642</v>
      </c>
      <c r="E55" s="89" t="s">
        <v>494</v>
      </c>
      <c r="F55" s="89">
        <v>2</v>
      </c>
      <c r="G55" s="89">
        <v>57.8</v>
      </c>
      <c r="H55" s="89">
        <v>115.6</v>
      </c>
      <c r="I55" s="89">
        <v>2</v>
      </c>
    </row>
    <row r="56" ht="25.5" spans="1:9">
      <c r="A56" s="85" t="s">
        <v>2112</v>
      </c>
      <c r="B56" s="85" t="s">
        <v>1101</v>
      </c>
      <c r="C56" s="85" t="s">
        <v>1100</v>
      </c>
      <c r="D56" s="87" t="s">
        <v>643</v>
      </c>
      <c r="E56" s="89" t="s">
        <v>494</v>
      </c>
      <c r="F56" s="89">
        <v>1</v>
      </c>
      <c r="G56" s="89">
        <v>20262.94</v>
      </c>
      <c r="H56" s="89">
        <v>20262.94</v>
      </c>
      <c r="I56" s="89">
        <v>1</v>
      </c>
    </row>
    <row r="57" ht="25.5" spans="1:9">
      <c r="A57" s="85" t="s">
        <v>2113</v>
      </c>
      <c r="B57" s="85" t="s">
        <v>988</v>
      </c>
      <c r="C57" s="85" t="s">
        <v>987</v>
      </c>
      <c r="D57" s="87" t="s">
        <v>644</v>
      </c>
      <c r="E57" s="89" t="s">
        <v>494</v>
      </c>
      <c r="F57" s="89">
        <v>26</v>
      </c>
      <c r="G57" s="89">
        <v>10683.14</v>
      </c>
      <c r="H57" s="89">
        <v>277761.64</v>
      </c>
      <c r="I57" s="89">
        <v>26</v>
      </c>
    </row>
    <row r="58" ht="38.25" spans="1:9">
      <c r="A58" s="85" t="s">
        <v>2114</v>
      </c>
      <c r="B58" s="85" t="s">
        <v>1532</v>
      </c>
      <c r="C58" s="85" t="s">
        <v>1531</v>
      </c>
      <c r="D58" s="87" t="s">
        <v>645</v>
      </c>
      <c r="E58" s="89" t="s">
        <v>494</v>
      </c>
      <c r="F58" s="89">
        <v>2</v>
      </c>
      <c r="G58" s="89">
        <v>227.51</v>
      </c>
      <c r="H58" s="89">
        <v>455.02</v>
      </c>
      <c r="I58" s="89">
        <v>2</v>
      </c>
    </row>
    <row r="59" ht="38.25" spans="1:9">
      <c r="A59" s="85" t="s">
        <v>2115</v>
      </c>
      <c r="B59" s="85" t="s">
        <v>1350</v>
      </c>
      <c r="C59" s="85" t="s">
        <v>1349</v>
      </c>
      <c r="D59" s="87" t="s">
        <v>646</v>
      </c>
      <c r="E59" s="89" t="s">
        <v>494</v>
      </c>
      <c r="F59" s="89">
        <v>1</v>
      </c>
      <c r="G59" s="89">
        <v>2456.18</v>
      </c>
      <c r="H59" s="89">
        <v>2456.18</v>
      </c>
      <c r="I59" s="89">
        <v>1</v>
      </c>
    </row>
    <row r="60" ht="38.25" spans="1:9">
      <c r="A60" s="85" t="s">
        <v>2116</v>
      </c>
      <c r="B60" s="85" t="s">
        <v>1300</v>
      </c>
      <c r="C60" s="85" t="s">
        <v>1299</v>
      </c>
      <c r="D60" s="87" t="s">
        <v>647</v>
      </c>
      <c r="E60" s="89" t="s">
        <v>494</v>
      </c>
      <c r="F60" s="89">
        <v>1</v>
      </c>
      <c r="G60" s="89">
        <v>3726</v>
      </c>
      <c r="H60" s="89">
        <v>3726</v>
      </c>
      <c r="I60" s="89">
        <v>1</v>
      </c>
    </row>
    <row r="61" ht="25.5" spans="1:9">
      <c r="A61" s="85" t="s">
        <v>2117</v>
      </c>
      <c r="B61" s="85" t="s">
        <v>1161</v>
      </c>
      <c r="C61" s="85" t="s">
        <v>1160</v>
      </c>
      <c r="D61" s="87" t="s">
        <v>648</v>
      </c>
      <c r="E61" s="89" t="s">
        <v>494</v>
      </c>
      <c r="F61" s="89">
        <v>1</v>
      </c>
      <c r="G61" s="89">
        <v>10737.3</v>
      </c>
      <c r="H61" s="89">
        <v>10737.3</v>
      </c>
      <c r="I61" s="89">
        <v>1</v>
      </c>
    </row>
    <row r="62" ht="51" spans="1:9">
      <c r="A62" s="85" t="s">
        <v>2118</v>
      </c>
      <c r="B62" s="85" t="s">
        <v>1184</v>
      </c>
      <c r="C62" s="85" t="s">
        <v>1183</v>
      </c>
      <c r="D62" s="87" t="s">
        <v>649</v>
      </c>
      <c r="E62" s="89" t="s">
        <v>494</v>
      </c>
      <c r="F62" s="89">
        <v>2</v>
      </c>
      <c r="G62" s="89">
        <v>4262.89</v>
      </c>
      <c r="H62" s="89">
        <v>8525.78</v>
      </c>
      <c r="I62" s="89">
        <v>2</v>
      </c>
    </row>
    <row r="63" ht="25.5" spans="1:9">
      <c r="A63" s="85" t="s">
        <v>2119</v>
      </c>
      <c r="B63" s="85" t="s">
        <v>1584</v>
      </c>
      <c r="C63" s="85" t="s">
        <v>1583</v>
      </c>
      <c r="D63" s="87" t="s">
        <v>650</v>
      </c>
      <c r="E63" s="89" t="s">
        <v>112</v>
      </c>
      <c r="F63" s="89">
        <v>15</v>
      </c>
      <c r="G63" s="89">
        <v>17.06</v>
      </c>
      <c r="H63" s="89">
        <v>255.9</v>
      </c>
      <c r="I63" s="89">
        <v>15</v>
      </c>
    </row>
    <row r="64" spans="1:9">
      <c r="A64" s="85" t="s">
        <v>2120</v>
      </c>
      <c r="B64" s="86"/>
      <c r="C64" s="86"/>
      <c r="D64" s="87" t="s">
        <v>651</v>
      </c>
      <c r="E64" s="88"/>
      <c r="F64" s="89">
        <v>0</v>
      </c>
      <c r="G64" s="89">
        <v>0</v>
      </c>
      <c r="H64" s="89">
        <v>0</v>
      </c>
      <c r="I64" s="89">
        <v>0</v>
      </c>
    </row>
    <row r="65" ht="38.25" spans="1:9">
      <c r="A65" s="85" t="s">
        <v>2121</v>
      </c>
      <c r="B65" s="85" t="s">
        <v>1340</v>
      </c>
      <c r="C65" s="85" t="s">
        <v>1339</v>
      </c>
      <c r="D65" s="87" t="s">
        <v>652</v>
      </c>
      <c r="E65" s="89" t="s">
        <v>494</v>
      </c>
      <c r="F65" s="89">
        <v>1</v>
      </c>
      <c r="G65" s="89">
        <v>2564.41</v>
      </c>
      <c r="H65" s="89">
        <v>2564.41</v>
      </c>
      <c r="I65" s="89">
        <v>1</v>
      </c>
    </row>
    <row r="66" ht="38.25" spans="1:9">
      <c r="A66" s="85" t="s">
        <v>2122</v>
      </c>
      <c r="B66" s="85" t="s">
        <v>1261</v>
      </c>
      <c r="C66" s="85" t="s">
        <v>1260</v>
      </c>
      <c r="D66" s="87" t="s">
        <v>653</v>
      </c>
      <c r="E66" s="89" t="s">
        <v>494</v>
      </c>
      <c r="F66" s="89">
        <v>1</v>
      </c>
      <c r="G66" s="89">
        <v>4400.11</v>
      </c>
      <c r="H66" s="89">
        <v>4400.11</v>
      </c>
      <c r="I66" s="89">
        <v>1</v>
      </c>
    </row>
    <row r="67" ht="38.25" spans="1:9">
      <c r="A67" s="85" t="s">
        <v>2123</v>
      </c>
      <c r="B67" s="85" t="s">
        <v>1354</v>
      </c>
      <c r="C67" s="85" t="s">
        <v>1353</v>
      </c>
      <c r="D67" s="87" t="s">
        <v>654</v>
      </c>
      <c r="E67" s="89" t="s">
        <v>112</v>
      </c>
      <c r="F67" s="89">
        <v>1</v>
      </c>
      <c r="G67" s="89">
        <v>2379.62</v>
      </c>
      <c r="H67" s="89">
        <v>2379.62</v>
      </c>
      <c r="I67" s="89">
        <v>1</v>
      </c>
    </row>
    <row r="68" spans="1:9">
      <c r="A68" s="85" t="s">
        <v>2124</v>
      </c>
      <c r="B68" s="86"/>
      <c r="C68" s="86"/>
      <c r="D68" s="87" t="s">
        <v>655</v>
      </c>
      <c r="E68" s="88"/>
      <c r="F68" s="89">
        <v>0</v>
      </c>
      <c r="G68" s="89">
        <v>0</v>
      </c>
      <c r="H68" s="89">
        <v>0</v>
      </c>
      <c r="I68" s="89">
        <v>0</v>
      </c>
    </row>
    <row r="69" ht="25.5" spans="1:9">
      <c r="A69" s="85" t="s">
        <v>2125</v>
      </c>
      <c r="B69" s="85" t="s">
        <v>1234</v>
      </c>
      <c r="C69" s="85" t="s">
        <v>1233</v>
      </c>
      <c r="D69" s="87" t="s">
        <v>656</v>
      </c>
      <c r="E69" s="89" t="s">
        <v>494</v>
      </c>
      <c r="F69" s="89">
        <v>7</v>
      </c>
      <c r="G69" s="89">
        <v>838.36</v>
      </c>
      <c r="H69" s="89">
        <v>5868.52</v>
      </c>
      <c r="I69" s="89">
        <v>7</v>
      </c>
    </row>
    <row r="70" ht="25.5" spans="1:9">
      <c r="A70" s="85" t="s">
        <v>2126</v>
      </c>
      <c r="B70" s="85" t="s">
        <v>1611</v>
      </c>
      <c r="C70" s="85" t="s">
        <v>1610</v>
      </c>
      <c r="D70" s="87" t="s">
        <v>657</v>
      </c>
      <c r="E70" s="89" t="s">
        <v>494</v>
      </c>
      <c r="F70" s="89">
        <v>2</v>
      </c>
      <c r="G70" s="89">
        <v>83.24</v>
      </c>
      <c r="H70" s="89">
        <v>166.48</v>
      </c>
      <c r="I70" s="89">
        <v>2</v>
      </c>
    </row>
    <row r="71" ht="25.5" spans="1:9">
      <c r="A71" s="85" t="s">
        <v>2127</v>
      </c>
      <c r="B71" s="85" t="s">
        <v>1292</v>
      </c>
      <c r="C71" s="85" t="s">
        <v>1291</v>
      </c>
      <c r="D71" s="87" t="s">
        <v>658</v>
      </c>
      <c r="E71" s="89" t="s">
        <v>494</v>
      </c>
      <c r="F71" s="89">
        <v>35</v>
      </c>
      <c r="G71" s="89">
        <v>112.58</v>
      </c>
      <c r="H71" s="89">
        <v>3940.3</v>
      </c>
      <c r="I71" s="89">
        <v>35</v>
      </c>
    </row>
    <row r="72" ht="25.5" spans="1:9">
      <c r="A72" s="85" t="s">
        <v>2128</v>
      </c>
      <c r="B72" s="85" t="s">
        <v>1179</v>
      </c>
      <c r="C72" s="85" t="s">
        <v>1178</v>
      </c>
      <c r="D72" s="87" t="s">
        <v>659</v>
      </c>
      <c r="E72" s="89" t="s">
        <v>494</v>
      </c>
      <c r="F72" s="89">
        <v>26</v>
      </c>
      <c r="G72" s="89">
        <v>351.51</v>
      </c>
      <c r="H72" s="89">
        <v>9139.26</v>
      </c>
      <c r="I72" s="89">
        <v>26</v>
      </c>
    </row>
    <row r="73" ht="25.5" spans="1:9">
      <c r="A73" s="85" t="s">
        <v>2129</v>
      </c>
      <c r="B73" s="85" t="s">
        <v>1459</v>
      </c>
      <c r="C73" s="85" t="s">
        <v>1458</v>
      </c>
      <c r="D73" s="87" t="s">
        <v>660</v>
      </c>
      <c r="E73" s="89" t="s">
        <v>494</v>
      </c>
      <c r="F73" s="89">
        <v>14</v>
      </c>
      <c r="G73" s="89">
        <v>75.45</v>
      </c>
      <c r="H73" s="89">
        <v>1056.3</v>
      </c>
      <c r="I73" s="89">
        <v>14</v>
      </c>
    </row>
    <row r="74" ht="63.75" spans="1:9">
      <c r="A74" s="85" t="s">
        <v>2130</v>
      </c>
      <c r="B74" s="85" t="s">
        <v>1525</v>
      </c>
      <c r="C74" s="85" t="s">
        <v>1524</v>
      </c>
      <c r="D74" s="87" t="s">
        <v>661</v>
      </c>
      <c r="E74" s="89" t="s">
        <v>494</v>
      </c>
      <c r="F74" s="89">
        <v>80</v>
      </c>
      <c r="G74" s="89">
        <v>6.11</v>
      </c>
      <c r="H74" s="89">
        <v>488.8</v>
      </c>
      <c r="I74" s="89">
        <v>80</v>
      </c>
    </row>
    <row r="75" ht="63.75" spans="1:9">
      <c r="A75" s="85" t="s">
        <v>2131</v>
      </c>
      <c r="B75" s="85" t="s">
        <v>1308</v>
      </c>
      <c r="C75" s="85" t="s">
        <v>1307</v>
      </c>
      <c r="D75" s="87" t="s">
        <v>1309</v>
      </c>
      <c r="E75" s="89" t="s">
        <v>494</v>
      </c>
      <c r="F75" s="89">
        <v>216</v>
      </c>
      <c r="G75" s="89">
        <v>14.28</v>
      </c>
      <c r="H75" s="89">
        <v>3084.48</v>
      </c>
      <c r="I75" s="89">
        <v>216</v>
      </c>
    </row>
    <row r="76" ht="63.75" spans="1:9">
      <c r="A76" s="85" t="s">
        <v>2132</v>
      </c>
      <c r="B76" s="85" t="s">
        <v>1208</v>
      </c>
      <c r="C76" s="85" t="s">
        <v>1207</v>
      </c>
      <c r="D76" s="87" t="s">
        <v>663</v>
      </c>
      <c r="E76" s="89" t="s">
        <v>494</v>
      </c>
      <c r="F76" s="89">
        <v>320</v>
      </c>
      <c r="G76" s="89">
        <v>22</v>
      </c>
      <c r="H76" s="89">
        <v>7040</v>
      </c>
      <c r="I76" s="89">
        <v>320</v>
      </c>
    </row>
    <row r="77" ht="76.5" spans="1:9">
      <c r="A77" s="85" t="s">
        <v>2133</v>
      </c>
      <c r="B77" s="85" t="s">
        <v>1277</v>
      </c>
      <c r="C77" s="85" t="s">
        <v>1276</v>
      </c>
      <c r="D77" s="87" t="s">
        <v>664</v>
      </c>
      <c r="E77" s="89" t="s">
        <v>494</v>
      </c>
      <c r="F77" s="89">
        <v>100</v>
      </c>
      <c r="G77" s="89">
        <v>40.33</v>
      </c>
      <c r="H77" s="89">
        <v>4033</v>
      </c>
      <c r="I77" s="89">
        <v>100</v>
      </c>
    </row>
    <row r="78" ht="38.25" spans="1:9">
      <c r="A78" s="85" t="s">
        <v>2134</v>
      </c>
      <c r="B78" s="85" t="s">
        <v>1416</v>
      </c>
      <c r="C78" s="85" t="s">
        <v>1415</v>
      </c>
      <c r="D78" s="87" t="s">
        <v>665</v>
      </c>
      <c r="E78" s="89" t="s">
        <v>494</v>
      </c>
      <c r="F78" s="89">
        <v>3</v>
      </c>
      <c r="G78" s="89">
        <v>521.93</v>
      </c>
      <c r="H78" s="89">
        <v>1565.79</v>
      </c>
      <c r="I78" s="89">
        <v>3</v>
      </c>
    </row>
    <row r="79" ht="38.25" spans="1:9">
      <c r="A79" s="85" t="s">
        <v>2135</v>
      </c>
      <c r="B79" s="85" t="s">
        <v>1189</v>
      </c>
      <c r="C79" s="85" t="s">
        <v>1188</v>
      </c>
      <c r="D79" s="87" t="s">
        <v>666</v>
      </c>
      <c r="E79" s="89" t="s">
        <v>494</v>
      </c>
      <c r="F79" s="89">
        <v>1</v>
      </c>
      <c r="G79" s="89">
        <v>8232.82</v>
      </c>
      <c r="H79" s="89">
        <v>8232.82</v>
      </c>
      <c r="I79" s="89">
        <v>1</v>
      </c>
    </row>
    <row r="80" ht="38.25" spans="1:9">
      <c r="A80" s="85" t="s">
        <v>2136</v>
      </c>
      <c r="B80" s="85" t="s">
        <v>1270</v>
      </c>
      <c r="C80" s="85" t="s">
        <v>1269</v>
      </c>
      <c r="D80" s="87" t="s">
        <v>667</v>
      </c>
      <c r="E80" s="89" t="s">
        <v>494</v>
      </c>
      <c r="F80" s="89">
        <v>1</v>
      </c>
      <c r="G80" s="89">
        <v>4226.79</v>
      </c>
      <c r="H80" s="89">
        <v>4226.79</v>
      </c>
      <c r="I80" s="89">
        <v>1</v>
      </c>
    </row>
    <row r="81" ht="38.25" spans="1:9">
      <c r="A81" s="85" t="s">
        <v>2137</v>
      </c>
      <c r="B81" s="85" t="s">
        <v>1391</v>
      </c>
      <c r="C81" s="85" t="s">
        <v>1390</v>
      </c>
      <c r="D81" s="87" t="s">
        <v>668</v>
      </c>
      <c r="E81" s="89" t="s">
        <v>494</v>
      </c>
      <c r="F81" s="89">
        <v>2</v>
      </c>
      <c r="G81" s="89">
        <v>1014.15</v>
      </c>
      <c r="H81" s="89">
        <v>2028.3</v>
      </c>
      <c r="I81" s="89">
        <v>2</v>
      </c>
    </row>
    <row r="82" ht="38.25" spans="1:9">
      <c r="A82" s="85" t="s">
        <v>2138</v>
      </c>
      <c r="B82" s="85" t="s">
        <v>1322</v>
      </c>
      <c r="C82" s="85" t="s">
        <v>1321</v>
      </c>
      <c r="D82" s="87" t="s">
        <v>669</v>
      </c>
      <c r="E82" s="89" t="s">
        <v>494</v>
      </c>
      <c r="F82" s="89">
        <v>3</v>
      </c>
      <c r="G82" s="89">
        <v>923.31</v>
      </c>
      <c r="H82" s="89">
        <v>2769.93</v>
      </c>
      <c r="I82" s="89">
        <v>3</v>
      </c>
    </row>
    <row r="83" ht="38.25" spans="1:9">
      <c r="A83" s="85" t="s">
        <v>2139</v>
      </c>
      <c r="B83" s="85" t="s">
        <v>1206</v>
      </c>
      <c r="C83" s="85" t="s">
        <v>1205</v>
      </c>
      <c r="D83" s="87" t="s">
        <v>670</v>
      </c>
      <c r="E83" s="89" t="s">
        <v>494</v>
      </c>
      <c r="F83" s="89">
        <v>1</v>
      </c>
      <c r="G83" s="89">
        <v>7053.62</v>
      </c>
      <c r="H83" s="89">
        <v>7053.62</v>
      </c>
      <c r="I83" s="89">
        <v>1</v>
      </c>
    </row>
    <row r="84" ht="25.5" spans="1:9">
      <c r="A84" s="85" t="s">
        <v>2140</v>
      </c>
      <c r="B84" s="85" t="s">
        <v>1265</v>
      </c>
      <c r="C84" s="85" t="s">
        <v>1264</v>
      </c>
      <c r="D84" s="87" t="s">
        <v>671</v>
      </c>
      <c r="E84" s="89" t="s">
        <v>494</v>
      </c>
      <c r="F84" s="89">
        <v>1</v>
      </c>
      <c r="G84" s="89">
        <v>4316.07</v>
      </c>
      <c r="H84" s="89">
        <v>4316.07</v>
      </c>
      <c r="I84" s="89">
        <v>1</v>
      </c>
    </row>
    <row r="85" ht="25.5" spans="1:9">
      <c r="A85" s="85" t="s">
        <v>2141</v>
      </c>
      <c r="B85" s="85" t="s">
        <v>1414</v>
      </c>
      <c r="C85" s="85" t="s">
        <v>1413</v>
      </c>
      <c r="D85" s="87" t="s">
        <v>672</v>
      </c>
      <c r="E85" s="89" t="s">
        <v>494</v>
      </c>
      <c r="F85" s="89">
        <v>1</v>
      </c>
      <c r="G85" s="89">
        <v>1603.71</v>
      </c>
      <c r="H85" s="89">
        <v>1603.71</v>
      </c>
      <c r="I85" s="89">
        <v>1</v>
      </c>
    </row>
    <row r="86" ht="38.25" spans="1:9">
      <c r="A86" s="85" t="s">
        <v>2142</v>
      </c>
      <c r="B86" s="85" t="s">
        <v>1370</v>
      </c>
      <c r="C86" s="85" t="s">
        <v>1369</v>
      </c>
      <c r="D86" s="87" t="s">
        <v>673</v>
      </c>
      <c r="E86" s="89" t="s">
        <v>494</v>
      </c>
      <c r="F86" s="89">
        <v>2</v>
      </c>
      <c r="G86" s="89">
        <v>1125.51</v>
      </c>
      <c r="H86" s="89">
        <v>2251.02</v>
      </c>
      <c r="I86" s="89">
        <v>2</v>
      </c>
    </row>
    <row r="87" ht="38.25" spans="1:9">
      <c r="A87" s="85" t="s">
        <v>2143</v>
      </c>
      <c r="B87" s="85" t="s">
        <v>1275</v>
      </c>
      <c r="C87" s="85" t="s">
        <v>1274</v>
      </c>
      <c r="D87" s="87" t="s">
        <v>674</v>
      </c>
      <c r="E87" s="89" t="s">
        <v>494</v>
      </c>
      <c r="F87" s="89">
        <v>1</v>
      </c>
      <c r="G87" s="89">
        <v>4168.34</v>
      </c>
      <c r="H87" s="89">
        <v>4168.34</v>
      </c>
      <c r="I87" s="89">
        <v>1</v>
      </c>
    </row>
    <row r="88" ht="38.25" spans="1:9">
      <c r="A88" s="85" t="s">
        <v>2144</v>
      </c>
      <c r="B88" s="85" t="s">
        <v>1220</v>
      </c>
      <c r="C88" s="85" t="s">
        <v>1219</v>
      </c>
      <c r="D88" s="87" t="s">
        <v>675</v>
      </c>
      <c r="E88" s="89" t="s">
        <v>494</v>
      </c>
      <c r="F88" s="89">
        <v>2</v>
      </c>
      <c r="G88" s="89">
        <v>3325.54</v>
      </c>
      <c r="H88" s="89">
        <v>6651.08</v>
      </c>
      <c r="I88" s="89">
        <v>2</v>
      </c>
    </row>
    <row r="89" ht="38.25" spans="1:9">
      <c r="A89" s="85" t="s">
        <v>2145</v>
      </c>
      <c r="B89" s="85" t="s">
        <v>1374</v>
      </c>
      <c r="C89" s="85" t="s">
        <v>1373</v>
      </c>
      <c r="D89" s="87" t="s">
        <v>676</v>
      </c>
      <c r="E89" s="89" t="s">
        <v>494</v>
      </c>
      <c r="F89" s="89">
        <v>2</v>
      </c>
      <c r="G89" s="89">
        <v>1084.91</v>
      </c>
      <c r="H89" s="89">
        <v>2169.82</v>
      </c>
      <c r="I89" s="89">
        <v>2</v>
      </c>
    </row>
    <row r="90" ht="38.25" spans="1:9">
      <c r="A90" s="85" t="s">
        <v>2146</v>
      </c>
      <c r="B90" s="85" t="s">
        <v>1513</v>
      </c>
      <c r="C90" s="85" t="s">
        <v>1512</v>
      </c>
      <c r="D90" s="87" t="s">
        <v>677</v>
      </c>
      <c r="E90" s="89" t="s">
        <v>494</v>
      </c>
      <c r="F90" s="89">
        <v>2</v>
      </c>
      <c r="G90" s="89">
        <v>326.45</v>
      </c>
      <c r="H90" s="89">
        <v>652.9</v>
      </c>
      <c r="I90" s="89">
        <v>2</v>
      </c>
    </row>
    <row r="91" ht="25.5" spans="1:9">
      <c r="A91" s="85" t="s">
        <v>2147</v>
      </c>
      <c r="B91" s="85" t="s">
        <v>1213</v>
      </c>
      <c r="C91" s="85" t="s">
        <v>1212</v>
      </c>
      <c r="D91" s="87" t="s">
        <v>678</v>
      </c>
      <c r="E91" s="89" t="s">
        <v>494</v>
      </c>
      <c r="F91" s="89">
        <v>1</v>
      </c>
      <c r="G91" s="89">
        <v>6750.22</v>
      </c>
      <c r="H91" s="89">
        <v>6750.22</v>
      </c>
      <c r="I91" s="89">
        <v>1</v>
      </c>
    </row>
    <row r="92" ht="38.25" spans="1:9">
      <c r="A92" s="85" t="s">
        <v>2148</v>
      </c>
      <c r="B92" s="85" t="s">
        <v>1141</v>
      </c>
      <c r="C92" s="85" t="s">
        <v>1140</v>
      </c>
      <c r="D92" s="87" t="s">
        <v>679</v>
      </c>
      <c r="E92" s="89" t="s">
        <v>494</v>
      </c>
      <c r="F92" s="89">
        <v>1</v>
      </c>
      <c r="G92" s="89">
        <v>13736.82</v>
      </c>
      <c r="H92" s="89">
        <v>13736.82</v>
      </c>
      <c r="I92" s="89">
        <v>1</v>
      </c>
    </row>
    <row r="93" spans="1:9">
      <c r="A93" s="85" t="s">
        <v>2149</v>
      </c>
      <c r="B93" s="85" t="s">
        <v>1286</v>
      </c>
      <c r="C93" s="85" t="s">
        <v>1285</v>
      </c>
      <c r="D93" s="87" t="s">
        <v>680</v>
      </c>
      <c r="E93" s="89" t="s">
        <v>494</v>
      </c>
      <c r="F93" s="89">
        <v>1</v>
      </c>
      <c r="G93" s="89">
        <v>3952.98</v>
      </c>
      <c r="H93" s="89">
        <v>3952.98</v>
      </c>
      <c r="I93" s="89">
        <v>1</v>
      </c>
    </row>
    <row r="94" ht="25.5" spans="1:9">
      <c r="A94" s="85" t="s">
        <v>2150</v>
      </c>
      <c r="B94" s="85" t="s">
        <v>1139</v>
      </c>
      <c r="C94" s="85" t="s">
        <v>1138</v>
      </c>
      <c r="D94" s="87" t="s">
        <v>681</v>
      </c>
      <c r="E94" s="89" t="s">
        <v>494</v>
      </c>
      <c r="F94" s="89">
        <v>3</v>
      </c>
      <c r="G94" s="89">
        <v>4647.23</v>
      </c>
      <c r="H94" s="89">
        <v>13941.69</v>
      </c>
      <c r="I94" s="89">
        <v>3</v>
      </c>
    </row>
    <row r="95" ht="25.5" spans="1:9">
      <c r="A95" s="85" t="s">
        <v>2151</v>
      </c>
      <c r="B95" s="85" t="s">
        <v>1088</v>
      </c>
      <c r="C95" s="85" t="s">
        <v>1087</v>
      </c>
      <c r="D95" s="87" t="s">
        <v>682</v>
      </c>
      <c r="E95" s="89" t="s">
        <v>494</v>
      </c>
      <c r="F95" s="89">
        <v>2</v>
      </c>
      <c r="G95" s="89">
        <v>11363.84</v>
      </c>
      <c r="H95" s="89">
        <v>22727.68</v>
      </c>
      <c r="I95" s="89">
        <v>2</v>
      </c>
    </row>
    <row r="96" ht="25.5" spans="1:9">
      <c r="A96" s="85" t="s">
        <v>2152</v>
      </c>
      <c r="B96" s="85" t="s">
        <v>1073</v>
      </c>
      <c r="C96" s="85" t="s">
        <v>1072</v>
      </c>
      <c r="D96" s="87" t="s">
        <v>683</v>
      </c>
      <c r="E96" s="89" t="s">
        <v>494</v>
      </c>
      <c r="F96" s="89">
        <v>1</v>
      </c>
      <c r="G96" s="89">
        <v>27426.53</v>
      </c>
      <c r="H96" s="89">
        <v>27426.53</v>
      </c>
      <c r="I96" s="89">
        <v>1</v>
      </c>
    </row>
    <row r="97" ht="25.5" spans="1:9">
      <c r="A97" s="85" t="s">
        <v>2153</v>
      </c>
      <c r="B97" s="85" t="s">
        <v>1078</v>
      </c>
      <c r="C97" s="85" t="s">
        <v>1077</v>
      </c>
      <c r="D97" s="87" t="s">
        <v>684</v>
      </c>
      <c r="E97" s="89" t="s">
        <v>494</v>
      </c>
      <c r="F97" s="89">
        <v>1</v>
      </c>
      <c r="G97" s="89">
        <v>25361.65</v>
      </c>
      <c r="H97" s="89">
        <v>25361.65</v>
      </c>
      <c r="I97" s="89">
        <v>1</v>
      </c>
    </row>
    <row r="98" ht="38.25" spans="1:9">
      <c r="A98" s="85" t="s">
        <v>2154</v>
      </c>
      <c r="B98" s="85" t="s">
        <v>1106</v>
      </c>
      <c r="C98" s="85" t="s">
        <v>1105</v>
      </c>
      <c r="D98" s="87" t="s">
        <v>685</v>
      </c>
      <c r="E98" s="89" t="s">
        <v>494</v>
      </c>
      <c r="F98" s="89">
        <v>1</v>
      </c>
      <c r="G98" s="89">
        <v>17923.43</v>
      </c>
      <c r="H98" s="89">
        <v>17923.43</v>
      </c>
      <c r="I98" s="89">
        <v>1</v>
      </c>
    </row>
    <row r="99" ht="38.25" spans="1:9">
      <c r="A99" s="85" t="s">
        <v>2155</v>
      </c>
      <c r="B99" s="85" t="s">
        <v>1061</v>
      </c>
      <c r="C99" s="85" t="s">
        <v>1060</v>
      </c>
      <c r="D99" s="87" t="s">
        <v>686</v>
      </c>
      <c r="E99" s="89" t="s">
        <v>494</v>
      </c>
      <c r="F99" s="89">
        <v>7</v>
      </c>
      <c r="G99" s="89">
        <v>5079.28</v>
      </c>
      <c r="H99" s="89">
        <v>35554.96</v>
      </c>
      <c r="I99" s="89">
        <v>7</v>
      </c>
    </row>
    <row r="100" ht="25.5" spans="1:9">
      <c r="A100" s="85" t="s">
        <v>2156</v>
      </c>
      <c r="B100" s="85" t="s">
        <v>1177</v>
      </c>
      <c r="C100" s="85" t="s">
        <v>1176</v>
      </c>
      <c r="D100" s="87" t="s">
        <v>687</v>
      </c>
      <c r="E100" s="89" t="s">
        <v>494</v>
      </c>
      <c r="F100" s="89">
        <v>7</v>
      </c>
      <c r="G100" s="89">
        <v>1356.4</v>
      </c>
      <c r="H100" s="89">
        <v>9494.8</v>
      </c>
      <c r="I100" s="89">
        <v>7</v>
      </c>
    </row>
    <row r="101" ht="25.5" spans="1:9">
      <c r="A101" s="85" t="s">
        <v>2157</v>
      </c>
      <c r="B101" s="85" t="s">
        <v>1294</v>
      </c>
      <c r="C101" s="85" t="s">
        <v>1293</v>
      </c>
      <c r="D101" s="87" t="s">
        <v>688</v>
      </c>
      <c r="E101" s="89" t="s">
        <v>494</v>
      </c>
      <c r="F101" s="89">
        <v>1</v>
      </c>
      <c r="G101" s="89">
        <v>3889.97</v>
      </c>
      <c r="H101" s="89">
        <v>3889.97</v>
      </c>
      <c r="I101" s="89">
        <v>1</v>
      </c>
    </row>
    <row r="102" ht="38.25" spans="1:9">
      <c r="A102" s="85" t="s">
        <v>2158</v>
      </c>
      <c r="B102" s="85" t="s">
        <v>1481</v>
      </c>
      <c r="C102" s="85" t="s">
        <v>1480</v>
      </c>
      <c r="D102" s="87" t="s">
        <v>689</v>
      </c>
      <c r="E102" s="89" t="s">
        <v>494</v>
      </c>
      <c r="F102" s="89">
        <v>1</v>
      </c>
      <c r="G102" s="89">
        <v>892</v>
      </c>
      <c r="H102" s="89">
        <v>892</v>
      </c>
      <c r="I102" s="89">
        <v>1</v>
      </c>
    </row>
    <row r="103" ht="38.25" spans="1:9">
      <c r="A103" s="85" t="s">
        <v>2159</v>
      </c>
      <c r="B103" s="85" t="s">
        <v>1306</v>
      </c>
      <c r="C103" s="85" t="s">
        <v>1305</v>
      </c>
      <c r="D103" s="87" t="s">
        <v>690</v>
      </c>
      <c r="E103" s="89" t="s">
        <v>112</v>
      </c>
      <c r="F103" s="89">
        <v>4</v>
      </c>
      <c r="G103" s="89">
        <v>806.26</v>
      </c>
      <c r="H103" s="89">
        <v>3225.04</v>
      </c>
      <c r="I103" s="89">
        <v>4</v>
      </c>
    </row>
    <row r="104" ht="38.25" spans="1:9">
      <c r="A104" s="85" t="s">
        <v>2160</v>
      </c>
      <c r="B104" s="85" t="s">
        <v>1320</v>
      </c>
      <c r="C104" s="85" t="s">
        <v>1319</v>
      </c>
      <c r="D104" s="87" t="s">
        <v>691</v>
      </c>
      <c r="E104" s="89" t="s">
        <v>112</v>
      </c>
      <c r="F104" s="89">
        <v>2</v>
      </c>
      <c r="G104" s="89">
        <v>1430.51</v>
      </c>
      <c r="H104" s="89">
        <v>2861.02</v>
      </c>
      <c r="I104" s="89">
        <v>2</v>
      </c>
    </row>
    <row r="105" ht="38.25" spans="1:9">
      <c r="A105" s="85" t="s">
        <v>2161</v>
      </c>
      <c r="B105" s="85" t="s">
        <v>1201</v>
      </c>
      <c r="C105" s="85" t="s">
        <v>1200</v>
      </c>
      <c r="D105" s="87" t="s">
        <v>692</v>
      </c>
      <c r="E105" s="89" t="s">
        <v>112</v>
      </c>
      <c r="F105" s="89">
        <v>3</v>
      </c>
      <c r="G105" s="89">
        <v>2367.44</v>
      </c>
      <c r="H105" s="89">
        <v>7102.32</v>
      </c>
      <c r="I105" s="89">
        <v>3</v>
      </c>
    </row>
    <row r="106" ht="38.25" spans="1:9">
      <c r="A106" s="85" t="s">
        <v>2162</v>
      </c>
      <c r="B106" s="85" t="s">
        <v>1408</v>
      </c>
      <c r="C106" s="85" t="s">
        <v>1407</v>
      </c>
      <c r="D106" s="87" t="s">
        <v>693</v>
      </c>
      <c r="E106" s="89" t="s">
        <v>494</v>
      </c>
      <c r="F106" s="89">
        <v>1</v>
      </c>
      <c r="G106" s="89">
        <v>1688.25</v>
      </c>
      <c r="H106" s="89">
        <v>1688.25</v>
      </c>
      <c r="I106" s="89">
        <v>1</v>
      </c>
    </row>
    <row r="107" ht="38.25" spans="1:9">
      <c r="A107" s="85" t="s">
        <v>2163</v>
      </c>
      <c r="B107" s="85" t="s">
        <v>1263</v>
      </c>
      <c r="C107" s="85" t="s">
        <v>1262</v>
      </c>
      <c r="D107" s="87" t="s">
        <v>694</v>
      </c>
      <c r="E107" s="89" t="s">
        <v>494</v>
      </c>
      <c r="F107" s="89">
        <v>1</v>
      </c>
      <c r="G107" s="89">
        <v>4326.9</v>
      </c>
      <c r="H107" s="89">
        <v>4326.9</v>
      </c>
      <c r="I107" s="89">
        <v>1</v>
      </c>
    </row>
    <row r="108" ht="38.25" spans="1:9">
      <c r="A108" s="85" t="s">
        <v>2164</v>
      </c>
      <c r="B108" s="85" t="s">
        <v>1267</v>
      </c>
      <c r="C108" s="85" t="s">
        <v>1266</v>
      </c>
      <c r="D108" s="87" t="s">
        <v>695</v>
      </c>
      <c r="E108" s="89" t="s">
        <v>494</v>
      </c>
      <c r="F108" s="89">
        <v>2</v>
      </c>
      <c r="G108" s="89">
        <v>2136.06</v>
      </c>
      <c r="H108" s="89">
        <v>4272.12</v>
      </c>
      <c r="I108" s="89">
        <v>2</v>
      </c>
    </row>
    <row r="109" ht="38.25" spans="1:9">
      <c r="A109" s="85" t="s">
        <v>2165</v>
      </c>
      <c r="B109" s="85" t="s">
        <v>1279</v>
      </c>
      <c r="C109" s="85" t="s">
        <v>1278</v>
      </c>
      <c r="D109" s="87" t="s">
        <v>696</v>
      </c>
      <c r="E109" s="89" t="s">
        <v>494</v>
      </c>
      <c r="F109" s="89">
        <v>1</v>
      </c>
      <c r="G109" s="89">
        <v>4000.18</v>
      </c>
      <c r="H109" s="89">
        <v>4000.18</v>
      </c>
      <c r="I109" s="89">
        <v>1</v>
      </c>
    </row>
    <row r="110" ht="38.25" spans="1:9">
      <c r="A110" s="85" t="s">
        <v>2166</v>
      </c>
      <c r="B110" s="85" t="s">
        <v>1259</v>
      </c>
      <c r="C110" s="85" t="s">
        <v>1258</v>
      </c>
      <c r="D110" s="87" t="s">
        <v>697</v>
      </c>
      <c r="E110" s="89" t="s">
        <v>494</v>
      </c>
      <c r="F110" s="89">
        <v>1</v>
      </c>
      <c r="G110" s="89">
        <v>4627.37</v>
      </c>
      <c r="H110" s="89">
        <v>4627.37</v>
      </c>
      <c r="I110" s="89">
        <v>1</v>
      </c>
    </row>
    <row r="111" ht="38.25" spans="1:9">
      <c r="A111" s="85" t="s">
        <v>2167</v>
      </c>
      <c r="B111" s="85" t="s">
        <v>1191</v>
      </c>
      <c r="C111" s="85" t="s">
        <v>1190</v>
      </c>
      <c r="D111" s="87" t="s">
        <v>698</v>
      </c>
      <c r="E111" s="89" t="s">
        <v>494</v>
      </c>
      <c r="F111" s="89">
        <v>3</v>
      </c>
      <c r="G111" s="89">
        <v>2719.37</v>
      </c>
      <c r="H111" s="89">
        <v>8158.11</v>
      </c>
      <c r="I111" s="89">
        <v>3</v>
      </c>
    </row>
    <row r="112" ht="38.25" spans="1:9">
      <c r="A112" s="85" t="s">
        <v>2168</v>
      </c>
      <c r="B112" s="85" t="s">
        <v>1218</v>
      </c>
      <c r="C112" s="85" t="s">
        <v>1217</v>
      </c>
      <c r="D112" s="87" t="s">
        <v>699</v>
      </c>
      <c r="E112" s="89" t="s">
        <v>494</v>
      </c>
      <c r="F112" s="89">
        <v>1</v>
      </c>
      <c r="G112" s="89">
        <v>6678.99</v>
      </c>
      <c r="H112" s="89">
        <v>6678.99</v>
      </c>
      <c r="I112" s="89">
        <v>1</v>
      </c>
    </row>
    <row r="113" ht="38.25" spans="1:9">
      <c r="A113" s="85" t="s">
        <v>2169</v>
      </c>
      <c r="B113" s="85" t="s">
        <v>1153</v>
      </c>
      <c r="C113" s="85" t="s">
        <v>1152</v>
      </c>
      <c r="D113" s="87" t="s">
        <v>700</v>
      </c>
      <c r="E113" s="89" t="s">
        <v>494</v>
      </c>
      <c r="F113" s="89">
        <v>1</v>
      </c>
      <c r="G113" s="89">
        <v>11575.18</v>
      </c>
      <c r="H113" s="89">
        <v>11575.18</v>
      </c>
      <c r="I113" s="89">
        <v>1</v>
      </c>
    </row>
    <row r="114" ht="38.25" spans="1:9">
      <c r="A114" s="85" t="s">
        <v>2170</v>
      </c>
      <c r="B114" s="85" t="s">
        <v>1173</v>
      </c>
      <c r="C114" s="85" t="s">
        <v>1172</v>
      </c>
      <c r="D114" s="87" t="s">
        <v>701</v>
      </c>
      <c r="E114" s="89" t="s">
        <v>494</v>
      </c>
      <c r="F114" s="89">
        <v>1</v>
      </c>
      <c r="G114" s="89">
        <v>9888</v>
      </c>
      <c r="H114" s="89">
        <v>9888</v>
      </c>
      <c r="I114" s="89">
        <v>1</v>
      </c>
    </row>
    <row r="115" spans="1:9">
      <c r="A115" s="85" t="s">
        <v>2171</v>
      </c>
      <c r="B115" s="86"/>
      <c r="C115" s="86"/>
      <c r="D115" s="87" t="s">
        <v>702</v>
      </c>
      <c r="E115" s="88"/>
      <c r="F115" s="89">
        <v>0</v>
      </c>
      <c r="G115" s="89">
        <v>0</v>
      </c>
      <c r="H115" s="89">
        <v>0</v>
      </c>
      <c r="I115" s="89">
        <v>0</v>
      </c>
    </row>
    <row r="116" ht="25.5" spans="1:9">
      <c r="A116" s="85" t="s">
        <v>2172</v>
      </c>
      <c r="B116" s="85" t="s">
        <v>703</v>
      </c>
      <c r="C116" s="85" t="s">
        <v>1165</v>
      </c>
      <c r="D116" s="87" t="s">
        <v>1166</v>
      </c>
      <c r="E116" s="89" t="s">
        <v>112</v>
      </c>
      <c r="F116" s="89">
        <v>14.55</v>
      </c>
      <c r="G116" s="89">
        <v>700</v>
      </c>
      <c r="H116" s="89">
        <v>10185</v>
      </c>
      <c r="I116" s="89">
        <v>14.55</v>
      </c>
    </row>
    <row r="117" spans="1:9">
      <c r="A117" s="85" t="s">
        <v>2173</v>
      </c>
      <c r="B117" s="86"/>
      <c r="C117" s="86"/>
      <c r="D117" s="87" t="s">
        <v>705</v>
      </c>
      <c r="E117" s="88"/>
      <c r="F117" s="89">
        <v>0</v>
      </c>
      <c r="G117" s="89">
        <v>0</v>
      </c>
      <c r="H117" s="89">
        <v>0</v>
      </c>
      <c r="I117" s="89">
        <v>0</v>
      </c>
    </row>
    <row r="118" ht="38.25" spans="1:9">
      <c r="A118" s="85" t="s">
        <v>2174</v>
      </c>
      <c r="B118" s="85" t="s">
        <v>706</v>
      </c>
      <c r="C118" s="85" t="s">
        <v>1268</v>
      </c>
      <c r="D118" s="87" t="s">
        <v>707</v>
      </c>
      <c r="E118" s="89" t="s">
        <v>476</v>
      </c>
      <c r="F118" s="89">
        <v>7.9</v>
      </c>
      <c r="G118" s="89">
        <v>540.12</v>
      </c>
      <c r="H118" s="89">
        <v>4266.94</v>
      </c>
      <c r="I118" s="89">
        <v>7.9</v>
      </c>
    </row>
    <row r="119" ht="38.25" spans="1:9">
      <c r="A119" s="85" t="s">
        <v>2175</v>
      </c>
      <c r="B119" s="85" t="s">
        <v>708</v>
      </c>
      <c r="C119" s="85" t="s">
        <v>1076</v>
      </c>
      <c r="D119" s="87" t="s">
        <v>709</v>
      </c>
      <c r="E119" s="89" t="s">
        <v>476</v>
      </c>
      <c r="F119" s="89">
        <v>49.7</v>
      </c>
      <c r="G119" s="89">
        <v>526.43</v>
      </c>
      <c r="H119" s="89">
        <v>26163.57</v>
      </c>
      <c r="I119" s="89">
        <v>49.7</v>
      </c>
    </row>
    <row r="120" ht="38.25" spans="1:9">
      <c r="A120" s="85" t="s">
        <v>2176</v>
      </c>
      <c r="B120" s="85" t="s">
        <v>710</v>
      </c>
      <c r="C120" s="85" t="s">
        <v>1226</v>
      </c>
      <c r="D120" s="87" t="s">
        <v>711</v>
      </c>
      <c r="E120" s="89" t="s">
        <v>494</v>
      </c>
      <c r="F120" s="89">
        <v>1</v>
      </c>
      <c r="G120" s="89">
        <v>6449.46</v>
      </c>
      <c r="H120" s="89">
        <v>6449.46</v>
      </c>
      <c r="I120" s="89">
        <v>1</v>
      </c>
    </row>
    <row r="121" ht="38.25" spans="1:9">
      <c r="A121" s="85" t="s">
        <v>2177</v>
      </c>
      <c r="B121" s="85" t="s">
        <v>712</v>
      </c>
      <c r="C121" s="85" t="s">
        <v>1214</v>
      </c>
      <c r="D121" s="87" t="s">
        <v>713</v>
      </c>
      <c r="E121" s="89" t="s">
        <v>112</v>
      </c>
      <c r="F121" s="89">
        <v>36</v>
      </c>
      <c r="G121" s="89">
        <v>186.1</v>
      </c>
      <c r="H121" s="89">
        <v>6699.6</v>
      </c>
      <c r="I121" s="89">
        <v>36</v>
      </c>
    </row>
    <row r="122" ht="38.25" spans="1:9">
      <c r="A122" s="85" t="s">
        <v>2178</v>
      </c>
      <c r="B122" s="85" t="s">
        <v>714</v>
      </c>
      <c r="C122" s="85" t="s">
        <v>1099</v>
      </c>
      <c r="D122" s="87" t="s">
        <v>715</v>
      </c>
      <c r="E122" s="89" t="s">
        <v>466</v>
      </c>
      <c r="F122" s="89">
        <v>51</v>
      </c>
      <c r="G122" s="89">
        <v>400</v>
      </c>
      <c r="H122" s="89">
        <v>20400</v>
      </c>
      <c r="I122" s="89">
        <v>51</v>
      </c>
    </row>
    <row r="123" ht="38.25" spans="1:9">
      <c r="A123" s="85" t="s">
        <v>2179</v>
      </c>
      <c r="B123" s="85" t="s">
        <v>716</v>
      </c>
      <c r="C123" s="85" t="s">
        <v>1440</v>
      </c>
      <c r="D123" s="87" t="s">
        <v>717</v>
      </c>
      <c r="E123" s="89" t="s">
        <v>466</v>
      </c>
      <c r="F123" s="89">
        <v>2.25</v>
      </c>
      <c r="G123" s="89">
        <v>552.93</v>
      </c>
      <c r="H123" s="89">
        <v>1244.09</v>
      </c>
      <c r="I123" s="89">
        <v>2.25</v>
      </c>
    </row>
    <row r="124" spans="1:9">
      <c r="A124" s="85" t="s">
        <v>2180</v>
      </c>
      <c r="B124" s="86"/>
      <c r="C124" s="86"/>
      <c r="D124" s="87" t="s">
        <v>718</v>
      </c>
      <c r="E124" s="88"/>
      <c r="F124" s="89">
        <v>0</v>
      </c>
      <c r="G124" s="89">
        <v>0</v>
      </c>
      <c r="H124" s="89">
        <v>0</v>
      </c>
      <c r="I124" s="89">
        <v>0</v>
      </c>
    </row>
    <row r="125" spans="1:9">
      <c r="A125" s="85" t="s">
        <v>2181</v>
      </c>
      <c r="B125" s="86"/>
      <c r="C125" s="86"/>
      <c r="D125" s="87" t="s">
        <v>719</v>
      </c>
      <c r="E125" s="88"/>
      <c r="F125" s="89">
        <v>0</v>
      </c>
      <c r="G125" s="89">
        <v>0</v>
      </c>
      <c r="H125" s="89">
        <v>0</v>
      </c>
      <c r="I125" s="89">
        <v>0</v>
      </c>
    </row>
    <row r="126" ht="51" spans="1:9">
      <c r="A126" s="85" t="s">
        <v>2182</v>
      </c>
      <c r="B126" s="85" t="s">
        <v>1290</v>
      </c>
      <c r="C126" s="85" t="s">
        <v>1289</v>
      </c>
      <c r="D126" s="87" t="s">
        <v>720</v>
      </c>
      <c r="E126" s="89" t="s">
        <v>494</v>
      </c>
      <c r="F126" s="89">
        <v>12</v>
      </c>
      <c r="G126" s="89">
        <v>328.53</v>
      </c>
      <c r="H126" s="89">
        <v>3942.36</v>
      </c>
      <c r="I126" s="89">
        <v>12</v>
      </c>
    </row>
    <row r="127" ht="38.25" spans="1:9">
      <c r="A127" s="85" t="s">
        <v>2183</v>
      </c>
      <c r="B127" s="85" t="s">
        <v>1344</v>
      </c>
      <c r="C127" s="85" t="s">
        <v>1343</v>
      </c>
      <c r="D127" s="87" t="s">
        <v>721</v>
      </c>
      <c r="E127" s="89" t="s">
        <v>494</v>
      </c>
      <c r="F127" s="89">
        <v>12</v>
      </c>
      <c r="G127" s="89">
        <v>211.2</v>
      </c>
      <c r="H127" s="89">
        <v>2534.4</v>
      </c>
      <c r="I127" s="89">
        <v>12</v>
      </c>
    </row>
    <row r="128" ht="25.5" spans="1:9">
      <c r="A128" s="85" t="s">
        <v>2184</v>
      </c>
      <c r="B128" s="85" t="s">
        <v>1326</v>
      </c>
      <c r="C128" s="85" t="s">
        <v>1325</v>
      </c>
      <c r="D128" s="87" t="s">
        <v>722</v>
      </c>
      <c r="E128" s="89" t="s">
        <v>494</v>
      </c>
      <c r="F128" s="89">
        <v>12</v>
      </c>
      <c r="G128" s="89">
        <v>222.93</v>
      </c>
      <c r="H128" s="89">
        <v>2675.16</v>
      </c>
      <c r="I128" s="89">
        <v>12</v>
      </c>
    </row>
    <row r="129" ht="38.25" spans="1:9">
      <c r="A129" s="85" t="s">
        <v>2185</v>
      </c>
      <c r="B129" s="85" t="s">
        <v>723</v>
      </c>
      <c r="C129" s="85" t="s">
        <v>1318</v>
      </c>
      <c r="D129" s="87" t="s">
        <v>724</v>
      </c>
      <c r="E129" s="89" t="s">
        <v>476</v>
      </c>
      <c r="F129" s="89">
        <v>58</v>
      </c>
      <c r="G129" s="89">
        <v>49.35</v>
      </c>
      <c r="H129" s="89">
        <v>2862.3</v>
      </c>
      <c r="I129" s="89">
        <v>58</v>
      </c>
    </row>
    <row r="130" spans="1:9">
      <c r="A130" s="85" t="s">
        <v>2186</v>
      </c>
      <c r="B130" s="86"/>
      <c r="C130" s="86"/>
      <c r="D130" s="87" t="s">
        <v>725</v>
      </c>
      <c r="E130" s="88"/>
      <c r="F130" s="89">
        <v>0</v>
      </c>
      <c r="G130" s="89">
        <v>0</v>
      </c>
      <c r="H130" s="89">
        <v>0</v>
      </c>
      <c r="I130" s="89">
        <v>0</v>
      </c>
    </row>
    <row r="131" spans="1:9">
      <c r="A131" s="85" t="s">
        <v>2187</v>
      </c>
      <c r="B131" s="86"/>
      <c r="C131" s="86"/>
      <c r="D131" s="87" t="s">
        <v>726</v>
      </c>
      <c r="E131" s="88"/>
      <c r="F131" s="89">
        <v>0</v>
      </c>
      <c r="G131" s="89">
        <v>0</v>
      </c>
      <c r="H131" s="89">
        <v>0</v>
      </c>
      <c r="I131" s="89">
        <v>0</v>
      </c>
    </row>
    <row r="132" ht="38.25" spans="1:9">
      <c r="A132" s="85" t="s">
        <v>2188</v>
      </c>
      <c r="B132" s="85" t="s">
        <v>1146</v>
      </c>
      <c r="C132" s="85" t="s">
        <v>1145</v>
      </c>
      <c r="D132" s="87" t="s">
        <v>727</v>
      </c>
      <c r="E132" s="89" t="s">
        <v>494</v>
      </c>
      <c r="F132" s="89">
        <v>1</v>
      </c>
      <c r="G132" s="89">
        <v>12658</v>
      </c>
      <c r="H132" s="89">
        <v>12658</v>
      </c>
      <c r="I132" s="89">
        <v>1</v>
      </c>
    </row>
    <row r="133" spans="1:9">
      <c r="A133" s="85" t="s">
        <v>2189</v>
      </c>
      <c r="B133" s="86"/>
      <c r="C133" s="86"/>
      <c r="D133" s="87" t="s">
        <v>596</v>
      </c>
      <c r="E133" s="88"/>
      <c r="F133" s="89">
        <v>0</v>
      </c>
      <c r="G133" s="89">
        <v>0</v>
      </c>
      <c r="H133" s="89">
        <v>0</v>
      </c>
      <c r="I133" s="89">
        <v>0</v>
      </c>
    </row>
    <row r="134" spans="1:9">
      <c r="A134" s="85" t="s">
        <v>2190</v>
      </c>
      <c r="B134" s="86"/>
      <c r="C134" s="86"/>
      <c r="D134" s="87" t="s">
        <v>596</v>
      </c>
      <c r="E134" s="88"/>
      <c r="F134" s="89">
        <v>0</v>
      </c>
      <c r="G134" s="89">
        <v>0</v>
      </c>
      <c r="H134" s="89">
        <v>0</v>
      </c>
      <c r="I134" s="89">
        <v>0</v>
      </c>
    </row>
    <row r="135" ht="25.5" spans="1:9">
      <c r="A135" s="85" t="s">
        <v>2191</v>
      </c>
      <c r="B135" s="85" t="s">
        <v>2192</v>
      </c>
      <c r="C135" s="85" t="s">
        <v>2192</v>
      </c>
      <c r="D135" s="87" t="s">
        <v>2193</v>
      </c>
      <c r="E135" s="89" t="s">
        <v>494</v>
      </c>
      <c r="F135" s="89">
        <v>1</v>
      </c>
      <c r="G135" s="89">
        <v>538274.71</v>
      </c>
      <c r="H135" s="89">
        <v>538274.71</v>
      </c>
      <c r="I135" s="89">
        <v>1</v>
      </c>
    </row>
    <row r="136" spans="1:9">
      <c r="A136" s="86"/>
      <c r="B136" s="86"/>
      <c r="C136" s="86"/>
      <c r="D136" s="87" t="s">
        <v>2194</v>
      </c>
      <c r="E136" s="88"/>
      <c r="F136" s="88"/>
      <c r="G136" s="88"/>
      <c r="H136" s="88"/>
      <c r="I136" s="88"/>
    </row>
    <row r="137" spans="1:9">
      <c r="A137" s="90"/>
      <c r="B137" s="91" t="s">
        <v>1007</v>
      </c>
      <c r="C137" s="91" t="s">
        <v>1048</v>
      </c>
      <c r="D137" s="92" t="s">
        <v>1049</v>
      </c>
      <c r="E137" s="93" t="s">
        <v>839</v>
      </c>
      <c r="F137" s="93">
        <v>1</v>
      </c>
      <c r="G137" s="93">
        <v>1.5</v>
      </c>
      <c r="H137" s="93">
        <v>9720</v>
      </c>
      <c r="I137" s="93">
        <v>1</v>
      </c>
    </row>
    <row r="138" spans="1:9">
      <c r="A138" s="90"/>
      <c r="B138" s="91" t="s">
        <v>1007</v>
      </c>
      <c r="C138" s="91" t="s">
        <v>1006</v>
      </c>
      <c r="D138" s="92" t="s">
        <v>1008</v>
      </c>
      <c r="E138" s="93" t="s">
        <v>839</v>
      </c>
      <c r="F138" s="93">
        <v>6480</v>
      </c>
      <c r="G138" s="93">
        <v>3.95</v>
      </c>
      <c r="H138" s="93">
        <v>25596</v>
      </c>
      <c r="I138" s="93">
        <v>6480</v>
      </c>
    </row>
    <row r="139" spans="1:9">
      <c r="A139" s="90"/>
      <c r="B139" s="91" t="s">
        <v>1143</v>
      </c>
      <c r="C139" s="91" t="s">
        <v>1215</v>
      </c>
      <c r="D139" s="92" t="s">
        <v>1216</v>
      </c>
      <c r="E139" s="93" t="s">
        <v>598</v>
      </c>
      <c r="F139" s="93">
        <v>9</v>
      </c>
      <c r="G139" s="93">
        <v>744.3</v>
      </c>
      <c r="H139" s="93">
        <v>6698.7</v>
      </c>
      <c r="I139" s="93">
        <v>9</v>
      </c>
    </row>
    <row r="140" spans="1:9">
      <c r="A140" s="90"/>
      <c r="B140" s="91" t="s">
        <v>996</v>
      </c>
      <c r="C140" s="91" t="s">
        <v>1042</v>
      </c>
      <c r="D140" s="92" t="s">
        <v>1043</v>
      </c>
      <c r="E140" s="93" t="s">
        <v>598</v>
      </c>
      <c r="F140" s="93">
        <v>8.03064</v>
      </c>
      <c r="G140" s="93">
        <v>6185.38</v>
      </c>
      <c r="H140" s="93">
        <v>49672.5600432</v>
      </c>
      <c r="I140" s="93">
        <v>8.03064</v>
      </c>
    </row>
    <row r="141" spans="1:9">
      <c r="A141" s="90"/>
      <c r="B141" s="91" t="s">
        <v>1085</v>
      </c>
      <c r="C141" s="91" t="s">
        <v>1084</v>
      </c>
      <c r="D141" s="92" t="s">
        <v>1086</v>
      </c>
      <c r="E141" s="93" t="s">
        <v>598</v>
      </c>
      <c r="F141" s="93">
        <v>9.07821</v>
      </c>
      <c r="G141" s="93">
        <v>2583.48</v>
      </c>
      <c r="H141" s="93">
        <v>23453.3739708</v>
      </c>
      <c r="I141" s="93">
        <v>9.07821</v>
      </c>
    </row>
    <row r="142" spans="1:9">
      <c r="A142" s="90"/>
      <c r="B142" s="91" t="s">
        <v>996</v>
      </c>
      <c r="C142" s="91" t="s">
        <v>1058</v>
      </c>
      <c r="D142" s="92" t="s">
        <v>1059</v>
      </c>
      <c r="E142" s="93" t="s">
        <v>598</v>
      </c>
      <c r="F142" s="93">
        <v>9.14373</v>
      </c>
      <c r="G142" s="93">
        <v>3890.2</v>
      </c>
      <c r="H142" s="93">
        <v>35570.938446</v>
      </c>
      <c r="I142" s="93">
        <v>9.14373</v>
      </c>
    </row>
    <row r="143" spans="1:9">
      <c r="A143" s="90"/>
      <c r="B143" s="91" t="s">
        <v>996</v>
      </c>
      <c r="C143" s="91" t="s">
        <v>995</v>
      </c>
      <c r="D143" s="92" t="s">
        <v>997</v>
      </c>
      <c r="E143" s="93" t="s">
        <v>598</v>
      </c>
      <c r="F143" s="93">
        <v>4.55004</v>
      </c>
      <c r="G143" s="93">
        <v>25988.71</v>
      </c>
      <c r="H143" s="93">
        <v>118249.6700484</v>
      </c>
      <c r="I143" s="93">
        <v>4.55004</v>
      </c>
    </row>
    <row r="144" spans="1:9">
      <c r="A144" s="90"/>
      <c r="B144" s="91" t="s">
        <v>1007</v>
      </c>
      <c r="C144" s="91" t="s">
        <v>1378</v>
      </c>
      <c r="D144" s="92" t="s">
        <v>1379</v>
      </c>
      <c r="E144" s="93" t="s">
        <v>839</v>
      </c>
      <c r="F144" s="93">
        <v>6480</v>
      </c>
      <c r="G144" s="93">
        <v>0.08</v>
      </c>
      <c r="H144" s="93">
        <v>518.4</v>
      </c>
      <c r="I144" s="93">
        <v>6480</v>
      </c>
    </row>
    <row r="145" spans="1:9">
      <c r="A145" s="90"/>
      <c r="B145" s="91" t="s">
        <v>1023</v>
      </c>
      <c r="C145" s="91" t="s">
        <v>1070</v>
      </c>
      <c r="D145" s="92" t="s">
        <v>1071</v>
      </c>
      <c r="E145" s="93" t="s">
        <v>598</v>
      </c>
      <c r="F145" s="93">
        <v>9.12186</v>
      </c>
      <c r="G145" s="93">
        <v>3073.75</v>
      </c>
      <c r="H145" s="93">
        <v>28038.317175</v>
      </c>
      <c r="I145" s="93">
        <v>9.12186</v>
      </c>
    </row>
    <row r="146" spans="1:9">
      <c r="A146" s="90"/>
      <c r="B146" s="91" t="s">
        <v>1023</v>
      </c>
      <c r="C146" s="91" t="s">
        <v>1022</v>
      </c>
      <c r="D146" s="92" t="s">
        <v>1024</v>
      </c>
      <c r="E146" s="93" t="s">
        <v>598</v>
      </c>
      <c r="F146" s="93">
        <v>9.12186</v>
      </c>
      <c r="G146" s="93">
        <v>8754.42</v>
      </c>
      <c r="H146" s="93">
        <v>79856.5936212</v>
      </c>
      <c r="I146" s="93">
        <v>9.12186</v>
      </c>
    </row>
    <row r="147" spans="1:9">
      <c r="A147" s="90"/>
      <c r="B147" s="91" t="s">
        <v>999</v>
      </c>
      <c r="C147" s="91" t="s">
        <v>998</v>
      </c>
      <c r="D147" s="92" t="s">
        <v>1000</v>
      </c>
      <c r="E147" s="93" t="s">
        <v>839</v>
      </c>
      <c r="F147" s="93">
        <v>7218.67999572</v>
      </c>
      <c r="G147" s="93">
        <v>15.46</v>
      </c>
      <c r="H147" s="93">
        <v>111600.792733831</v>
      </c>
      <c r="I147" s="93">
        <v>7218.67999572</v>
      </c>
    </row>
    <row r="148" ht="25.5" spans="1:9">
      <c r="A148" s="90"/>
      <c r="B148" s="91" t="s">
        <v>1111</v>
      </c>
      <c r="C148" s="91" t="s">
        <v>1280</v>
      </c>
      <c r="D148" s="92" t="s">
        <v>1281</v>
      </c>
      <c r="E148" s="93" t="s">
        <v>598</v>
      </c>
      <c r="F148" s="93">
        <v>26</v>
      </c>
      <c r="G148" s="93">
        <v>153.54</v>
      </c>
      <c r="H148" s="93">
        <v>3992.04</v>
      </c>
      <c r="I148" s="93">
        <v>26</v>
      </c>
    </row>
    <row r="149" ht="25.5" spans="1:9">
      <c r="A149" s="90"/>
      <c r="B149" s="91" t="s">
        <v>1111</v>
      </c>
      <c r="C149" s="91" t="s">
        <v>1371</v>
      </c>
      <c r="D149" s="92" t="s">
        <v>1372</v>
      </c>
      <c r="E149" s="93" t="s">
        <v>598</v>
      </c>
      <c r="F149" s="93">
        <v>9</v>
      </c>
      <c r="G149" s="93">
        <v>241.99</v>
      </c>
      <c r="H149" s="93">
        <v>2177.91</v>
      </c>
      <c r="I149" s="93">
        <v>9</v>
      </c>
    </row>
    <row r="150" ht="25.5" spans="1:9">
      <c r="A150" s="90"/>
      <c r="B150" s="91" t="s">
        <v>1111</v>
      </c>
      <c r="C150" s="91" t="s">
        <v>1510</v>
      </c>
      <c r="D150" s="92" t="s">
        <v>1511</v>
      </c>
      <c r="E150" s="93" t="s">
        <v>598</v>
      </c>
      <c r="F150" s="93">
        <v>4.5</v>
      </c>
      <c r="G150" s="93">
        <v>146</v>
      </c>
      <c r="H150" s="93">
        <v>657</v>
      </c>
      <c r="I150" s="93">
        <v>4.5</v>
      </c>
    </row>
    <row r="151" ht="25.5" spans="1:9">
      <c r="A151" s="90"/>
      <c r="B151" s="91" t="s">
        <v>1111</v>
      </c>
      <c r="C151" s="91" t="s">
        <v>1110</v>
      </c>
      <c r="D151" s="92" t="s">
        <v>1112</v>
      </c>
      <c r="E151" s="93" t="s">
        <v>839</v>
      </c>
      <c r="F151" s="93">
        <v>6480</v>
      </c>
      <c r="G151" s="93">
        <v>1.39</v>
      </c>
      <c r="H151" s="93">
        <v>9007.2</v>
      </c>
      <c r="I151" s="93">
        <v>6480</v>
      </c>
    </row>
    <row r="152" ht="25.5" spans="1:9">
      <c r="A152" s="90"/>
      <c r="B152" s="91" t="s">
        <v>1359</v>
      </c>
      <c r="C152" s="91" t="s">
        <v>1358</v>
      </c>
      <c r="D152" s="92" t="s">
        <v>1360</v>
      </c>
      <c r="E152" s="93" t="s">
        <v>598</v>
      </c>
      <c r="F152" s="93">
        <v>9</v>
      </c>
      <c r="G152" s="93">
        <v>261.93</v>
      </c>
      <c r="H152" s="93">
        <v>2357.37</v>
      </c>
      <c r="I152" s="93">
        <v>9</v>
      </c>
    </row>
    <row r="153" spans="1:9">
      <c r="A153" s="90"/>
      <c r="B153" s="91" t="s">
        <v>1007</v>
      </c>
      <c r="C153" s="91" t="s">
        <v>1050</v>
      </c>
      <c r="D153" s="92" t="s">
        <v>1051</v>
      </c>
      <c r="E153" s="93" t="s">
        <v>839</v>
      </c>
      <c r="F153" s="93">
        <v>6480</v>
      </c>
      <c r="G153" s="93">
        <v>1.43</v>
      </c>
      <c r="H153" s="93">
        <v>9266.4</v>
      </c>
      <c r="I153" s="93">
        <v>6480</v>
      </c>
    </row>
    <row r="154" spans="1:9">
      <c r="A154" s="90"/>
      <c r="B154" s="91" t="s">
        <v>1143</v>
      </c>
      <c r="C154" s="91" t="s">
        <v>1142</v>
      </c>
      <c r="D154" s="92" t="s">
        <v>1144</v>
      </c>
      <c r="E154" s="93" t="s">
        <v>598</v>
      </c>
      <c r="F154" s="93">
        <v>48.5</v>
      </c>
      <c r="G154" s="93">
        <v>270.51</v>
      </c>
      <c r="H154" s="93">
        <v>13119.735</v>
      </c>
      <c r="I154" s="93">
        <v>48.5</v>
      </c>
    </row>
    <row r="155" ht="25.5" spans="1:9">
      <c r="A155" s="90"/>
      <c r="B155" s="91" t="s">
        <v>1111</v>
      </c>
      <c r="C155" s="91" t="s">
        <v>1569</v>
      </c>
      <c r="D155" s="92" t="s">
        <v>1570</v>
      </c>
      <c r="E155" s="93" t="s">
        <v>598</v>
      </c>
      <c r="F155" s="93">
        <v>26</v>
      </c>
      <c r="G155" s="93">
        <v>11.14</v>
      </c>
      <c r="H155" s="93">
        <v>289.64</v>
      </c>
      <c r="I155" s="93">
        <v>26</v>
      </c>
    </row>
    <row r="156" ht="25.5" spans="1:9">
      <c r="A156" s="90"/>
      <c r="B156" s="91" t="s">
        <v>1111</v>
      </c>
      <c r="C156" s="91" t="s">
        <v>1627</v>
      </c>
      <c r="D156" s="92" t="s">
        <v>1628</v>
      </c>
      <c r="E156" s="93" t="s">
        <v>598</v>
      </c>
      <c r="F156" s="93">
        <v>9</v>
      </c>
      <c r="G156" s="93">
        <v>15.46</v>
      </c>
      <c r="H156" s="93">
        <v>139.14</v>
      </c>
      <c r="I156" s="93">
        <v>9</v>
      </c>
    </row>
    <row r="157" ht="25.5" spans="1:9">
      <c r="A157" s="90"/>
      <c r="B157" s="91" t="s">
        <v>1111</v>
      </c>
      <c r="C157" s="91" t="s">
        <v>1786</v>
      </c>
      <c r="D157" s="92" t="s">
        <v>1787</v>
      </c>
      <c r="E157" s="93" t="s">
        <v>598</v>
      </c>
      <c r="F157" s="93">
        <v>4.5</v>
      </c>
      <c r="G157" s="93">
        <v>2.35</v>
      </c>
      <c r="H157" s="93">
        <v>10.575</v>
      </c>
      <c r="I157" s="93">
        <v>4.5</v>
      </c>
    </row>
    <row r="158" ht="25.5" spans="1:9">
      <c r="A158" s="90"/>
      <c r="B158" s="91" t="s">
        <v>1111</v>
      </c>
      <c r="C158" s="91" t="s">
        <v>1195</v>
      </c>
      <c r="D158" s="92" t="s">
        <v>1196</v>
      </c>
      <c r="E158" s="93" t="s">
        <v>839</v>
      </c>
      <c r="F158" s="93">
        <v>6480</v>
      </c>
      <c r="G158" s="93">
        <v>0.61</v>
      </c>
      <c r="H158" s="93">
        <v>3952.8</v>
      </c>
      <c r="I158" s="93">
        <v>6480</v>
      </c>
    </row>
    <row r="159" ht="25.5" spans="1:9">
      <c r="A159" s="90"/>
      <c r="B159" s="91" t="s">
        <v>1111</v>
      </c>
      <c r="C159" s="91" t="s">
        <v>1468</v>
      </c>
      <c r="D159" s="92" t="s">
        <v>1469</v>
      </c>
      <c r="E159" s="93" t="s">
        <v>598</v>
      </c>
      <c r="F159" s="93">
        <v>9</v>
      </c>
      <c r="G159" s="93">
        <v>114.77</v>
      </c>
      <c r="H159" s="93">
        <v>1032.93</v>
      </c>
      <c r="I159" s="93">
        <v>9</v>
      </c>
    </row>
    <row r="160" spans="1:9">
      <c r="A160" s="90"/>
      <c r="B160" s="91" t="s">
        <v>1143</v>
      </c>
      <c r="C160" s="91" t="s">
        <v>1503</v>
      </c>
      <c r="D160" s="92" t="s">
        <v>1504</v>
      </c>
      <c r="E160" s="93" t="s">
        <v>598</v>
      </c>
      <c r="F160" s="93">
        <v>48.5</v>
      </c>
      <c r="G160" s="93">
        <v>15.46</v>
      </c>
      <c r="H160" s="93">
        <v>749.81</v>
      </c>
      <c r="I160" s="93">
        <v>48.5</v>
      </c>
    </row>
    <row r="161" spans="1:9">
      <c r="A161" s="90"/>
      <c r="B161" s="91" t="s">
        <v>1143</v>
      </c>
      <c r="C161" s="91" t="s">
        <v>1341</v>
      </c>
      <c r="D161" s="92" t="s">
        <v>1342</v>
      </c>
      <c r="E161" s="93" t="s">
        <v>598</v>
      </c>
      <c r="F161" s="93">
        <v>9</v>
      </c>
      <c r="G161" s="93">
        <v>282.98</v>
      </c>
      <c r="H161" s="93">
        <v>2546.82</v>
      </c>
      <c r="I161" s="93">
        <v>9</v>
      </c>
    </row>
    <row r="162" spans="1:9">
      <c r="A162" s="85" t="s">
        <v>2195</v>
      </c>
      <c r="B162" s="86"/>
      <c r="C162" s="86"/>
      <c r="D162" s="87" t="s">
        <v>729</v>
      </c>
      <c r="E162" s="88"/>
      <c r="F162" s="89">
        <v>0</v>
      </c>
      <c r="G162" s="89">
        <v>0</v>
      </c>
      <c r="H162" s="89">
        <v>0</v>
      </c>
      <c r="I162" s="89">
        <v>0</v>
      </c>
    </row>
    <row r="163" ht="38.25" spans="1:9">
      <c r="A163" s="85" t="s">
        <v>2196</v>
      </c>
      <c r="B163" s="85" t="s">
        <v>730</v>
      </c>
      <c r="C163" s="85" t="s">
        <v>730</v>
      </c>
      <c r="D163" s="87" t="s">
        <v>731</v>
      </c>
      <c r="E163" s="89" t="s">
        <v>466</v>
      </c>
      <c r="F163" s="89">
        <v>18.31</v>
      </c>
      <c r="G163" s="89">
        <v>8.31</v>
      </c>
      <c r="H163" s="89">
        <v>152.15</v>
      </c>
      <c r="I163" s="89">
        <v>18.31</v>
      </c>
    </row>
    <row r="164" ht="25.5" spans="1:9">
      <c r="A164" s="90"/>
      <c r="B164" s="91" t="s">
        <v>1911</v>
      </c>
      <c r="C164" s="91" t="s">
        <v>1911</v>
      </c>
      <c r="D164" s="92" t="s">
        <v>1912</v>
      </c>
      <c r="E164" s="93" t="s">
        <v>112</v>
      </c>
      <c r="F164" s="93">
        <v>1e-5</v>
      </c>
      <c r="G164" s="93">
        <v>32.88</v>
      </c>
      <c r="H164" s="93">
        <v>0</v>
      </c>
      <c r="I164" s="93">
        <v>0.0001831</v>
      </c>
    </row>
    <row r="165" spans="1:9">
      <c r="A165" s="90"/>
      <c r="B165" s="91" t="s">
        <v>1625</v>
      </c>
      <c r="C165" s="91" t="s">
        <v>1625</v>
      </c>
      <c r="D165" s="92" t="s">
        <v>1626</v>
      </c>
      <c r="E165" s="93" t="s">
        <v>215</v>
      </c>
      <c r="F165" s="93">
        <v>0.08333</v>
      </c>
      <c r="G165" s="93">
        <v>92.22</v>
      </c>
      <c r="H165" s="93">
        <v>7.68</v>
      </c>
      <c r="I165" s="93">
        <v>1.5257723</v>
      </c>
    </row>
    <row r="166" ht="25.5" spans="1:9">
      <c r="A166" s="90"/>
      <c r="B166" s="91" t="s">
        <v>1734</v>
      </c>
      <c r="C166" s="91" t="s">
        <v>1854</v>
      </c>
      <c r="D166" s="92" t="s">
        <v>1855</v>
      </c>
      <c r="E166" s="93" t="s">
        <v>494</v>
      </c>
      <c r="F166" s="93">
        <v>1</v>
      </c>
      <c r="G166" s="93">
        <v>570622.72</v>
      </c>
      <c r="H166" s="93">
        <v>0.000627366838124095</v>
      </c>
      <c r="I166" s="93">
        <v>18.31</v>
      </c>
    </row>
    <row r="167" spans="1:9">
      <c r="A167" s="90"/>
      <c r="B167" s="91" t="s">
        <v>1884</v>
      </c>
      <c r="C167" s="91" t="s">
        <v>1907</v>
      </c>
      <c r="D167" s="92" t="s">
        <v>1908</v>
      </c>
      <c r="E167" s="93" t="s">
        <v>494</v>
      </c>
      <c r="F167" s="93">
        <v>1</v>
      </c>
      <c r="G167" s="93">
        <v>2251.35</v>
      </c>
      <c r="H167" s="93">
        <v>0.00208658981226546</v>
      </c>
      <c r="I167" s="93">
        <v>18.31</v>
      </c>
    </row>
    <row r="168" spans="1:9">
      <c r="A168" s="90"/>
      <c r="B168" s="91" t="s">
        <v>1007</v>
      </c>
      <c r="C168" s="91" t="s">
        <v>1048</v>
      </c>
      <c r="D168" s="92" t="s">
        <v>1049</v>
      </c>
      <c r="E168" s="93" t="s">
        <v>839</v>
      </c>
      <c r="F168" s="93">
        <v>1</v>
      </c>
      <c r="G168" s="93">
        <v>1.5</v>
      </c>
      <c r="H168" s="93">
        <v>0.031401890673</v>
      </c>
      <c r="I168" s="93">
        <v>18.31</v>
      </c>
    </row>
    <row r="169" spans="1:9">
      <c r="A169" s="90"/>
      <c r="B169" s="91" t="s">
        <v>1549</v>
      </c>
      <c r="C169" s="91" t="s">
        <v>1548</v>
      </c>
      <c r="D169" s="92" t="s">
        <v>1550</v>
      </c>
      <c r="E169" s="93" t="s">
        <v>839</v>
      </c>
      <c r="F169" s="93">
        <v>0.0070367982408</v>
      </c>
      <c r="G169" s="93">
        <v>15.27</v>
      </c>
      <c r="H169" s="93">
        <v>0.107451909137016</v>
      </c>
      <c r="I169" s="93">
        <v>0.128843775789048</v>
      </c>
    </row>
    <row r="170" spans="1:9">
      <c r="A170" s="90"/>
      <c r="B170" s="91" t="s">
        <v>1007</v>
      </c>
      <c r="C170" s="91" t="s">
        <v>1006</v>
      </c>
      <c r="D170" s="92" t="s">
        <v>1008</v>
      </c>
      <c r="E170" s="93" t="s">
        <v>839</v>
      </c>
      <c r="F170" s="93">
        <v>0.020934593782</v>
      </c>
      <c r="G170" s="93">
        <v>3.95</v>
      </c>
      <c r="H170" s="93">
        <v>0.0826916454389</v>
      </c>
      <c r="I170" s="93">
        <v>0.38331241214842</v>
      </c>
    </row>
    <row r="171" spans="1:9">
      <c r="A171" s="90"/>
      <c r="B171" s="91" t="s">
        <v>1023</v>
      </c>
      <c r="C171" s="91" t="s">
        <v>1436</v>
      </c>
      <c r="D171" s="92" t="s">
        <v>1437</v>
      </c>
      <c r="E171" s="93" t="s">
        <v>839</v>
      </c>
      <c r="F171" s="93">
        <v>9.337828346055e-6</v>
      </c>
      <c r="G171" s="93">
        <v>21.83</v>
      </c>
      <c r="H171" s="93">
        <v>0.000203844792794381</v>
      </c>
      <c r="I171" s="93">
        <v>0.000170975637016267</v>
      </c>
    </row>
    <row r="172" spans="1:9">
      <c r="A172" s="90"/>
      <c r="B172" s="91" t="s">
        <v>1108</v>
      </c>
      <c r="C172" s="91" t="s">
        <v>1127</v>
      </c>
      <c r="D172" s="92" t="s">
        <v>1128</v>
      </c>
      <c r="E172" s="93" t="s">
        <v>839</v>
      </c>
      <c r="F172" s="93">
        <v>0.0070367982408</v>
      </c>
      <c r="G172" s="93">
        <v>18</v>
      </c>
      <c r="H172" s="93">
        <v>0.1266623683344</v>
      </c>
      <c r="I172" s="93">
        <v>0.128843775789048</v>
      </c>
    </row>
    <row r="173" spans="1:9">
      <c r="A173" s="90"/>
      <c r="B173" s="91" t="s">
        <v>1620</v>
      </c>
      <c r="C173" s="91" t="s">
        <v>1619</v>
      </c>
      <c r="D173" s="92" t="s">
        <v>1621</v>
      </c>
      <c r="E173" s="93" t="s">
        <v>839</v>
      </c>
      <c r="F173" s="93">
        <v>0.0070591982352</v>
      </c>
      <c r="G173" s="93">
        <v>21.83</v>
      </c>
      <c r="H173" s="93">
        <v>0.154102297474416</v>
      </c>
      <c r="I173" s="93">
        <v>0.129253919686512</v>
      </c>
    </row>
    <row r="174" spans="1:9">
      <c r="A174" s="90"/>
      <c r="B174" s="91" t="s">
        <v>1007</v>
      </c>
      <c r="C174" s="91" t="s">
        <v>1378</v>
      </c>
      <c r="D174" s="92" t="s">
        <v>1379</v>
      </c>
      <c r="E174" s="93" t="s">
        <v>839</v>
      </c>
      <c r="F174" s="93">
        <v>0.020934593782</v>
      </c>
      <c r="G174" s="93">
        <v>0.08</v>
      </c>
      <c r="H174" s="93">
        <v>0.00167476750256</v>
      </c>
      <c r="I174" s="93">
        <v>0.38331241214842</v>
      </c>
    </row>
    <row r="175" spans="1:9">
      <c r="A175" s="90"/>
      <c r="B175" s="91" t="s">
        <v>1020</v>
      </c>
      <c r="C175" s="91" t="s">
        <v>1019</v>
      </c>
      <c r="D175" s="92" t="s">
        <v>1021</v>
      </c>
      <c r="E175" s="93" t="s">
        <v>839</v>
      </c>
      <c r="F175" s="93">
        <v>5.6924999241e-5</v>
      </c>
      <c r="G175" s="93">
        <v>14.49</v>
      </c>
      <c r="H175" s="93">
        <v>0.00082484323900209</v>
      </c>
      <c r="I175" s="93">
        <v>0.00104229673610271</v>
      </c>
    </row>
    <row r="176" spans="1:9">
      <c r="A176" s="90"/>
      <c r="B176" s="91" t="s">
        <v>1734</v>
      </c>
      <c r="C176" s="91" t="s">
        <v>1894</v>
      </c>
      <c r="D176" s="92" t="s">
        <v>1895</v>
      </c>
      <c r="E176" s="93" t="s">
        <v>494</v>
      </c>
      <c r="F176" s="93">
        <v>1.28469580206e-9</v>
      </c>
      <c r="G176" s="93">
        <v>47943.4</v>
      </c>
      <c r="H176" s="93">
        <v>6.15926847164834e-5</v>
      </c>
      <c r="I176" s="93">
        <v>2.35227801357186e-8</v>
      </c>
    </row>
    <row r="177" spans="1:9">
      <c r="A177" s="90"/>
      <c r="B177" s="91" t="s">
        <v>1884</v>
      </c>
      <c r="C177" s="91" t="s">
        <v>1902</v>
      </c>
      <c r="D177" s="92" t="s">
        <v>1903</v>
      </c>
      <c r="E177" s="93" t="s">
        <v>494</v>
      </c>
      <c r="F177" s="93">
        <v>8.656693488e-7</v>
      </c>
      <c r="G177" s="93">
        <v>4178.24</v>
      </c>
      <c r="H177" s="93">
        <v>0.00361697429993011</v>
      </c>
      <c r="I177" s="93">
        <v>1.5850405776528e-5</v>
      </c>
    </row>
    <row r="178" spans="1:9">
      <c r="A178" s="90"/>
      <c r="B178" s="91" t="s">
        <v>1693</v>
      </c>
      <c r="C178" s="91" t="s">
        <v>1692</v>
      </c>
      <c r="D178" s="92" t="s">
        <v>1694</v>
      </c>
      <c r="E178" s="93" t="s">
        <v>1695</v>
      </c>
      <c r="F178" s="93">
        <v>0.01401390954</v>
      </c>
      <c r="G178" s="93">
        <v>0.72</v>
      </c>
      <c r="H178" s="93">
        <v>0.0100900148688</v>
      </c>
      <c r="I178" s="93">
        <v>0.2565946836774</v>
      </c>
    </row>
    <row r="179" ht="25.5" spans="1:9">
      <c r="A179" s="90"/>
      <c r="B179" s="91" t="s">
        <v>1111</v>
      </c>
      <c r="C179" s="91" t="s">
        <v>1287</v>
      </c>
      <c r="D179" s="92" t="s">
        <v>1288</v>
      </c>
      <c r="E179" s="93" t="s">
        <v>839</v>
      </c>
      <c r="F179" s="93">
        <v>0.0069658105395</v>
      </c>
      <c r="G179" s="93">
        <v>0.89</v>
      </c>
      <c r="H179" s="93">
        <v>0.006199571380155</v>
      </c>
      <c r="I179" s="93">
        <v>0.127543990978245</v>
      </c>
    </row>
    <row r="180" spans="1:9">
      <c r="A180" s="90"/>
      <c r="B180" s="91" t="s">
        <v>1111</v>
      </c>
      <c r="C180" s="91" t="s">
        <v>1773</v>
      </c>
      <c r="D180" s="92" t="s">
        <v>1774</v>
      </c>
      <c r="E180" s="93" t="s">
        <v>839</v>
      </c>
      <c r="F180" s="93">
        <v>0.00695652</v>
      </c>
      <c r="G180" s="93">
        <v>1.85</v>
      </c>
      <c r="H180" s="93">
        <v>0.012869562</v>
      </c>
      <c r="I180" s="93">
        <v>0.1273738812</v>
      </c>
    </row>
    <row r="181" ht="25.5" spans="1:9">
      <c r="A181" s="90"/>
      <c r="B181" s="91" t="s">
        <v>1111</v>
      </c>
      <c r="C181" s="91" t="s">
        <v>1110</v>
      </c>
      <c r="D181" s="92" t="s">
        <v>1112</v>
      </c>
      <c r="E181" s="93" t="s">
        <v>839</v>
      </c>
      <c r="F181" s="93">
        <v>0.0070122632425</v>
      </c>
      <c r="G181" s="93">
        <v>1.39</v>
      </c>
      <c r="H181" s="93">
        <v>0.009747045907075</v>
      </c>
      <c r="I181" s="93">
        <v>0.128394539970175</v>
      </c>
    </row>
    <row r="182" spans="1:9">
      <c r="A182" s="90"/>
      <c r="B182" s="91" t="s">
        <v>1007</v>
      </c>
      <c r="C182" s="91" t="s">
        <v>1050</v>
      </c>
      <c r="D182" s="92" t="s">
        <v>1051</v>
      </c>
      <c r="E182" s="93" t="s">
        <v>839</v>
      </c>
      <c r="F182" s="93">
        <v>0.020934593782</v>
      </c>
      <c r="G182" s="93">
        <v>1.43</v>
      </c>
      <c r="H182" s="93">
        <v>0.02993646910826</v>
      </c>
      <c r="I182" s="93">
        <v>0.38331241214842</v>
      </c>
    </row>
    <row r="183" spans="1:9">
      <c r="A183" s="90"/>
      <c r="B183" s="91" t="s">
        <v>1884</v>
      </c>
      <c r="C183" s="91" t="s">
        <v>1892</v>
      </c>
      <c r="D183" s="92" t="s">
        <v>1893</v>
      </c>
      <c r="E183" s="93" t="s">
        <v>494</v>
      </c>
      <c r="F183" s="93">
        <v>1.0025736624e-6</v>
      </c>
      <c r="G183" s="93">
        <v>5619.73</v>
      </c>
      <c r="H183" s="93">
        <v>0.00563419328779915</v>
      </c>
      <c r="I183" s="93">
        <v>1.8357123758544e-5</v>
      </c>
    </row>
    <row r="184" ht="25.5" spans="1:9">
      <c r="A184" s="90"/>
      <c r="B184" s="91" t="s">
        <v>1111</v>
      </c>
      <c r="C184" s="91" t="s">
        <v>1707</v>
      </c>
      <c r="D184" s="92" t="s">
        <v>1708</v>
      </c>
      <c r="E184" s="93" t="s">
        <v>839</v>
      </c>
      <c r="F184" s="93">
        <v>0.0069658105395</v>
      </c>
      <c r="G184" s="93">
        <v>0.01</v>
      </c>
      <c r="H184" s="93">
        <v>6.9658105395e-5</v>
      </c>
      <c r="I184" s="93">
        <v>0.127543990978245</v>
      </c>
    </row>
    <row r="185" ht="25.5" spans="1:9">
      <c r="A185" s="90"/>
      <c r="B185" s="91" t="s">
        <v>1111</v>
      </c>
      <c r="C185" s="91" t="s">
        <v>1771</v>
      </c>
      <c r="D185" s="92" t="s">
        <v>1772</v>
      </c>
      <c r="E185" s="93" t="s">
        <v>839</v>
      </c>
      <c r="F185" s="93">
        <v>0.00695652</v>
      </c>
      <c r="G185" s="93">
        <v>2.05</v>
      </c>
      <c r="H185" s="93">
        <v>0.014260866</v>
      </c>
      <c r="I185" s="93">
        <v>0.1273738812</v>
      </c>
    </row>
    <row r="186" ht="25.5" spans="1:9">
      <c r="A186" s="90"/>
      <c r="B186" s="91" t="s">
        <v>1111</v>
      </c>
      <c r="C186" s="91" t="s">
        <v>1195</v>
      </c>
      <c r="D186" s="92" t="s">
        <v>1196</v>
      </c>
      <c r="E186" s="93" t="s">
        <v>839</v>
      </c>
      <c r="F186" s="93">
        <v>0.0070122632425</v>
      </c>
      <c r="G186" s="93">
        <v>0.61</v>
      </c>
      <c r="H186" s="93">
        <v>0.004277480577925</v>
      </c>
      <c r="I186" s="93">
        <v>0.128394539970175</v>
      </c>
    </row>
    <row r="187" spans="1:9">
      <c r="A187" s="90"/>
      <c r="B187" s="91" t="s">
        <v>985</v>
      </c>
      <c r="C187" s="91" t="s">
        <v>984</v>
      </c>
      <c r="D187" s="92" t="s">
        <v>986</v>
      </c>
      <c r="E187" s="93" t="s">
        <v>215</v>
      </c>
      <c r="F187" s="93">
        <v>0.00024452699964</v>
      </c>
      <c r="G187" s="93">
        <v>5.93</v>
      </c>
      <c r="H187" s="93">
        <v>0.0014500451078652</v>
      </c>
      <c r="I187" s="93">
        <v>0.0044772893634084</v>
      </c>
    </row>
    <row r="188" spans="1:9">
      <c r="A188" s="90"/>
      <c r="B188" s="91" t="s">
        <v>1884</v>
      </c>
      <c r="C188" s="91" t="s">
        <v>1883</v>
      </c>
      <c r="D188" s="92" t="s">
        <v>1885</v>
      </c>
      <c r="E188" s="93" t="s">
        <v>494</v>
      </c>
      <c r="F188" s="93">
        <v>1.7791995552e-6</v>
      </c>
      <c r="G188" s="93">
        <v>8835.36</v>
      </c>
      <c r="H188" s="93">
        <v>0.0157198685820319</v>
      </c>
      <c r="I188" s="93">
        <v>3.2577143855712e-5</v>
      </c>
    </row>
    <row r="189" spans="1:9">
      <c r="A189" s="90"/>
      <c r="B189" s="91" t="s">
        <v>1884</v>
      </c>
      <c r="C189" s="91" t="s">
        <v>1888</v>
      </c>
      <c r="D189" s="92" t="s">
        <v>1889</v>
      </c>
      <c r="E189" s="93" t="s">
        <v>494</v>
      </c>
      <c r="F189" s="93">
        <v>9.584693256e-7</v>
      </c>
      <c r="G189" s="93">
        <v>9869.81</v>
      </c>
      <c r="H189" s="93">
        <v>0.00945991013450014</v>
      </c>
      <c r="I189" s="93">
        <v>1.7549573351736e-5</v>
      </c>
    </row>
    <row r="190" spans="1:9">
      <c r="A190" s="85" t="s">
        <v>2197</v>
      </c>
      <c r="B190" s="86"/>
      <c r="C190" s="86"/>
      <c r="D190" s="87" t="s">
        <v>732</v>
      </c>
      <c r="E190" s="88"/>
      <c r="F190" s="89">
        <v>0</v>
      </c>
      <c r="G190" s="89">
        <v>0</v>
      </c>
      <c r="H190" s="89">
        <v>0</v>
      </c>
      <c r="I190" s="89">
        <v>0</v>
      </c>
    </row>
    <row r="191" spans="1:9">
      <c r="A191" s="85" t="s">
        <v>2198</v>
      </c>
      <c r="B191" s="86"/>
      <c r="C191" s="86"/>
      <c r="D191" s="87" t="s">
        <v>733</v>
      </c>
      <c r="E191" s="88"/>
      <c r="F191" s="89">
        <v>0</v>
      </c>
      <c r="G191" s="89">
        <v>0</v>
      </c>
      <c r="H191" s="89">
        <v>0</v>
      </c>
      <c r="I191" s="89">
        <v>0</v>
      </c>
    </row>
    <row r="192" ht="38.25" spans="1:9">
      <c r="A192" s="85" t="s">
        <v>2199</v>
      </c>
      <c r="B192" s="85" t="s">
        <v>734</v>
      </c>
      <c r="C192" s="85" t="s">
        <v>2200</v>
      </c>
      <c r="D192" s="87" t="s">
        <v>735</v>
      </c>
      <c r="E192" s="89" t="s">
        <v>494</v>
      </c>
      <c r="F192" s="89">
        <v>18</v>
      </c>
      <c r="G192" s="89">
        <v>130.96</v>
      </c>
      <c r="H192" s="89">
        <v>2357.28</v>
      </c>
      <c r="I192" s="89">
        <v>18</v>
      </c>
    </row>
    <row r="193" ht="38.25" spans="1:9">
      <c r="A193" s="90"/>
      <c r="B193" s="91" t="s">
        <v>1002</v>
      </c>
      <c r="C193" s="91" t="s">
        <v>1068</v>
      </c>
      <c r="D193" s="92" t="s">
        <v>1069</v>
      </c>
      <c r="E193" s="93" t="s">
        <v>494</v>
      </c>
      <c r="F193" s="93">
        <v>1</v>
      </c>
      <c r="G193" s="93">
        <v>569580.71</v>
      </c>
      <c r="H193" s="93">
        <v>24.7254872294858</v>
      </c>
      <c r="I193" s="93">
        <v>18</v>
      </c>
    </row>
    <row r="194" ht="51" spans="1:9">
      <c r="A194" s="90"/>
      <c r="B194" s="91" t="s">
        <v>1210</v>
      </c>
      <c r="C194" s="91" t="s">
        <v>1209</v>
      </c>
      <c r="D194" s="92" t="s">
        <v>1211</v>
      </c>
      <c r="E194" s="93" t="s">
        <v>494</v>
      </c>
      <c r="F194" s="93">
        <v>1</v>
      </c>
      <c r="G194" s="93">
        <v>143450</v>
      </c>
      <c r="H194" s="93">
        <v>8.162726743</v>
      </c>
      <c r="I194" s="93">
        <v>18</v>
      </c>
    </row>
    <row r="195" spans="1:9">
      <c r="A195" s="90"/>
      <c r="B195" s="91" t="s">
        <v>1007</v>
      </c>
      <c r="C195" s="91" t="s">
        <v>1048</v>
      </c>
      <c r="D195" s="92" t="s">
        <v>1049</v>
      </c>
      <c r="E195" s="93" t="s">
        <v>839</v>
      </c>
      <c r="F195" s="93">
        <v>1</v>
      </c>
      <c r="G195" s="93">
        <v>1.5</v>
      </c>
      <c r="H195" s="93">
        <v>3.6831</v>
      </c>
      <c r="I195" s="93">
        <v>18</v>
      </c>
    </row>
    <row r="196" spans="1:9">
      <c r="A196" s="90"/>
      <c r="B196" s="91" t="s">
        <v>1007</v>
      </c>
      <c r="C196" s="91" t="s">
        <v>1006</v>
      </c>
      <c r="D196" s="92" t="s">
        <v>1008</v>
      </c>
      <c r="E196" s="93" t="s">
        <v>839</v>
      </c>
      <c r="F196" s="93">
        <v>2.4554</v>
      </c>
      <c r="G196" s="93">
        <v>3.95</v>
      </c>
      <c r="H196" s="93">
        <v>9.69883</v>
      </c>
      <c r="I196" s="93">
        <v>44.1972</v>
      </c>
    </row>
    <row r="197" spans="1:9">
      <c r="A197" s="90"/>
      <c r="B197" s="91" t="s">
        <v>1020</v>
      </c>
      <c r="C197" s="91" t="s">
        <v>1094</v>
      </c>
      <c r="D197" s="92" t="s">
        <v>1095</v>
      </c>
      <c r="E197" s="93" t="s">
        <v>839</v>
      </c>
      <c r="F197" s="93">
        <v>0.75295192</v>
      </c>
      <c r="G197" s="93">
        <v>15.35</v>
      </c>
      <c r="H197" s="93">
        <v>11.557811972</v>
      </c>
      <c r="I197" s="93">
        <v>13.55313456</v>
      </c>
    </row>
    <row r="198" spans="1:9">
      <c r="A198" s="90"/>
      <c r="B198" s="91" t="s">
        <v>993</v>
      </c>
      <c r="C198" s="91" t="s">
        <v>992</v>
      </c>
      <c r="D198" s="92" t="s">
        <v>994</v>
      </c>
      <c r="E198" s="93" t="s">
        <v>839</v>
      </c>
      <c r="F198" s="93">
        <v>1.12685556</v>
      </c>
      <c r="G198" s="93">
        <v>21.83</v>
      </c>
      <c r="H198" s="93">
        <v>24.5992568748</v>
      </c>
      <c r="I198" s="93">
        <v>20.28340008</v>
      </c>
    </row>
    <row r="199" spans="1:9">
      <c r="A199" s="90"/>
      <c r="B199" s="91" t="s">
        <v>1023</v>
      </c>
      <c r="C199" s="91" t="s">
        <v>1147</v>
      </c>
      <c r="D199" s="92" t="s">
        <v>1148</v>
      </c>
      <c r="E199" s="93" t="s">
        <v>839</v>
      </c>
      <c r="F199" s="93">
        <v>0.609212178</v>
      </c>
      <c r="G199" s="93">
        <v>23.07</v>
      </c>
      <c r="H199" s="93">
        <v>14.05452494646</v>
      </c>
      <c r="I199" s="93">
        <v>10.965819204</v>
      </c>
    </row>
    <row r="200" spans="1:9">
      <c r="A200" s="90"/>
      <c r="B200" s="91" t="s">
        <v>1007</v>
      </c>
      <c r="C200" s="91" t="s">
        <v>1378</v>
      </c>
      <c r="D200" s="92" t="s">
        <v>1379</v>
      </c>
      <c r="E200" s="93" t="s">
        <v>839</v>
      </c>
      <c r="F200" s="93">
        <v>2.4554</v>
      </c>
      <c r="G200" s="93">
        <v>0.08</v>
      </c>
      <c r="H200" s="93">
        <v>0.196432</v>
      </c>
      <c r="I200" s="93">
        <v>44.1972</v>
      </c>
    </row>
    <row r="201" ht="25.5" spans="1:9">
      <c r="A201" s="90"/>
      <c r="B201" s="91" t="s">
        <v>1111</v>
      </c>
      <c r="C201" s="91" t="s">
        <v>1174</v>
      </c>
      <c r="D201" s="92" t="s">
        <v>1175</v>
      </c>
      <c r="E201" s="93" t="s">
        <v>839</v>
      </c>
      <c r="F201" s="93">
        <v>1.856</v>
      </c>
      <c r="G201" s="93">
        <v>1.43</v>
      </c>
      <c r="H201" s="93">
        <v>2.65408</v>
      </c>
      <c r="I201" s="93">
        <v>33.408</v>
      </c>
    </row>
    <row r="202" ht="25.5" spans="1:9">
      <c r="A202" s="90"/>
      <c r="B202" s="91" t="s">
        <v>1111</v>
      </c>
      <c r="C202" s="91" t="s">
        <v>1287</v>
      </c>
      <c r="D202" s="92" t="s">
        <v>1288</v>
      </c>
      <c r="E202" s="93" t="s">
        <v>839</v>
      </c>
      <c r="F202" s="93">
        <v>0.5994</v>
      </c>
      <c r="G202" s="93">
        <v>0.89</v>
      </c>
      <c r="H202" s="93">
        <v>0.533466</v>
      </c>
      <c r="I202" s="93">
        <v>10.7892</v>
      </c>
    </row>
    <row r="203" spans="1:9">
      <c r="A203" s="90"/>
      <c r="B203" s="91" t="s">
        <v>1007</v>
      </c>
      <c r="C203" s="91" t="s">
        <v>1050</v>
      </c>
      <c r="D203" s="92" t="s">
        <v>1051</v>
      </c>
      <c r="E203" s="93" t="s">
        <v>839</v>
      </c>
      <c r="F203" s="93">
        <v>2.4554</v>
      </c>
      <c r="G203" s="93">
        <v>1.43</v>
      </c>
      <c r="H203" s="93">
        <v>3.511222</v>
      </c>
      <c r="I203" s="93">
        <v>44.1972</v>
      </c>
    </row>
    <row r="204" ht="25.5" spans="1:9">
      <c r="A204" s="90"/>
      <c r="B204" s="91" t="s">
        <v>1111</v>
      </c>
      <c r="C204" s="91" t="s">
        <v>1310</v>
      </c>
      <c r="D204" s="92" t="s">
        <v>1311</v>
      </c>
      <c r="E204" s="93" t="s">
        <v>839</v>
      </c>
      <c r="F204" s="93">
        <v>1.856</v>
      </c>
      <c r="G204" s="93">
        <v>0.44</v>
      </c>
      <c r="H204" s="93">
        <v>0.81664</v>
      </c>
      <c r="I204" s="93">
        <v>33.408</v>
      </c>
    </row>
    <row r="205" ht="25.5" spans="1:9">
      <c r="A205" s="90"/>
      <c r="B205" s="91" t="s">
        <v>1111</v>
      </c>
      <c r="C205" s="91" t="s">
        <v>1707</v>
      </c>
      <c r="D205" s="92" t="s">
        <v>1708</v>
      </c>
      <c r="E205" s="93" t="s">
        <v>839</v>
      </c>
      <c r="F205" s="93">
        <v>0.5994</v>
      </c>
      <c r="G205" s="93">
        <v>0.01</v>
      </c>
      <c r="H205" s="93">
        <v>0.005994</v>
      </c>
      <c r="I205" s="93">
        <v>10.7892</v>
      </c>
    </row>
    <row r="206" spans="1:9">
      <c r="A206" s="90"/>
      <c r="B206" s="91" t="s">
        <v>985</v>
      </c>
      <c r="C206" s="91" t="s">
        <v>984</v>
      </c>
      <c r="D206" s="92" t="s">
        <v>986</v>
      </c>
      <c r="E206" s="93" t="s">
        <v>215</v>
      </c>
      <c r="F206" s="93">
        <v>4.514244</v>
      </c>
      <c r="G206" s="93">
        <v>5.93</v>
      </c>
      <c r="H206" s="93">
        <v>26.76946692</v>
      </c>
      <c r="I206" s="93">
        <v>81.256392</v>
      </c>
    </row>
    <row r="207" spans="1:9">
      <c r="A207" s="85" t="s">
        <v>2201</v>
      </c>
      <c r="B207" s="85" t="s">
        <v>479</v>
      </c>
      <c r="C207" s="85" t="s">
        <v>2202</v>
      </c>
      <c r="D207" s="87" t="s">
        <v>480</v>
      </c>
      <c r="E207" s="89" t="s">
        <v>466</v>
      </c>
      <c r="F207" s="89">
        <v>715.74</v>
      </c>
      <c r="G207" s="89">
        <v>90.42</v>
      </c>
      <c r="H207" s="89">
        <v>64717.21</v>
      </c>
      <c r="I207" s="89">
        <v>715.74</v>
      </c>
    </row>
    <row r="208" spans="1:9">
      <c r="A208" s="90"/>
      <c r="B208" s="91" t="s">
        <v>1007</v>
      </c>
      <c r="C208" s="91" t="s">
        <v>1048</v>
      </c>
      <c r="D208" s="92" t="s">
        <v>1049</v>
      </c>
      <c r="E208" s="93" t="s">
        <v>839</v>
      </c>
      <c r="F208" s="93">
        <v>1</v>
      </c>
      <c r="G208" s="93">
        <v>1.5</v>
      </c>
      <c r="H208" s="93">
        <v>1.94751507</v>
      </c>
      <c r="I208" s="93">
        <v>715.74</v>
      </c>
    </row>
    <row r="209" spans="1:9">
      <c r="A209" s="90"/>
      <c r="B209" s="91" t="s">
        <v>1007</v>
      </c>
      <c r="C209" s="91" t="s">
        <v>1006</v>
      </c>
      <c r="D209" s="92" t="s">
        <v>1008</v>
      </c>
      <c r="E209" s="93" t="s">
        <v>839</v>
      </c>
      <c r="F209" s="93">
        <v>1.29834338</v>
      </c>
      <c r="G209" s="93">
        <v>3.95</v>
      </c>
      <c r="H209" s="93">
        <v>5.128456351</v>
      </c>
      <c r="I209" s="93">
        <v>929.2762908012</v>
      </c>
    </row>
    <row r="210" spans="1:9">
      <c r="A210" s="90"/>
      <c r="B210" s="91" t="s">
        <v>1020</v>
      </c>
      <c r="C210" s="91" t="s">
        <v>1094</v>
      </c>
      <c r="D210" s="92" t="s">
        <v>1095</v>
      </c>
      <c r="E210" s="93" t="s">
        <v>839</v>
      </c>
      <c r="F210" s="93">
        <v>0.49926192</v>
      </c>
      <c r="G210" s="93">
        <v>15.35</v>
      </c>
      <c r="H210" s="93">
        <v>7.663670472</v>
      </c>
      <c r="I210" s="93">
        <v>357.3417266208</v>
      </c>
    </row>
    <row r="211" spans="1:9">
      <c r="A211" s="90"/>
      <c r="B211" s="91" t="s">
        <v>993</v>
      </c>
      <c r="C211" s="91" t="s">
        <v>992</v>
      </c>
      <c r="D211" s="92" t="s">
        <v>994</v>
      </c>
      <c r="E211" s="93" t="s">
        <v>839</v>
      </c>
      <c r="F211" s="93">
        <v>0.7434819</v>
      </c>
      <c r="G211" s="93">
        <v>21.83</v>
      </c>
      <c r="H211" s="93">
        <v>16.230209877</v>
      </c>
      <c r="I211" s="93">
        <v>532.139735106</v>
      </c>
    </row>
    <row r="212" spans="1:9">
      <c r="A212" s="90"/>
      <c r="B212" s="91" t="s">
        <v>1108</v>
      </c>
      <c r="C212" s="91" t="s">
        <v>1127</v>
      </c>
      <c r="D212" s="92" t="s">
        <v>1128</v>
      </c>
      <c r="E212" s="93" t="s">
        <v>839</v>
      </c>
      <c r="F212" s="93">
        <v>0.03338082</v>
      </c>
      <c r="G212" s="93">
        <v>18</v>
      </c>
      <c r="H212" s="93">
        <v>0.60085476</v>
      </c>
      <c r="I212" s="93">
        <v>23.8919881068</v>
      </c>
    </row>
    <row r="213" spans="1:9">
      <c r="A213" s="90"/>
      <c r="B213" s="91" t="s">
        <v>1007</v>
      </c>
      <c r="C213" s="91" t="s">
        <v>1378</v>
      </c>
      <c r="D213" s="92" t="s">
        <v>1379</v>
      </c>
      <c r="E213" s="93" t="s">
        <v>839</v>
      </c>
      <c r="F213" s="93">
        <v>1.29834338</v>
      </c>
      <c r="G213" s="93">
        <v>0.08</v>
      </c>
      <c r="H213" s="93">
        <v>0.1038674704</v>
      </c>
      <c r="I213" s="93">
        <v>929.2762908012</v>
      </c>
    </row>
    <row r="214" spans="1:9">
      <c r="A214" s="90"/>
      <c r="B214" s="91" t="s">
        <v>1020</v>
      </c>
      <c r="C214" s="91" t="s">
        <v>1019</v>
      </c>
      <c r="D214" s="92" t="s">
        <v>1021</v>
      </c>
      <c r="E214" s="93" t="s">
        <v>839</v>
      </c>
      <c r="F214" s="93">
        <v>0.039156259656</v>
      </c>
      <c r="G214" s="93">
        <v>14.49</v>
      </c>
      <c r="H214" s="93">
        <v>0.56737420241544</v>
      </c>
      <c r="I214" s="93">
        <v>28.0257012861854</v>
      </c>
    </row>
    <row r="215" ht="25.5" spans="1:9">
      <c r="A215" s="90"/>
      <c r="B215" s="91" t="s">
        <v>1010</v>
      </c>
      <c r="C215" s="91" t="s">
        <v>1009</v>
      </c>
      <c r="D215" s="92" t="s">
        <v>1011</v>
      </c>
      <c r="E215" s="93" t="s">
        <v>476</v>
      </c>
      <c r="F215" s="93">
        <v>0.00520818</v>
      </c>
      <c r="G215" s="93">
        <v>205</v>
      </c>
      <c r="H215" s="93">
        <v>1.0676769</v>
      </c>
      <c r="I215" s="93">
        <v>3.7277027532</v>
      </c>
    </row>
    <row r="216" spans="1:9">
      <c r="A216" s="90"/>
      <c r="B216" s="91" t="s">
        <v>1272</v>
      </c>
      <c r="C216" s="91" t="s">
        <v>1271</v>
      </c>
      <c r="D216" s="92" t="s">
        <v>1273</v>
      </c>
      <c r="E216" s="93" t="s">
        <v>463</v>
      </c>
      <c r="F216" s="93">
        <v>1.335473</v>
      </c>
      <c r="G216" s="93">
        <v>0.65</v>
      </c>
      <c r="H216" s="93">
        <v>0.86805745</v>
      </c>
      <c r="I216" s="93">
        <v>955.85144502</v>
      </c>
    </row>
    <row r="217" spans="1:9">
      <c r="A217" s="90"/>
      <c r="B217" s="91" t="s">
        <v>1693</v>
      </c>
      <c r="C217" s="91" t="s">
        <v>1692</v>
      </c>
      <c r="D217" s="92" t="s">
        <v>1694</v>
      </c>
      <c r="E217" s="93" t="s">
        <v>1695</v>
      </c>
      <c r="F217" s="93">
        <v>0.008976</v>
      </c>
      <c r="G217" s="93">
        <v>0.72</v>
      </c>
      <c r="H217" s="93">
        <v>0.00646272</v>
      </c>
      <c r="I217" s="93">
        <v>6.42448224</v>
      </c>
    </row>
    <row r="218" ht="25.5" spans="1:9">
      <c r="A218" s="90"/>
      <c r="B218" s="91" t="s">
        <v>1111</v>
      </c>
      <c r="C218" s="91" t="s">
        <v>1174</v>
      </c>
      <c r="D218" s="92" t="s">
        <v>1175</v>
      </c>
      <c r="E218" s="93" t="s">
        <v>839</v>
      </c>
      <c r="F218" s="93">
        <v>1.227</v>
      </c>
      <c r="G218" s="93">
        <v>1.43</v>
      </c>
      <c r="H218" s="93">
        <v>1.75461</v>
      </c>
      <c r="I218" s="93">
        <v>878.21298</v>
      </c>
    </row>
    <row r="219" ht="25.5" spans="1:9">
      <c r="A219" s="90"/>
      <c r="B219" s="91" t="s">
        <v>1111</v>
      </c>
      <c r="C219" s="91" t="s">
        <v>1287</v>
      </c>
      <c r="D219" s="92" t="s">
        <v>1288</v>
      </c>
      <c r="E219" s="93" t="s">
        <v>839</v>
      </c>
      <c r="F219" s="93">
        <v>0.033</v>
      </c>
      <c r="G219" s="93">
        <v>0.89</v>
      </c>
      <c r="H219" s="93">
        <v>0.02937</v>
      </c>
      <c r="I219" s="93">
        <v>23.61942</v>
      </c>
    </row>
    <row r="220" ht="25.5" spans="1:9">
      <c r="A220" s="90"/>
      <c r="B220" s="91" t="s">
        <v>1111</v>
      </c>
      <c r="C220" s="91" t="s">
        <v>1110</v>
      </c>
      <c r="D220" s="92" t="s">
        <v>1112</v>
      </c>
      <c r="E220" s="93" t="s">
        <v>839</v>
      </c>
      <c r="F220" s="93">
        <v>0.03834338</v>
      </c>
      <c r="G220" s="93">
        <v>1.39</v>
      </c>
      <c r="H220" s="93">
        <v>0.0532972982</v>
      </c>
      <c r="I220" s="93">
        <v>27.4438908012</v>
      </c>
    </row>
    <row r="221" spans="1:9">
      <c r="A221" s="90"/>
      <c r="B221" s="91" t="s">
        <v>1007</v>
      </c>
      <c r="C221" s="91" t="s">
        <v>1050</v>
      </c>
      <c r="D221" s="92" t="s">
        <v>1051</v>
      </c>
      <c r="E221" s="93" t="s">
        <v>839</v>
      </c>
      <c r="F221" s="93">
        <v>1.29834338</v>
      </c>
      <c r="G221" s="93">
        <v>1.43</v>
      </c>
      <c r="H221" s="93">
        <v>1.8566310334</v>
      </c>
      <c r="I221" s="93">
        <v>929.2762908012</v>
      </c>
    </row>
    <row r="222" ht="25.5" spans="1:9">
      <c r="A222" s="90"/>
      <c r="B222" s="91" t="s">
        <v>1111</v>
      </c>
      <c r="C222" s="91" t="s">
        <v>1310</v>
      </c>
      <c r="D222" s="92" t="s">
        <v>1311</v>
      </c>
      <c r="E222" s="93" t="s">
        <v>839</v>
      </c>
      <c r="F222" s="93">
        <v>1.227</v>
      </c>
      <c r="G222" s="93">
        <v>0.44</v>
      </c>
      <c r="H222" s="93">
        <v>0.53988</v>
      </c>
      <c r="I222" s="93">
        <v>878.21298</v>
      </c>
    </row>
    <row r="223" ht="25.5" spans="1:9">
      <c r="A223" s="90"/>
      <c r="B223" s="91" t="s">
        <v>1111</v>
      </c>
      <c r="C223" s="91" t="s">
        <v>1707</v>
      </c>
      <c r="D223" s="92" t="s">
        <v>1708</v>
      </c>
      <c r="E223" s="93" t="s">
        <v>839</v>
      </c>
      <c r="F223" s="93">
        <v>0.033</v>
      </c>
      <c r="G223" s="93">
        <v>0.01</v>
      </c>
      <c r="H223" s="93">
        <v>0.00033</v>
      </c>
      <c r="I223" s="93">
        <v>23.61942</v>
      </c>
    </row>
    <row r="224" ht="25.5" spans="1:9">
      <c r="A224" s="90"/>
      <c r="B224" s="91" t="s">
        <v>1111</v>
      </c>
      <c r="C224" s="91" t="s">
        <v>1195</v>
      </c>
      <c r="D224" s="92" t="s">
        <v>1196</v>
      </c>
      <c r="E224" s="93" t="s">
        <v>839</v>
      </c>
      <c r="F224" s="93">
        <v>0.03834338</v>
      </c>
      <c r="G224" s="93">
        <v>0.61</v>
      </c>
      <c r="H224" s="93">
        <v>0.0233894618</v>
      </c>
      <c r="I224" s="93">
        <v>27.4438908012</v>
      </c>
    </row>
    <row r="225" spans="1:9">
      <c r="A225" s="90"/>
      <c r="B225" s="91" t="s">
        <v>1393</v>
      </c>
      <c r="C225" s="91" t="s">
        <v>1392</v>
      </c>
      <c r="D225" s="92" t="s">
        <v>1394</v>
      </c>
      <c r="E225" s="93" t="s">
        <v>476</v>
      </c>
      <c r="F225" s="93">
        <v>0.00364231</v>
      </c>
      <c r="G225" s="93">
        <v>197.39</v>
      </c>
      <c r="H225" s="93">
        <v>0.7189555709</v>
      </c>
      <c r="I225" s="93">
        <v>2.6069469594</v>
      </c>
    </row>
    <row r="226" spans="1:9">
      <c r="A226" s="90"/>
      <c r="B226" s="91" t="s">
        <v>1120</v>
      </c>
      <c r="C226" s="91" t="s">
        <v>1119</v>
      </c>
      <c r="D226" s="92" t="s">
        <v>1121</v>
      </c>
      <c r="E226" s="93" t="s">
        <v>112</v>
      </c>
      <c r="F226" s="93">
        <v>1.2273</v>
      </c>
      <c r="G226" s="93">
        <v>7.78</v>
      </c>
      <c r="H226" s="93">
        <v>9.54</v>
      </c>
      <c r="I226" s="93">
        <v>878.427702</v>
      </c>
    </row>
    <row r="227" spans="1:9">
      <c r="A227" s="90"/>
      <c r="B227" s="91" t="s">
        <v>1251</v>
      </c>
      <c r="C227" s="91" t="s">
        <v>1250</v>
      </c>
      <c r="D227" s="92" t="s">
        <v>1252</v>
      </c>
      <c r="E227" s="93" t="s">
        <v>463</v>
      </c>
      <c r="F227" s="93">
        <v>0.068</v>
      </c>
      <c r="G227" s="93">
        <v>18.4</v>
      </c>
      <c r="H227" s="93">
        <v>1.25</v>
      </c>
      <c r="I227" s="93">
        <v>48.67032</v>
      </c>
    </row>
    <row r="228" ht="25.5" spans="1:9">
      <c r="A228" s="90"/>
      <c r="B228" s="91" t="s">
        <v>1812</v>
      </c>
      <c r="C228" s="91" t="s">
        <v>1811</v>
      </c>
      <c r="D228" s="92" t="s">
        <v>1813</v>
      </c>
      <c r="E228" s="93" t="s">
        <v>494</v>
      </c>
      <c r="F228" s="93">
        <v>3.1944e-6</v>
      </c>
      <c r="G228" s="93">
        <v>1504.72</v>
      </c>
      <c r="H228" s="93">
        <v>0.004806677568</v>
      </c>
      <c r="I228" s="93">
        <v>0.002286359856</v>
      </c>
    </row>
    <row r="229" spans="1:9">
      <c r="A229" s="90"/>
      <c r="B229" s="91" t="s">
        <v>1193</v>
      </c>
      <c r="C229" s="91" t="s">
        <v>1192</v>
      </c>
      <c r="D229" s="92" t="s">
        <v>1194</v>
      </c>
      <c r="E229" s="93" t="s">
        <v>112</v>
      </c>
      <c r="F229" s="93">
        <v>2</v>
      </c>
      <c r="G229" s="93">
        <v>5.55</v>
      </c>
      <c r="H229" s="93">
        <v>11.1</v>
      </c>
      <c r="I229" s="93">
        <v>1431.48</v>
      </c>
    </row>
    <row r="230" ht="25.5" spans="1:9">
      <c r="A230" s="90"/>
      <c r="B230" s="91" t="s">
        <v>1097</v>
      </c>
      <c r="C230" s="91" t="s">
        <v>1096</v>
      </c>
      <c r="D230" s="92" t="s">
        <v>1098</v>
      </c>
      <c r="E230" s="93" t="s">
        <v>466</v>
      </c>
      <c r="F230" s="93">
        <v>0.5853</v>
      </c>
      <c r="G230" s="93">
        <v>50.19</v>
      </c>
      <c r="H230" s="93">
        <v>29.37</v>
      </c>
      <c r="I230" s="93">
        <v>418.922622</v>
      </c>
    </row>
    <row r="231" spans="1:9">
      <c r="A231" s="85" t="s">
        <v>2203</v>
      </c>
      <c r="B231" s="86"/>
      <c r="C231" s="86"/>
      <c r="D231" s="87" t="s">
        <v>719</v>
      </c>
      <c r="E231" s="88"/>
      <c r="F231" s="89">
        <v>0</v>
      </c>
      <c r="G231" s="89">
        <v>0</v>
      </c>
      <c r="H231" s="89">
        <v>0</v>
      </c>
      <c r="I231" s="89">
        <v>0</v>
      </c>
    </row>
    <row r="232" spans="1:9">
      <c r="A232" s="85" t="s">
        <v>2204</v>
      </c>
      <c r="B232" s="85" t="s">
        <v>2205</v>
      </c>
      <c r="C232" s="85" t="s">
        <v>2206</v>
      </c>
      <c r="D232" s="87" t="s">
        <v>736</v>
      </c>
      <c r="E232" s="89" t="s">
        <v>112</v>
      </c>
      <c r="F232" s="89">
        <v>2555.69</v>
      </c>
      <c r="G232" s="89">
        <v>2.59</v>
      </c>
      <c r="H232" s="89">
        <v>6619.23</v>
      </c>
      <c r="I232" s="89">
        <v>2555.69</v>
      </c>
    </row>
    <row r="233" spans="1:9">
      <c r="A233" s="90"/>
      <c r="B233" s="91" t="s">
        <v>1640</v>
      </c>
      <c r="C233" s="91" t="s">
        <v>1639</v>
      </c>
      <c r="D233" s="92" t="s">
        <v>1641</v>
      </c>
      <c r="E233" s="93" t="s">
        <v>839</v>
      </c>
      <c r="F233" s="93">
        <v>0.01</v>
      </c>
      <c r="G233" s="93">
        <v>2.36</v>
      </c>
      <c r="H233" s="93">
        <v>0.02</v>
      </c>
      <c r="I233" s="93">
        <v>25.5569</v>
      </c>
    </row>
    <row r="234" ht="25.5" spans="1:9">
      <c r="A234" s="90"/>
      <c r="B234" s="91" t="s">
        <v>1643</v>
      </c>
      <c r="C234" s="91" t="s">
        <v>1642</v>
      </c>
      <c r="D234" s="92" t="s">
        <v>1644</v>
      </c>
      <c r="E234" s="93" t="s">
        <v>839</v>
      </c>
      <c r="F234" s="93">
        <v>0.01</v>
      </c>
      <c r="G234" s="93">
        <v>2.36</v>
      </c>
      <c r="H234" s="93">
        <v>0.02</v>
      </c>
      <c r="I234" s="93">
        <v>25.5569</v>
      </c>
    </row>
    <row r="235" spans="1:9">
      <c r="A235" s="90"/>
      <c r="B235" s="91" t="s">
        <v>1388</v>
      </c>
      <c r="C235" s="91" t="s">
        <v>1387</v>
      </c>
      <c r="D235" s="92" t="s">
        <v>1389</v>
      </c>
      <c r="E235" s="93" t="s">
        <v>839</v>
      </c>
      <c r="F235" s="93">
        <v>0.0403324</v>
      </c>
      <c r="G235" s="93">
        <v>9.81</v>
      </c>
      <c r="H235" s="93">
        <v>0.395660844</v>
      </c>
      <c r="I235" s="93">
        <v>103.077111356</v>
      </c>
    </row>
    <row r="236" spans="1:9">
      <c r="A236" s="90"/>
      <c r="B236" s="91" t="s">
        <v>1464</v>
      </c>
      <c r="C236" s="91" t="s">
        <v>1463</v>
      </c>
      <c r="D236" s="92" t="s">
        <v>1465</v>
      </c>
      <c r="E236" s="93" t="s">
        <v>839</v>
      </c>
      <c r="F236" s="93">
        <v>0.022614525</v>
      </c>
      <c r="G236" s="93">
        <v>15.96</v>
      </c>
      <c r="H236" s="93">
        <v>0.360927819</v>
      </c>
      <c r="I236" s="93">
        <v>57.79571539725</v>
      </c>
    </row>
    <row r="237" spans="1:9">
      <c r="A237" s="90"/>
      <c r="B237" s="91" t="s">
        <v>1418</v>
      </c>
      <c r="C237" s="91" t="s">
        <v>1485</v>
      </c>
      <c r="D237" s="92" t="s">
        <v>1486</v>
      </c>
      <c r="E237" s="93" t="s">
        <v>839</v>
      </c>
      <c r="F237" s="93">
        <v>0.0100831</v>
      </c>
      <c r="G237" s="93">
        <v>15.35</v>
      </c>
      <c r="H237" s="93">
        <v>0.154775585</v>
      </c>
      <c r="I237" s="93">
        <v>25.769277839</v>
      </c>
    </row>
    <row r="238" spans="1:9">
      <c r="A238" s="90"/>
      <c r="B238" s="91" t="s">
        <v>1007</v>
      </c>
      <c r="C238" s="91" t="s">
        <v>1378</v>
      </c>
      <c r="D238" s="92" t="s">
        <v>1379</v>
      </c>
      <c r="E238" s="93" t="s">
        <v>839</v>
      </c>
      <c r="F238" s="93">
        <v>0.0825</v>
      </c>
      <c r="G238" s="93">
        <v>0.08</v>
      </c>
      <c r="H238" s="93">
        <v>0.0066</v>
      </c>
      <c r="I238" s="93">
        <v>210.844425</v>
      </c>
    </row>
    <row r="239" spans="1:9">
      <c r="A239" s="90"/>
      <c r="B239" s="91" t="s">
        <v>1418</v>
      </c>
      <c r="C239" s="91" t="s">
        <v>1417</v>
      </c>
      <c r="D239" s="92" t="s">
        <v>1419</v>
      </c>
      <c r="E239" s="93" t="s">
        <v>839</v>
      </c>
      <c r="F239" s="93">
        <v>0.0100831</v>
      </c>
      <c r="G239" s="93">
        <v>21.83</v>
      </c>
      <c r="H239" s="93">
        <v>0.220114073</v>
      </c>
      <c r="I239" s="93">
        <v>25.769277839</v>
      </c>
    </row>
    <row r="240" ht="25.5" spans="1:9">
      <c r="A240" s="90"/>
      <c r="B240" s="91" t="s">
        <v>1111</v>
      </c>
      <c r="C240" s="91" t="s">
        <v>1553</v>
      </c>
      <c r="D240" s="92" t="s">
        <v>1554</v>
      </c>
      <c r="E240" s="93" t="s">
        <v>839</v>
      </c>
      <c r="F240" s="93">
        <v>0.0825</v>
      </c>
      <c r="G240" s="93">
        <v>0.74</v>
      </c>
      <c r="H240" s="93">
        <v>0.06105</v>
      </c>
      <c r="I240" s="93">
        <v>210.844425</v>
      </c>
    </row>
    <row r="241" spans="1:9">
      <c r="A241" s="90"/>
      <c r="B241" s="91" t="s">
        <v>1007</v>
      </c>
      <c r="C241" s="91" t="s">
        <v>1050</v>
      </c>
      <c r="D241" s="92" t="s">
        <v>2207</v>
      </c>
      <c r="E241" s="93" t="s">
        <v>839</v>
      </c>
      <c r="F241" s="93">
        <v>0.0825</v>
      </c>
      <c r="G241" s="93">
        <v>1.43</v>
      </c>
      <c r="H241" s="93">
        <v>0.117975</v>
      </c>
      <c r="I241" s="93">
        <v>210.844425</v>
      </c>
    </row>
    <row r="242" spans="1:9">
      <c r="A242" s="90"/>
      <c r="B242" s="90"/>
      <c r="C242" s="90"/>
      <c r="D242" s="92" t="s">
        <v>2208</v>
      </c>
      <c r="E242" s="94"/>
      <c r="F242" s="94"/>
      <c r="G242" s="94"/>
      <c r="H242" s="94"/>
      <c r="I242" s="94"/>
    </row>
    <row r="243" ht="25.5" spans="1:9">
      <c r="A243" s="90"/>
      <c r="B243" s="91" t="s">
        <v>1111</v>
      </c>
      <c r="C243" s="91" t="s">
        <v>1745</v>
      </c>
      <c r="D243" s="92" t="s">
        <v>1746</v>
      </c>
      <c r="E243" s="93" t="s">
        <v>839</v>
      </c>
      <c r="F243" s="93">
        <v>0.0825</v>
      </c>
      <c r="G243" s="93">
        <v>0.05</v>
      </c>
      <c r="H243" s="93">
        <v>0.004125</v>
      </c>
      <c r="I243" s="93">
        <v>210.844425</v>
      </c>
    </row>
    <row r="244" ht="25.5" spans="1:9">
      <c r="A244" s="90"/>
      <c r="B244" s="91" t="s">
        <v>1501</v>
      </c>
      <c r="C244" s="91" t="s">
        <v>1500</v>
      </c>
      <c r="D244" s="92" t="s">
        <v>1502</v>
      </c>
      <c r="E244" s="93" t="s">
        <v>494</v>
      </c>
      <c r="F244" s="93">
        <v>1.2855e-6</v>
      </c>
      <c r="G244" s="93">
        <v>112079</v>
      </c>
      <c r="H244" s="93">
        <v>0.1440775545</v>
      </c>
      <c r="I244" s="93">
        <v>0.003285339495</v>
      </c>
    </row>
    <row r="245" spans="1:9">
      <c r="A245" s="90"/>
      <c r="B245" s="91" t="s">
        <v>985</v>
      </c>
      <c r="C245" s="91" t="s">
        <v>1227</v>
      </c>
      <c r="D245" s="92" t="s">
        <v>1228</v>
      </c>
      <c r="E245" s="93" t="s">
        <v>215</v>
      </c>
      <c r="F245" s="93">
        <v>0.0558</v>
      </c>
      <c r="G245" s="93">
        <v>5.96</v>
      </c>
      <c r="H245" s="93">
        <v>0.332568</v>
      </c>
      <c r="I245" s="93">
        <v>142.607502</v>
      </c>
    </row>
    <row r="246" spans="1:9">
      <c r="A246" s="90"/>
      <c r="B246" s="91" t="s">
        <v>1399</v>
      </c>
      <c r="C246" s="91" t="s">
        <v>1398</v>
      </c>
      <c r="D246" s="92" t="s">
        <v>1400</v>
      </c>
      <c r="E246" s="93" t="s">
        <v>494</v>
      </c>
      <c r="F246" s="93">
        <v>0.48099</v>
      </c>
      <c r="G246" s="93">
        <v>1.6</v>
      </c>
      <c r="H246" s="93">
        <v>0.76</v>
      </c>
      <c r="I246" s="93">
        <v>1229.2613331</v>
      </c>
    </row>
    <row r="247" ht="51" spans="1:9">
      <c r="A247" s="85" t="s">
        <v>2209</v>
      </c>
      <c r="B247" s="85" t="s">
        <v>2210</v>
      </c>
      <c r="C247" s="85" t="s">
        <v>2211</v>
      </c>
      <c r="D247" s="87" t="s">
        <v>576</v>
      </c>
      <c r="E247" s="89" t="s">
        <v>494</v>
      </c>
      <c r="F247" s="89">
        <v>18</v>
      </c>
      <c r="G247" s="89">
        <v>243.85</v>
      </c>
      <c r="H247" s="89">
        <v>4389.3</v>
      </c>
      <c r="I247" s="89">
        <v>18</v>
      </c>
    </row>
    <row r="248" ht="25.5" spans="1:9">
      <c r="A248" s="90"/>
      <c r="B248" s="91" t="s">
        <v>1731</v>
      </c>
      <c r="C248" s="91" t="s">
        <v>1730</v>
      </c>
      <c r="D248" s="92" t="s">
        <v>1732</v>
      </c>
      <c r="E248" s="93" t="s">
        <v>494</v>
      </c>
      <c r="F248" s="93">
        <v>1</v>
      </c>
      <c r="G248" s="93">
        <v>20338.98</v>
      </c>
      <c r="H248" s="93">
        <v>0.043793651736036</v>
      </c>
      <c r="I248" s="93">
        <v>18</v>
      </c>
    </row>
    <row r="249" ht="25.5" spans="1:9">
      <c r="A249" s="90"/>
      <c r="B249" s="91" t="s">
        <v>1734</v>
      </c>
      <c r="C249" s="91" t="s">
        <v>1821</v>
      </c>
      <c r="D249" s="92" t="s">
        <v>1822</v>
      </c>
      <c r="E249" s="93" t="s">
        <v>494</v>
      </c>
      <c r="F249" s="93">
        <v>1</v>
      </c>
      <c r="G249" s="93">
        <v>523066.43</v>
      </c>
      <c r="H249" s="93">
        <v>0.218478330141749</v>
      </c>
      <c r="I249" s="93">
        <v>18</v>
      </c>
    </row>
    <row r="250" ht="38.25" spans="1:9">
      <c r="A250" s="90"/>
      <c r="B250" s="91" t="s">
        <v>1002</v>
      </c>
      <c r="C250" s="91" t="s">
        <v>1068</v>
      </c>
      <c r="D250" s="92" t="s">
        <v>1069</v>
      </c>
      <c r="E250" s="93" t="s">
        <v>494</v>
      </c>
      <c r="F250" s="93">
        <v>1</v>
      </c>
      <c r="G250" s="93">
        <v>569580.71</v>
      </c>
      <c r="H250" s="93">
        <v>0.35858978843328</v>
      </c>
      <c r="I250" s="93">
        <v>18</v>
      </c>
    </row>
    <row r="251" spans="1:9">
      <c r="A251" s="90"/>
      <c r="B251" s="91" t="s">
        <v>1007</v>
      </c>
      <c r="C251" s="91" t="s">
        <v>1048</v>
      </c>
      <c r="D251" s="92" t="s">
        <v>1049</v>
      </c>
      <c r="E251" s="93" t="s">
        <v>839</v>
      </c>
      <c r="F251" s="93">
        <v>1</v>
      </c>
      <c r="G251" s="93">
        <v>1.5</v>
      </c>
      <c r="H251" s="93">
        <v>2.7589184256</v>
      </c>
      <c r="I251" s="93">
        <v>18</v>
      </c>
    </row>
    <row r="252" spans="1:9">
      <c r="A252" s="90"/>
      <c r="B252" s="91" t="s">
        <v>1020</v>
      </c>
      <c r="C252" s="91" t="s">
        <v>1432</v>
      </c>
      <c r="D252" s="92" t="s">
        <v>1433</v>
      </c>
      <c r="E252" s="93" t="s">
        <v>839</v>
      </c>
      <c r="F252" s="93">
        <v>0.12954185856</v>
      </c>
      <c r="G252" s="93">
        <v>15.35</v>
      </c>
      <c r="H252" s="93">
        <v>1.988467528896</v>
      </c>
      <c r="I252" s="93">
        <v>2.33175345408</v>
      </c>
    </row>
    <row r="253" spans="1:9">
      <c r="A253" s="90"/>
      <c r="B253" s="91" t="s">
        <v>1007</v>
      </c>
      <c r="C253" s="91" t="s">
        <v>1006</v>
      </c>
      <c r="D253" s="92" t="s">
        <v>1008</v>
      </c>
      <c r="E253" s="93" t="s">
        <v>839</v>
      </c>
      <c r="F253" s="93">
        <v>1.8392789504</v>
      </c>
      <c r="G253" s="93">
        <v>3.95</v>
      </c>
      <c r="H253" s="93">
        <v>7.26515185408</v>
      </c>
      <c r="I253" s="93">
        <v>33.1070211072</v>
      </c>
    </row>
    <row r="254" spans="1:9">
      <c r="A254" s="90"/>
      <c r="B254" s="91" t="s">
        <v>1150</v>
      </c>
      <c r="C254" s="91" t="s">
        <v>1149</v>
      </c>
      <c r="D254" s="92" t="s">
        <v>1151</v>
      </c>
      <c r="E254" s="93" t="s">
        <v>839</v>
      </c>
      <c r="F254" s="93">
        <v>0.79411858086</v>
      </c>
      <c r="G254" s="93">
        <v>21.83</v>
      </c>
      <c r="H254" s="93">
        <v>17.3356086201738</v>
      </c>
      <c r="I254" s="93">
        <v>14.29413445548</v>
      </c>
    </row>
    <row r="255" spans="1:9">
      <c r="A255" s="90"/>
      <c r="B255" s="91" t="s">
        <v>1461</v>
      </c>
      <c r="C255" s="91" t="s">
        <v>1460</v>
      </c>
      <c r="D255" s="92" t="s">
        <v>1462</v>
      </c>
      <c r="E255" s="93" t="s">
        <v>839</v>
      </c>
      <c r="F255" s="93">
        <v>4.03324</v>
      </c>
      <c r="G255" s="93">
        <v>14.49</v>
      </c>
      <c r="H255" s="93">
        <v>58.4416476</v>
      </c>
      <c r="I255" s="93">
        <v>72.59832</v>
      </c>
    </row>
    <row r="256" spans="1:9">
      <c r="A256" s="90"/>
      <c r="B256" s="91" t="s">
        <v>1020</v>
      </c>
      <c r="C256" s="91" t="s">
        <v>1094</v>
      </c>
      <c r="D256" s="92" t="s">
        <v>1095</v>
      </c>
      <c r="E256" s="93" t="s">
        <v>839</v>
      </c>
      <c r="F256" s="93">
        <v>0.3247232</v>
      </c>
      <c r="G256" s="93">
        <v>15.35</v>
      </c>
      <c r="H256" s="93">
        <v>4.98450112</v>
      </c>
      <c r="I256" s="93">
        <v>5.8450176</v>
      </c>
    </row>
    <row r="257" spans="1:9">
      <c r="A257" s="90"/>
      <c r="B257" s="91" t="s">
        <v>993</v>
      </c>
      <c r="C257" s="91" t="s">
        <v>992</v>
      </c>
      <c r="D257" s="92" t="s">
        <v>994</v>
      </c>
      <c r="E257" s="93" t="s">
        <v>839</v>
      </c>
      <c r="F257" s="93">
        <v>0.3610034529</v>
      </c>
      <c r="G257" s="93">
        <v>21.83</v>
      </c>
      <c r="H257" s="93">
        <v>7.880705376807</v>
      </c>
      <c r="I257" s="93">
        <v>6.4980621522</v>
      </c>
    </row>
    <row r="258" spans="1:9">
      <c r="A258" s="90"/>
      <c r="B258" s="91" t="s">
        <v>1023</v>
      </c>
      <c r="C258" s="91" t="s">
        <v>1436</v>
      </c>
      <c r="D258" s="92" t="s">
        <v>1437</v>
      </c>
      <c r="E258" s="93" t="s">
        <v>839</v>
      </c>
      <c r="F258" s="93">
        <v>0.0099407923905</v>
      </c>
      <c r="G258" s="93">
        <v>21.83</v>
      </c>
      <c r="H258" s="93">
        <v>0.217007497884615</v>
      </c>
      <c r="I258" s="93">
        <v>0.178934263029</v>
      </c>
    </row>
    <row r="259" spans="1:9">
      <c r="A259" s="90"/>
      <c r="B259" s="91" t="s">
        <v>1506</v>
      </c>
      <c r="C259" s="91" t="s">
        <v>1505</v>
      </c>
      <c r="D259" s="92" t="s">
        <v>1507</v>
      </c>
      <c r="E259" s="93" t="s">
        <v>839</v>
      </c>
      <c r="F259" s="93">
        <v>0.018907324965</v>
      </c>
      <c r="G259" s="93">
        <v>18</v>
      </c>
      <c r="H259" s="93">
        <v>0.34033184937</v>
      </c>
      <c r="I259" s="93">
        <v>0.34033184937</v>
      </c>
    </row>
    <row r="260" spans="1:9">
      <c r="A260" s="90"/>
      <c r="B260" s="91" t="s">
        <v>1090</v>
      </c>
      <c r="C260" s="91" t="s">
        <v>1089</v>
      </c>
      <c r="D260" s="92" t="s">
        <v>1091</v>
      </c>
      <c r="E260" s="93" t="s">
        <v>839</v>
      </c>
      <c r="F260" s="93">
        <v>0.037666962</v>
      </c>
      <c r="G260" s="93">
        <v>21.83</v>
      </c>
      <c r="H260" s="93">
        <v>0.82226978046</v>
      </c>
      <c r="I260" s="93">
        <v>0.678005316</v>
      </c>
    </row>
    <row r="261" spans="1:9">
      <c r="A261" s="90"/>
      <c r="B261" s="91" t="s">
        <v>1007</v>
      </c>
      <c r="C261" s="91" t="s">
        <v>1378</v>
      </c>
      <c r="D261" s="92" t="s">
        <v>1379</v>
      </c>
      <c r="E261" s="93" t="s">
        <v>839</v>
      </c>
      <c r="F261" s="93">
        <v>6.8392789504</v>
      </c>
      <c r="G261" s="93">
        <v>0.08</v>
      </c>
      <c r="H261" s="93">
        <v>0.547142316032</v>
      </c>
      <c r="I261" s="93">
        <v>123.1070211072</v>
      </c>
    </row>
    <row r="262" spans="1:9">
      <c r="A262" s="90"/>
      <c r="B262" s="91" t="s">
        <v>1020</v>
      </c>
      <c r="C262" s="91" t="s">
        <v>1019</v>
      </c>
      <c r="D262" s="92" t="s">
        <v>1021</v>
      </c>
      <c r="E262" s="93" t="s">
        <v>839</v>
      </c>
      <c r="F262" s="93">
        <v>0.18763937320848</v>
      </c>
      <c r="G262" s="93">
        <v>14.49</v>
      </c>
      <c r="H262" s="93">
        <v>2.71889451779088</v>
      </c>
      <c r="I262" s="93">
        <v>3.37750871775264</v>
      </c>
    </row>
    <row r="263" spans="1:9">
      <c r="A263" s="90"/>
      <c r="B263" s="91" t="s">
        <v>1418</v>
      </c>
      <c r="C263" s="91" t="s">
        <v>1417</v>
      </c>
      <c r="D263" s="92" t="s">
        <v>1419</v>
      </c>
      <c r="E263" s="93" t="s">
        <v>839</v>
      </c>
      <c r="F263" s="93">
        <v>1.00831</v>
      </c>
      <c r="G263" s="93">
        <v>21.83</v>
      </c>
      <c r="H263" s="93">
        <v>22.0114073</v>
      </c>
      <c r="I263" s="93">
        <v>18.14958</v>
      </c>
    </row>
    <row r="264" spans="1:9">
      <c r="A264" s="90"/>
      <c r="B264" s="91" t="s">
        <v>1056</v>
      </c>
      <c r="C264" s="91" t="s">
        <v>1055</v>
      </c>
      <c r="D264" s="92" t="s">
        <v>1057</v>
      </c>
      <c r="E264" s="93" t="s">
        <v>463</v>
      </c>
      <c r="F264" s="93">
        <v>7.4037</v>
      </c>
      <c r="G264" s="93">
        <v>9.25</v>
      </c>
      <c r="H264" s="93">
        <v>68.484225</v>
      </c>
      <c r="I264" s="93">
        <v>133.2666</v>
      </c>
    </row>
    <row r="265" ht="25.5" spans="1:9">
      <c r="A265" s="90"/>
      <c r="B265" s="91" t="s">
        <v>1123</v>
      </c>
      <c r="C265" s="91" t="s">
        <v>1361</v>
      </c>
      <c r="D265" s="92" t="s">
        <v>1362</v>
      </c>
      <c r="E265" s="93" t="s">
        <v>463</v>
      </c>
      <c r="F265" s="93">
        <v>0.16675</v>
      </c>
      <c r="G265" s="93">
        <v>19.38</v>
      </c>
      <c r="H265" s="93">
        <v>3.231615</v>
      </c>
      <c r="I265" s="93">
        <v>3.0015</v>
      </c>
    </row>
    <row r="266" ht="25.5" spans="1:9">
      <c r="A266" s="90"/>
      <c r="B266" s="91" t="s">
        <v>1010</v>
      </c>
      <c r="C266" s="91" t="s">
        <v>1009</v>
      </c>
      <c r="D266" s="92" t="s">
        <v>1011</v>
      </c>
      <c r="E266" s="93" t="s">
        <v>476</v>
      </c>
      <c r="F266" s="93">
        <v>0.0109125</v>
      </c>
      <c r="G266" s="93">
        <v>205</v>
      </c>
      <c r="H266" s="93">
        <v>2.2370625</v>
      </c>
      <c r="I266" s="93">
        <v>0.196425</v>
      </c>
    </row>
    <row r="267" spans="1:9">
      <c r="A267" s="90"/>
      <c r="B267" s="91" t="s">
        <v>1734</v>
      </c>
      <c r="C267" s="91" t="s">
        <v>1876</v>
      </c>
      <c r="D267" s="92" t="s">
        <v>1877</v>
      </c>
      <c r="E267" s="93" t="s">
        <v>494</v>
      </c>
      <c r="F267" s="93">
        <v>4.88826107e-7</v>
      </c>
      <c r="G267" s="93">
        <v>36108</v>
      </c>
      <c r="H267" s="93">
        <v>0.017650533071556</v>
      </c>
      <c r="I267" s="93">
        <v>8.798869926e-6</v>
      </c>
    </row>
    <row r="268" ht="38.25" spans="1:9">
      <c r="A268" s="90"/>
      <c r="B268" s="91" t="s">
        <v>1002</v>
      </c>
      <c r="C268" s="91" t="s">
        <v>1869</v>
      </c>
      <c r="D268" s="92" t="s">
        <v>1870</v>
      </c>
      <c r="E268" s="93" t="s">
        <v>494</v>
      </c>
      <c r="F268" s="93">
        <v>7.85268e-7</v>
      </c>
      <c r="G268" s="93">
        <v>32227.1</v>
      </c>
      <c r="H268" s="93">
        <v>0.0253069103628</v>
      </c>
      <c r="I268" s="93">
        <v>1.4134824e-5</v>
      </c>
    </row>
    <row r="269" ht="25.5" spans="1:9">
      <c r="A269" s="90"/>
      <c r="B269" s="91" t="s">
        <v>1385</v>
      </c>
      <c r="C269" s="91" t="s">
        <v>1384</v>
      </c>
      <c r="D269" s="92" t="s">
        <v>1386</v>
      </c>
      <c r="E269" s="93" t="s">
        <v>466</v>
      </c>
      <c r="F269" s="93">
        <v>0.0169256192</v>
      </c>
      <c r="G269" s="93">
        <v>23.97</v>
      </c>
      <c r="H269" s="93">
        <v>0.405707092224</v>
      </c>
      <c r="I269" s="93">
        <v>0.3046611456</v>
      </c>
    </row>
    <row r="270" spans="1:9">
      <c r="A270" s="90"/>
      <c r="B270" s="91" t="s">
        <v>1272</v>
      </c>
      <c r="C270" s="91" t="s">
        <v>1271</v>
      </c>
      <c r="D270" s="92" t="s">
        <v>1273</v>
      </c>
      <c r="E270" s="93" t="s">
        <v>463</v>
      </c>
      <c r="F270" s="93">
        <v>5.4741495</v>
      </c>
      <c r="G270" s="93">
        <v>0.65</v>
      </c>
      <c r="H270" s="93">
        <v>3.558197175</v>
      </c>
      <c r="I270" s="93">
        <v>98.534691</v>
      </c>
    </row>
    <row r="271" ht="25.5" spans="1:9">
      <c r="A271" s="90"/>
      <c r="B271" s="91" t="s">
        <v>1586</v>
      </c>
      <c r="C271" s="91" t="s">
        <v>1585</v>
      </c>
      <c r="D271" s="92" t="s">
        <v>1587</v>
      </c>
      <c r="E271" s="93" t="s">
        <v>215</v>
      </c>
      <c r="F271" s="93">
        <v>0.016</v>
      </c>
      <c r="G271" s="93">
        <v>7.16</v>
      </c>
      <c r="H271" s="93">
        <v>0.11456</v>
      </c>
      <c r="I271" s="93">
        <v>0.288</v>
      </c>
    </row>
    <row r="272" spans="1:9">
      <c r="A272" s="90"/>
      <c r="B272" s="91" t="s">
        <v>1693</v>
      </c>
      <c r="C272" s="91" t="s">
        <v>1692</v>
      </c>
      <c r="D272" s="92" t="s">
        <v>1694</v>
      </c>
      <c r="E272" s="93" t="s">
        <v>1695</v>
      </c>
      <c r="F272" s="93">
        <v>0.0322551</v>
      </c>
      <c r="G272" s="93">
        <v>0.72</v>
      </c>
      <c r="H272" s="93">
        <v>0.023223672</v>
      </c>
      <c r="I272" s="93">
        <v>0.5805918</v>
      </c>
    </row>
    <row r="273" ht="25.5" spans="1:9">
      <c r="A273" s="90"/>
      <c r="B273" s="91" t="s">
        <v>1111</v>
      </c>
      <c r="C273" s="91" t="s">
        <v>1174</v>
      </c>
      <c r="D273" s="92" t="s">
        <v>1175</v>
      </c>
      <c r="E273" s="93" t="s">
        <v>839</v>
      </c>
      <c r="F273" s="93">
        <v>0.676885</v>
      </c>
      <c r="G273" s="93">
        <v>1.43</v>
      </c>
      <c r="H273" s="93">
        <v>0.96794555</v>
      </c>
      <c r="I273" s="93">
        <v>12.18393</v>
      </c>
    </row>
    <row r="274" ht="25.5" spans="1:9">
      <c r="A274" s="90"/>
      <c r="B274" s="91" t="s">
        <v>1111</v>
      </c>
      <c r="C274" s="91" t="s">
        <v>1287</v>
      </c>
      <c r="D274" s="92" t="s">
        <v>1288</v>
      </c>
      <c r="E274" s="93" t="s">
        <v>839</v>
      </c>
      <c r="F274" s="93">
        <v>0.02864195</v>
      </c>
      <c r="G274" s="93">
        <v>0.89</v>
      </c>
      <c r="H274" s="93">
        <v>0.0254913355</v>
      </c>
      <c r="I274" s="93">
        <v>0.5155551</v>
      </c>
    </row>
    <row r="275" ht="25.5" spans="1:9">
      <c r="A275" s="90"/>
      <c r="B275" s="91" t="s">
        <v>1111</v>
      </c>
      <c r="C275" s="91" t="s">
        <v>1351</v>
      </c>
      <c r="D275" s="92" t="s">
        <v>1352</v>
      </c>
      <c r="E275" s="93" t="s">
        <v>839</v>
      </c>
      <c r="F275" s="93">
        <v>0.950008</v>
      </c>
      <c r="G275" s="93">
        <v>1.31</v>
      </c>
      <c r="H275" s="93">
        <v>1.24451048</v>
      </c>
      <c r="I275" s="93">
        <v>17.100144</v>
      </c>
    </row>
    <row r="276" ht="25.5" spans="1:9">
      <c r="A276" s="90"/>
      <c r="B276" s="91" t="s">
        <v>1111</v>
      </c>
      <c r="C276" s="91" t="s">
        <v>1110</v>
      </c>
      <c r="D276" s="92" t="s">
        <v>1112</v>
      </c>
      <c r="E276" s="93" t="s">
        <v>839</v>
      </c>
      <c r="F276" s="93">
        <v>0.1837440004</v>
      </c>
      <c r="G276" s="93">
        <v>1.39</v>
      </c>
      <c r="H276" s="93">
        <v>0.255404160556</v>
      </c>
      <c r="I276" s="93">
        <v>3.3073920072</v>
      </c>
    </row>
    <row r="277" ht="25.5" spans="1:9">
      <c r="A277" s="90"/>
      <c r="B277" s="91" t="s">
        <v>1111</v>
      </c>
      <c r="C277" s="91" t="s">
        <v>1553</v>
      </c>
      <c r="D277" s="92" t="s">
        <v>1554</v>
      </c>
      <c r="E277" s="93" t="s">
        <v>839</v>
      </c>
      <c r="F277" s="93">
        <v>5</v>
      </c>
      <c r="G277" s="93">
        <v>0.74</v>
      </c>
      <c r="H277" s="93">
        <v>3.7</v>
      </c>
      <c r="I277" s="93">
        <v>90</v>
      </c>
    </row>
    <row r="278" ht="25.5" spans="1:9">
      <c r="A278" s="90"/>
      <c r="B278" s="91" t="s">
        <v>1490</v>
      </c>
      <c r="C278" s="91" t="s">
        <v>1489</v>
      </c>
      <c r="D278" s="92" t="s">
        <v>1491</v>
      </c>
      <c r="E278" s="93" t="s">
        <v>494</v>
      </c>
      <c r="F278" s="93">
        <v>4.95581</v>
      </c>
      <c r="G278" s="93">
        <v>0.22</v>
      </c>
      <c r="H278" s="93">
        <v>1.0902782</v>
      </c>
      <c r="I278" s="93">
        <v>89.20458</v>
      </c>
    </row>
    <row r="279" spans="1:9">
      <c r="A279" s="90"/>
      <c r="B279" s="91" t="s">
        <v>1007</v>
      </c>
      <c r="C279" s="91" t="s">
        <v>1050</v>
      </c>
      <c r="D279" s="92" t="s">
        <v>1051</v>
      </c>
      <c r="E279" s="93" t="s">
        <v>839</v>
      </c>
      <c r="F279" s="93">
        <v>6.8392789504</v>
      </c>
      <c r="G279" s="93">
        <v>1.43</v>
      </c>
      <c r="H279" s="93">
        <v>9.780168899072</v>
      </c>
      <c r="I279" s="93">
        <v>123.1070211072</v>
      </c>
    </row>
    <row r="280" ht="25.5" spans="1:9">
      <c r="A280" s="90"/>
      <c r="B280" s="91" t="s">
        <v>1111</v>
      </c>
      <c r="C280" s="91" t="s">
        <v>1310</v>
      </c>
      <c r="D280" s="92" t="s">
        <v>1311</v>
      </c>
      <c r="E280" s="93" t="s">
        <v>839</v>
      </c>
      <c r="F280" s="93">
        <v>0.676885</v>
      </c>
      <c r="G280" s="93">
        <v>0.44</v>
      </c>
      <c r="H280" s="93">
        <v>0.2978294</v>
      </c>
      <c r="I280" s="93">
        <v>12.18393</v>
      </c>
    </row>
    <row r="281" ht="25.5" spans="1:9">
      <c r="A281" s="90"/>
      <c r="B281" s="91" t="s">
        <v>1111</v>
      </c>
      <c r="C281" s="91" t="s">
        <v>1707</v>
      </c>
      <c r="D281" s="92" t="s">
        <v>1708</v>
      </c>
      <c r="E281" s="93" t="s">
        <v>839</v>
      </c>
      <c r="F281" s="93">
        <v>0.02864195</v>
      </c>
      <c r="G281" s="93">
        <v>0.01</v>
      </c>
      <c r="H281" s="93">
        <v>0.0002864195</v>
      </c>
      <c r="I281" s="93">
        <v>0.5155551</v>
      </c>
    </row>
    <row r="282" ht="25.5" spans="1:9">
      <c r="A282" s="90"/>
      <c r="B282" s="91" t="s">
        <v>1111</v>
      </c>
      <c r="C282" s="91" t="s">
        <v>1427</v>
      </c>
      <c r="D282" s="92" t="s">
        <v>1428</v>
      </c>
      <c r="E282" s="93" t="s">
        <v>839</v>
      </c>
      <c r="F282" s="93">
        <v>0.950008</v>
      </c>
      <c r="G282" s="93">
        <v>0.78</v>
      </c>
      <c r="H282" s="93">
        <v>0.74100624</v>
      </c>
      <c r="I282" s="93">
        <v>17.100144</v>
      </c>
    </row>
    <row r="283" ht="25.5" spans="1:9">
      <c r="A283" s="90"/>
      <c r="B283" s="91" t="s">
        <v>1111</v>
      </c>
      <c r="C283" s="91" t="s">
        <v>1195</v>
      </c>
      <c r="D283" s="92" t="s">
        <v>1196</v>
      </c>
      <c r="E283" s="93" t="s">
        <v>839</v>
      </c>
      <c r="F283" s="93">
        <v>0.1837440004</v>
      </c>
      <c r="G283" s="93">
        <v>0.61</v>
      </c>
      <c r="H283" s="93">
        <v>0.112083840244</v>
      </c>
      <c r="I283" s="93">
        <v>3.3073920072</v>
      </c>
    </row>
    <row r="284" ht="25.5" spans="1:9">
      <c r="A284" s="90"/>
      <c r="B284" s="91" t="s">
        <v>1111</v>
      </c>
      <c r="C284" s="91" t="s">
        <v>1745</v>
      </c>
      <c r="D284" s="92" t="s">
        <v>1746</v>
      </c>
      <c r="E284" s="93" t="s">
        <v>839</v>
      </c>
      <c r="F284" s="93">
        <v>5</v>
      </c>
      <c r="G284" s="93">
        <v>0.05</v>
      </c>
      <c r="H284" s="93">
        <v>0.25</v>
      </c>
      <c r="I284" s="93">
        <v>90</v>
      </c>
    </row>
    <row r="285" spans="1:9">
      <c r="A285" s="90"/>
      <c r="B285" s="91" t="s">
        <v>985</v>
      </c>
      <c r="C285" s="91" t="s">
        <v>1227</v>
      </c>
      <c r="D285" s="92" t="s">
        <v>1228</v>
      </c>
      <c r="E285" s="93" t="s">
        <v>215</v>
      </c>
      <c r="F285" s="93">
        <v>0.59625</v>
      </c>
      <c r="G285" s="93">
        <v>5.96</v>
      </c>
      <c r="H285" s="93">
        <v>3.55365</v>
      </c>
      <c r="I285" s="93">
        <v>10.7325</v>
      </c>
    </row>
    <row r="286" spans="1:9">
      <c r="A286" s="90"/>
      <c r="B286" s="91" t="s">
        <v>985</v>
      </c>
      <c r="C286" s="91" t="s">
        <v>984</v>
      </c>
      <c r="D286" s="92" t="s">
        <v>986</v>
      </c>
      <c r="E286" s="93" t="s">
        <v>215</v>
      </c>
      <c r="F286" s="93">
        <v>0.13446092</v>
      </c>
      <c r="G286" s="93">
        <v>5.93</v>
      </c>
      <c r="H286" s="93">
        <v>0.7973532556</v>
      </c>
      <c r="I286" s="93">
        <v>2.42029656</v>
      </c>
    </row>
    <row r="287" spans="1:9">
      <c r="A287" s="90"/>
      <c r="B287" s="91" t="s">
        <v>1393</v>
      </c>
      <c r="C287" s="91" t="s">
        <v>1392</v>
      </c>
      <c r="D287" s="92" t="s">
        <v>1394</v>
      </c>
      <c r="E287" s="93" t="s">
        <v>476</v>
      </c>
      <c r="F287" s="93">
        <v>0.008958</v>
      </c>
      <c r="G287" s="93">
        <v>197.39</v>
      </c>
      <c r="H287" s="93">
        <v>1.76821962</v>
      </c>
      <c r="I287" s="93">
        <v>0.161244</v>
      </c>
    </row>
    <row r="288" spans="1:9">
      <c r="A288" s="90"/>
      <c r="B288" s="91" t="s">
        <v>1120</v>
      </c>
      <c r="C288" s="91" t="s">
        <v>1119</v>
      </c>
      <c r="D288" s="92" t="s">
        <v>1121</v>
      </c>
      <c r="E288" s="93" t="s">
        <v>112</v>
      </c>
      <c r="F288" s="93">
        <v>0.192</v>
      </c>
      <c r="G288" s="93">
        <v>7.78</v>
      </c>
      <c r="H288" s="93">
        <v>1.49376</v>
      </c>
      <c r="I288" s="93">
        <v>3.456</v>
      </c>
    </row>
    <row r="289" spans="1:9">
      <c r="A289" s="90"/>
      <c r="B289" s="91" t="s">
        <v>1251</v>
      </c>
      <c r="C289" s="91" t="s">
        <v>1250</v>
      </c>
      <c r="D289" s="92" t="s">
        <v>1252</v>
      </c>
      <c r="E289" s="93" t="s">
        <v>463</v>
      </c>
      <c r="F289" s="93">
        <v>0.064</v>
      </c>
      <c r="G289" s="93">
        <v>18.4</v>
      </c>
      <c r="H289" s="93">
        <v>1.1776</v>
      </c>
      <c r="I289" s="93">
        <v>1.152</v>
      </c>
    </row>
    <row r="290" spans="1:9">
      <c r="A290" s="90"/>
      <c r="B290" s="91" t="s">
        <v>1283</v>
      </c>
      <c r="C290" s="91" t="s">
        <v>1282</v>
      </c>
      <c r="D290" s="92" t="s">
        <v>1284</v>
      </c>
      <c r="E290" s="93" t="s">
        <v>112</v>
      </c>
      <c r="F290" s="93">
        <v>0.1472</v>
      </c>
      <c r="G290" s="93">
        <v>3.94</v>
      </c>
      <c r="H290" s="93">
        <v>0.579968</v>
      </c>
      <c r="I290" s="93">
        <v>2.6496</v>
      </c>
    </row>
    <row r="291" spans="1:9">
      <c r="A291" s="90"/>
      <c r="B291" s="91" t="s">
        <v>1163</v>
      </c>
      <c r="C291" s="91" t="s">
        <v>1162</v>
      </c>
      <c r="D291" s="92" t="s">
        <v>1164</v>
      </c>
      <c r="E291" s="93" t="s">
        <v>112</v>
      </c>
      <c r="F291" s="93">
        <v>0.1536</v>
      </c>
      <c r="G291" s="93">
        <v>12.9</v>
      </c>
      <c r="H291" s="93">
        <v>1.98144</v>
      </c>
      <c r="I291" s="93">
        <v>2.7648</v>
      </c>
    </row>
    <row r="292" spans="1:9">
      <c r="A292" s="90"/>
      <c r="B292" s="91" t="s">
        <v>1646</v>
      </c>
      <c r="C292" s="91" t="s">
        <v>1645</v>
      </c>
      <c r="D292" s="92" t="s">
        <v>1647</v>
      </c>
      <c r="E292" s="93" t="s">
        <v>215</v>
      </c>
      <c r="F292" s="93">
        <v>0.52</v>
      </c>
      <c r="G292" s="93">
        <v>13.1</v>
      </c>
      <c r="H292" s="93">
        <v>6.81</v>
      </c>
      <c r="I292" s="93">
        <v>9.36</v>
      </c>
    </row>
    <row r="293" spans="1:9">
      <c r="A293" s="90"/>
      <c r="B293" s="91" t="s">
        <v>1750</v>
      </c>
      <c r="C293" s="91" t="s">
        <v>1749</v>
      </c>
      <c r="D293" s="92" t="s">
        <v>1751</v>
      </c>
      <c r="E293" s="93" t="s">
        <v>494</v>
      </c>
      <c r="F293" s="93">
        <v>1.604875e-5</v>
      </c>
      <c r="G293" s="93">
        <v>72890</v>
      </c>
      <c r="H293" s="93">
        <v>1.1697933875</v>
      </c>
      <c r="I293" s="93">
        <v>0.0002888775</v>
      </c>
    </row>
    <row r="294" ht="25.5" spans="1:9">
      <c r="A294" s="90"/>
      <c r="B294" s="91" t="s">
        <v>1634</v>
      </c>
      <c r="C294" s="91" t="s">
        <v>1633</v>
      </c>
      <c r="D294" s="92" t="s">
        <v>1635</v>
      </c>
      <c r="E294" s="93" t="s">
        <v>494</v>
      </c>
      <c r="F294" s="93">
        <v>7.376076e-6</v>
      </c>
      <c r="G294" s="93">
        <v>3390.99</v>
      </c>
      <c r="H294" s="93">
        <v>0.02501219995524</v>
      </c>
      <c r="I294" s="93">
        <v>0.000132769368</v>
      </c>
    </row>
    <row r="295" ht="38.25" spans="1:9">
      <c r="A295" s="85" t="s">
        <v>2212</v>
      </c>
      <c r="B295" s="85" t="s">
        <v>574</v>
      </c>
      <c r="C295" s="85" t="s">
        <v>2213</v>
      </c>
      <c r="D295" s="87" t="s">
        <v>737</v>
      </c>
      <c r="E295" s="89" t="s">
        <v>112</v>
      </c>
      <c r="F295" s="89">
        <v>51.05</v>
      </c>
      <c r="G295" s="89">
        <v>66.79</v>
      </c>
      <c r="H295" s="89">
        <v>3409.62</v>
      </c>
      <c r="I295" s="89">
        <v>51.05</v>
      </c>
    </row>
    <row r="296" spans="1:9">
      <c r="A296" s="90"/>
      <c r="B296" s="91" t="s">
        <v>1007</v>
      </c>
      <c r="C296" s="91" t="s">
        <v>1048</v>
      </c>
      <c r="D296" s="92" t="s">
        <v>1049</v>
      </c>
      <c r="E296" s="93" t="s">
        <v>839</v>
      </c>
      <c r="F296" s="93">
        <v>1</v>
      </c>
      <c r="G296" s="93">
        <v>1.5</v>
      </c>
      <c r="H296" s="93">
        <v>2.2643148</v>
      </c>
      <c r="I296" s="93">
        <v>51.05</v>
      </c>
    </row>
    <row r="297" spans="1:9">
      <c r="A297" s="90"/>
      <c r="B297" s="91" t="s">
        <v>1007</v>
      </c>
      <c r="C297" s="91" t="s">
        <v>1006</v>
      </c>
      <c r="D297" s="92" t="s">
        <v>1008</v>
      </c>
      <c r="E297" s="93" t="s">
        <v>839</v>
      </c>
      <c r="F297" s="93">
        <v>1.5095432</v>
      </c>
      <c r="G297" s="93">
        <v>3.95</v>
      </c>
      <c r="H297" s="93">
        <v>5.96269564</v>
      </c>
      <c r="I297" s="93">
        <v>77.06218036</v>
      </c>
    </row>
    <row r="298" spans="1:9">
      <c r="A298" s="90"/>
      <c r="B298" s="91" t="s">
        <v>1020</v>
      </c>
      <c r="C298" s="91" t="s">
        <v>1094</v>
      </c>
      <c r="D298" s="92" t="s">
        <v>1095</v>
      </c>
      <c r="E298" s="93" t="s">
        <v>839</v>
      </c>
      <c r="F298" s="93">
        <v>0.735396572</v>
      </c>
      <c r="G298" s="93">
        <v>15.35</v>
      </c>
      <c r="H298" s="93">
        <v>11.2883373802</v>
      </c>
      <c r="I298" s="93">
        <v>37.5419950006</v>
      </c>
    </row>
    <row r="299" spans="1:9">
      <c r="A299" s="90"/>
      <c r="B299" s="91" t="s">
        <v>993</v>
      </c>
      <c r="C299" s="91" t="s">
        <v>992</v>
      </c>
      <c r="D299" s="92" t="s">
        <v>994</v>
      </c>
      <c r="E299" s="93" t="s">
        <v>839</v>
      </c>
      <c r="F299" s="93">
        <v>0.733063038</v>
      </c>
      <c r="G299" s="93">
        <v>21.83</v>
      </c>
      <c r="H299" s="93">
        <v>16.00276611954</v>
      </c>
      <c r="I299" s="93">
        <v>37.4228680899</v>
      </c>
    </row>
    <row r="300" spans="1:9">
      <c r="A300" s="90"/>
      <c r="B300" s="91" t="s">
        <v>1108</v>
      </c>
      <c r="C300" s="91" t="s">
        <v>1127</v>
      </c>
      <c r="D300" s="92" t="s">
        <v>1128</v>
      </c>
      <c r="E300" s="93" t="s">
        <v>839</v>
      </c>
      <c r="F300" s="93">
        <v>0.0354039</v>
      </c>
      <c r="G300" s="93">
        <v>18</v>
      </c>
      <c r="H300" s="93">
        <v>0.6372702</v>
      </c>
      <c r="I300" s="93">
        <v>1.807369095</v>
      </c>
    </row>
    <row r="301" spans="1:9">
      <c r="A301" s="90"/>
      <c r="B301" s="91" t="s">
        <v>1007</v>
      </c>
      <c r="C301" s="91" t="s">
        <v>1378</v>
      </c>
      <c r="D301" s="92" t="s">
        <v>1379</v>
      </c>
      <c r="E301" s="93" t="s">
        <v>839</v>
      </c>
      <c r="F301" s="93">
        <v>1.5095432</v>
      </c>
      <c r="G301" s="93">
        <v>0.08</v>
      </c>
      <c r="H301" s="93">
        <v>0.120763456</v>
      </c>
      <c r="I301" s="93">
        <v>77.06218036</v>
      </c>
    </row>
    <row r="302" spans="1:9">
      <c r="A302" s="90"/>
      <c r="B302" s="91" t="s">
        <v>1020</v>
      </c>
      <c r="C302" s="91" t="s">
        <v>1019</v>
      </c>
      <c r="D302" s="92" t="s">
        <v>1021</v>
      </c>
      <c r="E302" s="93" t="s">
        <v>839</v>
      </c>
      <c r="F302" s="93">
        <v>0.02567623584</v>
      </c>
      <c r="G302" s="93">
        <v>14.49</v>
      </c>
      <c r="H302" s="93">
        <v>0.3720486573216</v>
      </c>
      <c r="I302" s="93">
        <v>1.310771839632</v>
      </c>
    </row>
    <row r="303" ht="25.5" spans="1:9">
      <c r="A303" s="90"/>
      <c r="B303" s="91" t="s">
        <v>1010</v>
      </c>
      <c r="C303" s="91" t="s">
        <v>1009</v>
      </c>
      <c r="D303" s="92" t="s">
        <v>1011</v>
      </c>
      <c r="E303" s="93" t="s">
        <v>476</v>
      </c>
      <c r="F303" s="93">
        <v>0.0034152</v>
      </c>
      <c r="G303" s="93">
        <v>205</v>
      </c>
      <c r="H303" s="93">
        <v>0.700116</v>
      </c>
      <c r="I303" s="93">
        <v>0.17434596</v>
      </c>
    </row>
    <row r="304" ht="25.5" spans="1:9">
      <c r="A304" s="90"/>
      <c r="B304" s="91" t="s">
        <v>1186</v>
      </c>
      <c r="C304" s="91" t="s">
        <v>1516</v>
      </c>
      <c r="D304" s="92" t="s">
        <v>1517</v>
      </c>
      <c r="E304" s="93" t="s">
        <v>112</v>
      </c>
      <c r="F304" s="93">
        <v>0.4125</v>
      </c>
      <c r="G304" s="93">
        <v>25.42</v>
      </c>
      <c r="H304" s="93">
        <v>10.48</v>
      </c>
      <c r="I304" s="93">
        <v>21.058125</v>
      </c>
    </row>
    <row r="305" spans="1:9">
      <c r="A305" s="90"/>
      <c r="B305" s="91" t="s">
        <v>1272</v>
      </c>
      <c r="C305" s="91" t="s">
        <v>1271</v>
      </c>
      <c r="D305" s="92" t="s">
        <v>1273</v>
      </c>
      <c r="E305" s="93" t="s">
        <v>463</v>
      </c>
      <c r="F305" s="93">
        <v>0.87572</v>
      </c>
      <c r="G305" s="93">
        <v>0.65</v>
      </c>
      <c r="H305" s="93">
        <v>0.569218</v>
      </c>
      <c r="I305" s="93">
        <v>44.705506</v>
      </c>
    </row>
    <row r="306" spans="1:9">
      <c r="A306" s="90"/>
      <c r="B306" s="91" t="s">
        <v>1693</v>
      </c>
      <c r="C306" s="91" t="s">
        <v>1692</v>
      </c>
      <c r="D306" s="92" t="s">
        <v>1694</v>
      </c>
      <c r="E306" s="93" t="s">
        <v>1695</v>
      </c>
      <c r="F306" s="93">
        <v>0.00952</v>
      </c>
      <c r="G306" s="93">
        <v>0.72</v>
      </c>
      <c r="H306" s="93">
        <v>0.0068544</v>
      </c>
      <c r="I306" s="93">
        <v>0.485996</v>
      </c>
    </row>
    <row r="307" ht="25.5" spans="1:9">
      <c r="A307" s="90"/>
      <c r="B307" s="91" t="s">
        <v>1111</v>
      </c>
      <c r="C307" s="91" t="s">
        <v>1174</v>
      </c>
      <c r="D307" s="92" t="s">
        <v>1175</v>
      </c>
      <c r="E307" s="93" t="s">
        <v>839</v>
      </c>
      <c r="F307" s="93">
        <v>1.4494</v>
      </c>
      <c r="G307" s="93">
        <v>1.43</v>
      </c>
      <c r="H307" s="93">
        <v>2.072642</v>
      </c>
      <c r="I307" s="93">
        <v>73.99187</v>
      </c>
    </row>
    <row r="308" ht="25.5" spans="1:9">
      <c r="A308" s="90"/>
      <c r="B308" s="91" t="s">
        <v>1111</v>
      </c>
      <c r="C308" s="91" t="s">
        <v>1287</v>
      </c>
      <c r="D308" s="92" t="s">
        <v>1288</v>
      </c>
      <c r="E308" s="93" t="s">
        <v>839</v>
      </c>
      <c r="F308" s="93">
        <v>0.035</v>
      </c>
      <c r="G308" s="93">
        <v>0.89</v>
      </c>
      <c r="H308" s="93">
        <v>0.03115</v>
      </c>
      <c r="I308" s="93">
        <v>1.78675</v>
      </c>
    </row>
    <row r="309" ht="25.5" spans="1:9">
      <c r="A309" s="90"/>
      <c r="B309" s="91" t="s">
        <v>1111</v>
      </c>
      <c r="C309" s="91" t="s">
        <v>1110</v>
      </c>
      <c r="D309" s="92" t="s">
        <v>1112</v>
      </c>
      <c r="E309" s="93" t="s">
        <v>839</v>
      </c>
      <c r="F309" s="93">
        <v>0.0251432</v>
      </c>
      <c r="G309" s="93">
        <v>1.39</v>
      </c>
      <c r="H309" s="93">
        <v>0.034949048</v>
      </c>
      <c r="I309" s="93">
        <v>1.28356036</v>
      </c>
    </row>
    <row r="310" spans="1:9">
      <c r="A310" s="90"/>
      <c r="B310" s="91" t="s">
        <v>1007</v>
      </c>
      <c r="C310" s="91" t="s">
        <v>1050</v>
      </c>
      <c r="D310" s="92" t="s">
        <v>1051</v>
      </c>
      <c r="E310" s="93" t="s">
        <v>839</v>
      </c>
      <c r="F310" s="93">
        <v>1.5095432</v>
      </c>
      <c r="G310" s="93">
        <v>1.43</v>
      </c>
      <c r="H310" s="93">
        <v>2.158646776</v>
      </c>
      <c r="I310" s="93">
        <v>77.06218036</v>
      </c>
    </row>
    <row r="311" ht="25.5" spans="1:9">
      <c r="A311" s="90"/>
      <c r="B311" s="91" t="s">
        <v>1111</v>
      </c>
      <c r="C311" s="91" t="s">
        <v>1310</v>
      </c>
      <c r="D311" s="92" t="s">
        <v>1311</v>
      </c>
      <c r="E311" s="93" t="s">
        <v>839</v>
      </c>
      <c r="F311" s="93">
        <v>1.4494</v>
      </c>
      <c r="G311" s="93">
        <v>0.44</v>
      </c>
      <c r="H311" s="93">
        <v>0.637736</v>
      </c>
      <c r="I311" s="93">
        <v>73.99187</v>
      </c>
    </row>
    <row r="312" ht="25.5" spans="1:9">
      <c r="A312" s="90"/>
      <c r="B312" s="91" t="s">
        <v>1111</v>
      </c>
      <c r="C312" s="91" t="s">
        <v>1707</v>
      </c>
      <c r="D312" s="92" t="s">
        <v>1708</v>
      </c>
      <c r="E312" s="93" t="s">
        <v>839</v>
      </c>
      <c r="F312" s="93">
        <v>0.035</v>
      </c>
      <c r="G312" s="93">
        <v>0.01</v>
      </c>
      <c r="H312" s="93">
        <v>0.00035</v>
      </c>
      <c r="I312" s="93">
        <v>1.78675</v>
      </c>
    </row>
    <row r="313" ht="25.5" spans="1:9">
      <c r="A313" s="90"/>
      <c r="B313" s="91" t="s">
        <v>1111</v>
      </c>
      <c r="C313" s="91" t="s">
        <v>1195</v>
      </c>
      <c r="D313" s="92" t="s">
        <v>1196</v>
      </c>
      <c r="E313" s="93" t="s">
        <v>839</v>
      </c>
      <c r="F313" s="93">
        <v>0.0251432</v>
      </c>
      <c r="G313" s="93">
        <v>0.61</v>
      </c>
      <c r="H313" s="93">
        <v>0.015337352</v>
      </c>
      <c r="I313" s="93">
        <v>1.28356036</v>
      </c>
    </row>
    <row r="314" spans="1:9">
      <c r="A314" s="90"/>
      <c r="B314" s="91" t="s">
        <v>1393</v>
      </c>
      <c r="C314" s="91" t="s">
        <v>1392</v>
      </c>
      <c r="D314" s="92" t="s">
        <v>1394</v>
      </c>
      <c r="E314" s="93" t="s">
        <v>476</v>
      </c>
      <c r="F314" s="93">
        <v>0.0023884</v>
      </c>
      <c r="G314" s="93">
        <v>197.39</v>
      </c>
      <c r="H314" s="93">
        <v>0.471446276</v>
      </c>
      <c r="I314" s="93">
        <v>0.12192782</v>
      </c>
    </row>
    <row r="315" spans="1:9">
      <c r="A315" s="90"/>
      <c r="B315" s="91" t="s">
        <v>1251</v>
      </c>
      <c r="C315" s="91" t="s">
        <v>1596</v>
      </c>
      <c r="D315" s="92" t="s">
        <v>1597</v>
      </c>
      <c r="E315" s="93" t="s">
        <v>463</v>
      </c>
      <c r="F315" s="93">
        <v>0.111</v>
      </c>
      <c r="G315" s="93">
        <v>18.72</v>
      </c>
      <c r="H315" s="93">
        <v>2.07</v>
      </c>
      <c r="I315" s="93">
        <v>5.66655</v>
      </c>
    </row>
    <row r="316" ht="25.5" spans="1:9">
      <c r="A316" s="90"/>
      <c r="B316" s="91" t="s">
        <v>1581</v>
      </c>
      <c r="C316" s="91" t="s">
        <v>1580</v>
      </c>
      <c r="D316" s="92" t="s">
        <v>1582</v>
      </c>
      <c r="E316" s="93" t="s">
        <v>112</v>
      </c>
      <c r="F316" s="93">
        <v>0.7445</v>
      </c>
      <c r="G316" s="93">
        <v>7.07</v>
      </c>
      <c r="H316" s="93">
        <v>5.26</v>
      </c>
      <c r="I316" s="93">
        <v>38.006725</v>
      </c>
    </row>
    <row r="317" ht="25.5" spans="1:9">
      <c r="A317" s="90"/>
      <c r="B317" s="91" t="s">
        <v>1812</v>
      </c>
      <c r="C317" s="91" t="s">
        <v>1811</v>
      </c>
      <c r="D317" s="92" t="s">
        <v>1813</v>
      </c>
      <c r="E317" s="93" t="s">
        <v>494</v>
      </c>
      <c r="F317" s="93">
        <v>3.388e-6</v>
      </c>
      <c r="G317" s="93">
        <v>1504.72</v>
      </c>
      <c r="H317" s="93">
        <v>0.00509799136</v>
      </c>
      <c r="I317" s="93">
        <v>0.0001729574</v>
      </c>
    </row>
    <row r="318" spans="1:9">
      <c r="A318" s="90"/>
      <c r="B318" s="91" t="s">
        <v>1589</v>
      </c>
      <c r="C318" s="91" t="s">
        <v>1588</v>
      </c>
      <c r="D318" s="92" t="s">
        <v>1590</v>
      </c>
      <c r="E318" s="93" t="s">
        <v>112</v>
      </c>
      <c r="F318" s="93">
        <v>0.55</v>
      </c>
      <c r="G318" s="93">
        <v>8.79</v>
      </c>
      <c r="H318" s="93">
        <v>4.83</v>
      </c>
      <c r="I318" s="93">
        <v>28.0775</v>
      </c>
    </row>
    <row r="319" spans="1:9">
      <c r="A319" s="90"/>
      <c r="B319" s="91" t="s">
        <v>1710</v>
      </c>
      <c r="C319" s="91" t="s">
        <v>1709</v>
      </c>
      <c r="D319" s="92" t="s">
        <v>1711</v>
      </c>
      <c r="E319" s="93" t="s">
        <v>215</v>
      </c>
      <c r="F319" s="93">
        <v>0.0256</v>
      </c>
      <c r="G319" s="93">
        <v>31.4</v>
      </c>
      <c r="H319" s="93">
        <v>0.8</v>
      </c>
      <c r="I319" s="93">
        <v>1.30688</v>
      </c>
    </row>
    <row r="320" ht="38.25" spans="1:9">
      <c r="A320" s="85" t="s">
        <v>2214</v>
      </c>
      <c r="B320" s="85" t="s">
        <v>2215</v>
      </c>
      <c r="C320" s="85" t="s">
        <v>2216</v>
      </c>
      <c r="D320" s="87" t="s">
        <v>738</v>
      </c>
      <c r="E320" s="89" t="s">
        <v>112</v>
      </c>
      <c r="F320" s="89">
        <v>2555.69</v>
      </c>
      <c r="G320" s="89">
        <v>1.49</v>
      </c>
      <c r="H320" s="89">
        <v>3807.97</v>
      </c>
      <c r="I320" s="89">
        <v>2555.69</v>
      </c>
    </row>
    <row r="321" spans="1:9">
      <c r="A321" s="90"/>
      <c r="B321" s="91" t="s">
        <v>1640</v>
      </c>
      <c r="C321" s="91" t="s">
        <v>1639</v>
      </c>
      <c r="D321" s="92" t="s">
        <v>1641</v>
      </c>
      <c r="E321" s="93" t="s">
        <v>839</v>
      </c>
      <c r="F321" s="93">
        <v>0.0105</v>
      </c>
      <c r="G321" s="93">
        <v>2.36</v>
      </c>
      <c r="H321" s="93">
        <v>0.02</v>
      </c>
      <c r="I321" s="93">
        <v>26.834745</v>
      </c>
    </row>
    <row r="322" ht="25.5" spans="1:9">
      <c r="A322" s="90"/>
      <c r="B322" s="91" t="s">
        <v>1643</v>
      </c>
      <c r="C322" s="91" t="s">
        <v>1642</v>
      </c>
      <c r="D322" s="92" t="s">
        <v>1644</v>
      </c>
      <c r="E322" s="93" t="s">
        <v>839</v>
      </c>
      <c r="F322" s="93">
        <v>0.0105</v>
      </c>
      <c r="G322" s="93">
        <v>2.36</v>
      </c>
      <c r="H322" s="93">
        <v>0.02</v>
      </c>
      <c r="I322" s="93">
        <v>26.834745</v>
      </c>
    </row>
    <row r="323" spans="1:9">
      <c r="A323" s="90"/>
      <c r="B323" s="91" t="s">
        <v>1388</v>
      </c>
      <c r="C323" s="91" t="s">
        <v>1387</v>
      </c>
      <c r="D323" s="92" t="s">
        <v>1389</v>
      </c>
      <c r="E323" s="93" t="s">
        <v>839</v>
      </c>
      <c r="F323" s="93">
        <v>0.04234902</v>
      </c>
      <c r="G323" s="93">
        <v>9.81</v>
      </c>
      <c r="H323" s="93">
        <v>0.4154438862</v>
      </c>
      <c r="I323" s="93">
        <v>108.2309669238</v>
      </c>
    </row>
    <row r="324" spans="1:9">
      <c r="A324" s="90"/>
      <c r="B324" s="91" t="s">
        <v>1418</v>
      </c>
      <c r="C324" s="91" t="s">
        <v>1485</v>
      </c>
      <c r="D324" s="92" t="s">
        <v>1486</v>
      </c>
      <c r="E324" s="93" t="s">
        <v>839</v>
      </c>
      <c r="F324" s="93">
        <v>0.010587255</v>
      </c>
      <c r="G324" s="93">
        <v>15.35</v>
      </c>
      <c r="H324" s="93">
        <v>0.16251436425</v>
      </c>
      <c r="I324" s="93">
        <v>27.05774173095</v>
      </c>
    </row>
    <row r="325" spans="1:9">
      <c r="A325" s="90"/>
      <c r="B325" s="91" t="s">
        <v>1007</v>
      </c>
      <c r="C325" s="91" t="s">
        <v>1378</v>
      </c>
      <c r="D325" s="92" t="s">
        <v>1379</v>
      </c>
      <c r="E325" s="93" t="s">
        <v>839</v>
      </c>
      <c r="F325" s="93">
        <v>0.063</v>
      </c>
      <c r="G325" s="93">
        <v>0.08</v>
      </c>
      <c r="H325" s="93">
        <v>0.00504</v>
      </c>
      <c r="I325" s="93">
        <v>161.00847</v>
      </c>
    </row>
    <row r="326" spans="1:9">
      <c r="A326" s="90"/>
      <c r="B326" s="91" t="s">
        <v>1418</v>
      </c>
      <c r="C326" s="91" t="s">
        <v>1417</v>
      </c>
      <c r="D326" s="92" t="s">
        <v>1419</v>
      </c>
      <c r="E326" s="93" t="s">
        <v>839</v>
      </c>
      <c r="F326" s="93">
        <v>0.010587255</v>
      </c>
      <c r="G326" s="93">
        <v>21.83</v>
      </c>
      <c r="H326" s="93">
        <v>0.23111977665</v>
      </c>
      <c r="I326" s="93">
        <v>27.05774173095</v>
      </c>
    </row>
    <row r="327" ht="25.5" spans="1:9">
      <c r="A327" s="90"/>
      <c r="B327" s="91" t="s">
        <v>1111</v>
      </c>
      <c r="C327" s="91" t="s">
        <v>1553</v>
      </c>
      <c r="D327" s="92" t="s">
        <v>1554</v>
      </c>
      <c r="E327" s="93" t="s">
        <v>839</v>
      </c>
      <c r="F327" s="93">
        <v>0.063</v>
      </c>
      <c r="G327" s="93">
        <v>0.74</v>
      </c>
      <c r="H327" s="93">
        <v>0.04662</v>
      </c>
      <c r="I327" s="93">
        <v>161.00847</v>
      </c>
    </row>
    <row r="328" spans="1:9">
      <c r="A328" s="90"/>
      <c r="B328" s="91" t="s">
        <v>1007</v>
      </c>
      <c r="C328" s="91" t="s">
        <v>1050</v>
      </c>
      <c r="D328" s="92" t="s">
        <v>1051</v>
      </c>
      <c r="E328" s="93" t="s">
        <v>839</v>
      </c>
      <c r="F328" s="93">
        <v>0.063</v>
      </c>
      <c r="G328" s="93">
        <v>1.43</v>
      </c>
      <c r="H328" s="93">
        <v>0.09009</v>
      </c>
      <c r="I328" s="93">
        <v>161.00847</v>
      </c>
    </row>
    <row r="329" ht="25.5" spans="1:9">
      <c r="A329" s="90"/>
      <c r="B329" s="91" t="s">
        <v>1111</v>
      </c>
      <c r="C329" s="91" t="s">
        <v>1745</v>
      </c>
      <c r="D329" s="92" t="s">
        <v>1746</v>
      </c>
      <c r="E329" s="93" t="s">
        <v>839</v>
      </c>
      <c r="F329" s="93">
        <v>0.063</v>
      </c>
      <c r="G329" s="93">
        <v>0.05</v>
      </c>
      <c r="H329" s="93">
        <v>0.00315</v>
      </c>
      <c r="I329" s="93">
        <v>161.00847</v>
      </c>
    </row>
    <row r="330" ht="25.5" spans="1:9">
      <c r="A330" s="90"/>
      <c r="B330" s="91" t="s">
        <v>1501</v>
      </c>
      <c r="C330" s="91" t="s">
        <v>1500</v>
      </c>
      <c r="D330" s="92" t="s">
        <v>1502</v>
      </c>
      <c r="E330" s="93" t="s">
        <v>494</v>
      </c>
      <c r="F330" s="93">
        <v>1.349775e-6</v>
      </c>
      <c r="G330" s="93">
        <v>112079</v>
      </c>
      <c r="H330" s="93">
        <v>0.151281432225</v>
      </c>
      <c r="I330" s="93">
        <v>0.00344960646975</v>
      </c>
    </row>
    <row r="331" spans="1:9">
      <c r="A331" s="90"/>
      <c r="B331" s="91" t="s">
        <v>985</v>
      </c>
      <c r="C331" s="91" t="s">
        <v>1227</v>
      </c>
      <c r="D331" s="92" t="s">
        <v>1228</v>
      </c>
      <c r="E331" s="93" t="s">
        <v>215</v>
      </c>
      <c r="F331" s="93">
        <v>0.05859</v>
      </c>
      <c r="G331" s="93">
        <v>5.96</v>
      </c>
      <c r="H331" s="93">
        <v>0.3491964</v>
      </c>
      <c r="I331" s="93">
        <v>149.7378771</v>
      </c>
    </row>
    <row r="332" spans="1:9">
      <c r="A332" s="85" t="s">
        <v>2217</v>
      </c>
      <c r="B332" s="86"/>
      <c r="C332" s="86"/>
      <c r="D332" s="87" t="s">
        <v>739</v>
      </c>
      <c r="E332" s="88"/>
      <c r="F332" s="89">
        <v>0</v>
      </c>
      <c r="G332" s="89">
        <v>0</v>
      </c>
      <c r="H332" s="89">
        <v>0</v>
      </c>
      <c r="I332" s="89">
        <v>0</v>
      </c>
    </row>
    <row r="333" spans="1:9">
      <c r="A333" s="85" t="s">
        <v>2218</v>
      </c>
      <c r="B333" s="85" t="s">
        <v>740</v>
      </c>
      <c r="C333" s="85" t="s">
        <v>2219</v>
      </c>
      <c r="D333" s="87" t="s">
        <v>741</v>
      </c>
      <c r="E333" s="89" t="s">
        <v>476</v>
      </c>
      <c r="F333" s="89">
        <v>1.46</v>
      </c>
      <c r="G333" s="89">
        <v>766.4</v>
      </c>
      <c r="H333" s="89">
        <v>1118.94</v>
      </c>
      <c r="I333" s="89">
        <v>1.46</v>
      </c>
    </row>
    <row r="334" ht="25.5" spans="1:9">
      <c r="A334" s="90"/>
      <c r="B334" s="91" t="s">
        <v>1734</v>
      </c>
      <c r="C334" s="91" t="s">
        <v>1733</v>
      </c>
      <c r="D334" s="92" t="s">
        <v>1735</v>
      </c>
      <c r="E334" s="93" t="s">
        <v>494</v>
      </c>
      <c r="F334" s="93">
        <v>1</v>
      </c>
      <c r="G334" s="93">
        <v>506818.4</v>
      </c>
      <c r="H334" s="93">
        <v>19.107484040283</v>
      </c>
      <c r="I334" s="93">
        <v>1.46</v>
      </c>
    </row>
    <row r="335" spans="1:9">
      <c r="A335" s="90"/>
      <c r="B335" s="91" t="s">
        <v>1661</v>
      </c>
      <c r="C335" s="91" t="s">
        <v>1890</v>
      </c>
      <c r="D335" s="92" t="s">
        <v>1891</v>
      </c>
      <c r="E335" s="93" t="s">
        <v>494</v>
      </c>
      <c r="F335" s="93">
        <v>1</v>
      </c>
      <c r="G335" s="93">
        <v>2887.29</v>
      </c>
      <c r="H335" s="93">
        <v>0.0722818950437606</v>
      </c>
      <c r="I335" s="93">
        <v>1.46</v>
      </c>
    </row>
    <row r="336" spans="1:9">
      <c r="A336" s="90"/>
      <c r="B336" s="91" t="s">
        <v>1007</v>
      </c>
      <c r="C336" s="91" t="s">
        <v>1048</v>
      </c>
      <c r="D336" s="92" t="s">
        <v>1049</v>
      </c>
      <c r="E336" s="93" t="s">
        <v>839</v>
      </c>
      <c r="F336" s="93">
        <v>1</v>
      </c>
      <c r="G336" s="93">
        <v>1.5</v>
      </c>
      <c r="H336" s="93">
        <v>11.7571391925</v>
      </c>
      <c r="I336" s="93">
        <v>1.46</v>
      </c>
    </row>
    <row r="337" spans="1:9">
      <c r="A337" s="90"/>
      <c r="B337" s="91" t="s">
        <v>1007</v>
      </c>
      <c r="C337" s="91" t="s">
        <v>1006</v>
      </c>
      <c r="D337" s="92" t="s">
        <v>1008</v>
      </c>
      <c r="E337" s="93" t="s">
        <v>839</v>
      </c>
      <c r="F337" s="93">
        <v>7.838092795</v>
      </c>
      <c r="G337" s="93">
        <v>3.95</v>
      </c>
      <c r="H337" s="93">
        <v>30.96046654025</v>
      </c>
      <c r="I337" s="93">
        <v>11.4436154807</v>
      </c>
    </row>
    <row r="338" spans="1:9">
      <c r="A338" s="90"/>
      <c r="B338" s="91" t="s">
        <v>1023</v>
      </c>
      <c r="C338" s="91" t="s">
        <v>1436</v>
      </c>
      <c r="D338" s="92" t="s">
        <v>1437</v>
      </c>
      <c r="E338" s="93" t="s">
        <v>839</v>
      </c>
      <c r="F338" s="93">
        <v>0.320229413193</v>
      </c>
      <c r="G338" s="93">
        <v>21.83</v>
      </c>
      <c r="H338" s="93">
        <v>6.99060809000319</v>
      </c>
      <c r="I338" s="93">
        <v>0.46753494326178</v>
      </c>
    </row>
    <row r="339" spans="1:9">
      <c r="A339" s="90"/>
      <c r="B339" s="91" t="s">
        <v>1108</v>
      </c>
      <c r="C339" s="91" t="s">
        <v>1127</v>
      </c>
      <c r="D339" s="92" t="s">
        <v>1128</v>
      </c>
      <c r="E339" s="93" t="s">
        <v>839</v>
      </c>
      <c r="F339" s="93">
        <v>4.813189944276</v>
      </c>
      <c r="G339" s="93">
        <v>18</v>
      </c>
      <c r="H339" s="93">
        <v>86.637418996968</v>
      </c>
      <c r="I339" s="93">
        <v>7.02725731864296</v>
      </c>
    </row>
    <row r="340" spans="1:9">
      <c r="A340" s="90"/>
      <c r="B340" s="91" t="s">
        <v>1007</v>
      </c>
      <c r="C340" s="91" t="s">
        <v>1378</v>
      </c>
      <c r="D340" s="92" t="s">
        <v>1379</v>
      </c>
      <c r="E340" s="93" t="s">
        <v>839</v>
      </c>
      <c r="F340" s="93">
        <v>7.838092795</v>
      </c>
      <c r="G340" s="93">
        <v>0.08</v>
      </c>
      <c r="H340" s="93">
        <v>0.6270474236</v>
      </c>
      <c r="I340" s="93">
        <v>11.4436154807</v>
      </c>
    </row>
    <row r="341" spans="1:9">
      <c r="A341" s="90"/>
      <c r="B341" s="91" t="s">
        <v>1020</v>
      </c>
      <c r="C341" s="91" t="s">
        <v>1019</v>
      </c>
      <c r="D341" s="92" t="s">
        <v>1021</v>
      </c>
      <c r="E341" s="93" t="s">
        <v>839</v>
      </c>
      <c r="F341" s="93">
        <v>2.655695236854</v>
      </c>
      <c r="G341" s="93">
        <v>14.49</v>
      </c>
      <c r="H341" s="93">
        <v>38.4810239820145</v>
      </c>
      <c r="I341" s="93">
        <v>3.87731504580684</v>
      </c>
    </row>
    <row r="342" spans="1:9">
      <c r="A342" s="90"/>
      <c r="B342" s="91" t="s">
        <v>1764</v>
      </c>
      <c r="C342" s="91" t="s">
        <v>1763</v>
      </c>
      <c r="D342" s="92" t="s">
        <v>1765</v>
      </c>
      <c r="E342" s="93" t="s">
        <v>839</v>
      </c>
      <c r="F342" s="93">
        <v>0.162496213296</v>
      </c>
      <c r="G342" s="93">
        <v>21.83</v>
      </c>
      <c r="H342" s="93">
        <v>3.54729233625168</v>
      </c>
      <c r="I342" s="93">
        <v>0.23724447141216</v>
      </c>
    </row>
    <row r="343" spans="1:9">
      <c r="A343" s="90"/>
      <c r="B343" s="91" t="s">
        <v>1734</v>
      </c>
      <c r="C343" s="91" t="s">
        <v>1806</v>
      </c>
      <c r="D343" s="92" t="s">
        <v>1807</v>
      </c>
      <c r="E343" s="93" t="s">
        <v>494</v>
      </c>
      <c r="F343" s="93">
        <v>5.0856161074e-5</v>
      </c>
      <c r="G343" s="93">
        <v>72035.46</v>
      </c>
      <c r="H343" s="93">
        <v>3.66344695679968</v>
      </c>
      <c r="I343" s="93">
        <v>7.424999516804e-5</v>
      </c>
    </row>
    <row r="344" spans="1:9">
      <c r="A344" s="90"/>
      <c r="B344" s="91" t="s">
        <v>1661</v>
      </c>
      <c r="C344" s="91" t="s">
        <v>1660</v>
      </c>
      <c r="D344" s="92" t="s">
        <v>1662</v>
      </c>
      <c r="E344" s="93" t="s">
        <v>494</v>
      </c>
      <c r="F344" s="93">
        <v>0.0002130757510842</v>
      </c>
      <c r="G344" s="93">
        <v>335529.82</v>
      </c>
      <c r="H344" s="93">
        <v>71.4932684076464</v>
      </c>
      <c r="I344" s="93">
        <v>0.000311090596582932</v>
      </c>
    </row>
    <row r="345" ht="25.5" spans="1:9">
      <c r="A345" s="90"/>
      <c r="B345" s="91" t="s">
        <v>1111</v>
      </c>
      <c r="C345" s="91" t="s">
        <v>1287</v>
      </c>
      <c r="D345" s="92" t="s">
        <v>1288</v>
      </c>
      <c r="E345" s="93" t="s">
        <v>839</v>
      </c>
      <c r="F345" s="93">
        <v>5.0768871</v>
      </c>
      <c r="G345" s="93">
        <v>0.89</v>
      </c>
      <c r="H345" s="93">
        <v>4.518429519</v>
      </c>
      <c r="I345" s="93">
        <v>7.412255166</v>
      </c>
    </row>
    <row r="346" ht="25.5" spans="1:9">
      <c r="A346" s="90"/>
      <c r="B346" s="91" t="s">
        <v>1111</v>
      </c>
      <c r="C346" s="91" t="s">
        <v>1110</v>
      </c>
      <c r="D346" s="92" t="s">
        <v>1112</v>
      </c>
      <c r="E346" s="93" t="s">
        <v>839</v>
      </c>
      <c r="F346" s="93">
        <v>2.600563295</v>
      </c>
      <c r="G346" s="93">
        <v>1.39</v>
      </c>
      <c r="H346" s="93">
        <v>3.61478298005</v>
      </c>
      <c r="I346" s="93">
        <v>3.7968224107</v>
      </c>
    </row>
    <row r="347" ht="25.5" spans="1:9">
      <c r="A347" s="90"/>
      <c r="B347" s="91" t="s">
        <v>1111</v>
      </c>
      <c r="C347" s="91" t="s">
        <v>1850</v>
      </c>
      <c r="D347" s="92" t="s">
        <v>1851</v>
      </c>
      <c r="E347" s="93" t="s">
        <v>839</v>
      </c>
      <c r="F347" s="93">
        <v>0.1606424</v>
      </c>
      <c r="G347" s="93">
        <v>1.82</v>
      </c>
      <c r="H347" s="93">
        <v>0.292369168</v>
      </c>
      <c r="I347" s="93">
        <v>0.234537904</v>
      </c>
    </row>
    <row r="348" spans="1:9">
      <c r="A348" s="90"/>
      <c r="B348" s="91" t="s">
        <v>1007</v>
      </c>
      <c r="C348" s="91" t="s">
        <v>1050</v>
      </c>
      <c r="D348" s="92" t="s">
        <v>1051</v>
      </c>
      <c r="E348" s="93" t="s">
        <v>839</v>
      </c>
      <c r="F348" s="93">
        <v>7.838092795</v>
      </c>
      <c r="G348" s="93">
        <v>1.43</v>
      </c>
      <c r="H348" s="93">
        <v>11.20847269685</v>
      </c>
      <c r="I348" s="93">
        <v>11.4436154807</v>
      </c>
    </row>
    <row r="349" ht="25.5" spans="1:9">
      <c r="A349" s="90"/>
      <c r="B349" s="91" t="s">
        <v>1111</v>
      </c>
      <c r="C349" s="91" t="s">
        <v>1707</v>
      </c>
      <c r="D349" s="92" t="s">
        <v>1708</v>
      </c>
      <c r="E349" s="93" t="s">
        <v>839</v>
      </c>
      <c r="F349" s="93">
        <v>5.0768871</v>
      </c>
      <c r="G349" s="93">
        <v>0.01</v>
      </c>
      <c r="H349" s="93">
        <v>0.050768871</v>
      </c>
      <c r="I349" s="93">
        <v>7.412255166</v>
      </c>
    </row>
    <row r="350" ht="25.5" spans="1:9">
      <c r="A350" s="90"/>
      <c r="B350" s="91" t="s">
        <v>1111</v>
      </c>
      <c r="C350" s="91" t="s">
        <v>1195</v>
      </c>
      <c r="D350" s="92" t="s">
        <v>1196</v>
      </c>
      <c r="E350" s="93" t="s">
        <v>839</v>
      </c>
      <c r="F350" s="93">
        <v>2.600563295</v>
      </c>
      <c r="G350" s="93">
        <v>0.61</v>
      </c>
      <c r="H350" s="93">
        <v>1.58634360995</v>
      </c>
      <c r="I350" s="93">
        <v>3.7968224107</v>
      </c>
    </row>
    <row r="351" ht="25.5" spans="1:9">
      <c r="A351" s="90"/>
      <c r="B351" s="91" t="s">
        <v>1111</v>
      </c>
      <c r="C351" s="91" t="s">
        <v>1859</v>
      </c>
      <c r="D351" s="92" t="s">
        <v>1860</v>
      </c>
      <c r="E351" s="93" t="s">
        <v>839</v>
      </c>
      <c r="F351" s="93">
        <v>0.1606424</v>
      </c>
      <c r="G351" s="93">
        <v>1.21</v>
      </c>
      <c r="H351" s="93">
        <v>0.194377304</v>
      </c>
      <c r="I351" s="93">
        <v>0.234537904</v>
      </c>
    </row>
    <row r="352" spans="1:9">
      <c r="A352" s="90"/>
      <c r="B352" s="91" t="s">
        <v>1791</v>
      </c>
      <c r="C352" s="91" t="s">
        <v>1797</v>
      </c>
      <c r="D352" s="92" t="s">
        <v>1798</v>
      </c>
      <c r="E352" s="93" t="s">
        <v>463</v>
      </c>
      <c r="F352" s="93">
        <v>0.0632</v>
      </c>
      <c r="G352" s="93">
        <v>84.6</v>
      </c>
      <c r="H352" s="93">
        <v>5.34672</v>
      </c>
      <c r="I352" s="93">
        <v>0.092272</v>
      </c>
    </row>
    <row r="353" spans="1:9">
      <c r="A353" s="90"/>
      <c r="B353" s="91" t="s">
        <v>1791</v>
      </c>
      <c r="C353" s="91" t="s">
        <v>1790</v>
      </c>
      <c r="D353" s="92" t="s">
        <v>1792</v>
      </c>
      <c r="E353" s="93" t="s">
        <v>476</v>
      </c>
      <c r="F353" s="93">
        <v>0.3784</v>
      </c>
      <c r="G353" s="93">
        <v>16.62</v>
      </c>
      <c r="H353" s="93">
        <v>6.289008</v>
      </c>
      <c r="I353" s="93">
        <v>0.552464</v>
      </c>
    </row>
    <row r="354" ht="25.5" spans="1:9">
      <c r="A354" s="90"/>
      <c r="B354" s="91" t="s">
        <v>1605</v>
      </c>
      <c r="C354" s="91" t="s">
        <v>1723</v>
      </c>
      <c r="D354" s="92" t="s">
        <v>1724</v>
      </c>
      <c r="E354" s="93" t="s">
        <v>494</v>
      </c>
      <c r="F354" s="93">
        <v>0.000752617052698</v>
      </c>
      <c r="G354" s="93">
        <v>29585.59</v>
      </c>
      <c r="H354" s="93">
        <v>22.2666195481314</v>
      </c>
      <c r="I354" s="93">
        <v>0.00109882089693908</v>
      </c>
    </row>
    <row r="355" spans="1:9">
      <c r="A355" s="90"/>
      <c r="B355" s="91" t="s">
        <v>985</v>
      </c>
      <c r="C355" s="91" t="s">
        <v>984</v>
      </c>
      <c r="D355" s="92" t="s">
        <v>986</v>
      </c>
      <c r="E355" s="93" t="s">
        <v>215</v>
      </c>
      <c r="F355" s="93">
        <v>26.30838503615</v>
      </c>
      <c r="G355" s="93">
        <v>5.93</v>
      </c>
      <c r="H355" s="93">
        <v>156.00872326437</v>
      </c>
      <c r="I355" s="93">
        <v>38.410242152779</v>
      </c>
    </row>
    <row r="356" spans="1:9">
      <c r="A356" s="90"/>
      <c r="B356" s="91" t="s">
        <v>1493</v>
      </c>
      <c r="C356" s="91" t="s">
        <v>1546</v>
      </c>
      <c r="D356" s="92" t="s">
        <v>1547</v>
      </c>
      <c r="E356" s="93" t="s">
        <v>494</v>
      </c>
      <c r="F356" s="93">
        <v>0.66667</v>
      </c>
      <c r="G356" s="93">
        <v>421.37</v>
      </c>
      <c r="H356" s="93">
        <v>280.91</v>
      </c>
      <c r="I356" s="93">
        <v>0.9733382</v>
      </c>
    </row>
    <row r="357" spans="1:9">
      <c r="A357" s="90"/>
      <c r="B357" s="91" t="s">
        <v>1750</v>
      </c>
      <c r="C357" s="91" t="s">
        <v>1852</v>
      </c>
      <c r="D357" s="92" t="s">
        <v>1853</v>
      </c>
      <c r="E357" s="93" t="s">
        <v>494</v>
      </c>
      <c r="F357" s="93">
        <v>0.0017562900592939</v>
      </c>
      <c r="G357" s="93">
        <v>445.49</v>
      </c>
      <c r="H357" s="93">
        <v>0.782409658514839</v>
      </c>
      <c r="I357" s="93">
        <v>0.00256418348656909</v>
      </c>
    </row>
    <row r="358" ht="38.25" spans="1:9">
      <c r="A358" s="85" t="s">
        <v>2220</v>
      </c>
      <c r="B358" s="85" t="s">
        <v>742</v>
      </c>
      <c r="C358" s="85" t="s">
        <v>2221</v>
      </c>
      <c r="D358" s="87" t="s">
        <v>743</v>
      </c>
      <c r="E358" s="89" t="s">
        <v>476</v>
      </c>
      <c r="F358" s="89">
        <v>2.36</v>
      </c>
      <c r="G358" s="89">
        <v>222.61</v>
      </c>
      <c r="H358" s="89">
        <v>525.35</v>
      </c>
      <c r="I358" s="89">
        <v>2.36</v>
      </c>
    </row>
    <row r="359" spans="1:9">
      <c r="A359" s="90"/>
      <c r="B359" s="91" t="s">
        <v>1007</v>
      </c>
      <c r="C359" s="91" t="s">
        <v>1048</v>
      </c>
      <c r="D359" s="92" t="s">
        <v>1049</v>
      </c>
      <c r="E359" s="93" t="s">
        <v>839</v>
      </c>
      <c r="F359" s="93">
        <v>1</v>
      </c>
      <c r="G359" s="93">
        <v>1.5</v>
      </c>
      <c r="H359" s="93">
        <v>13.45905</v>
      </c>
      <c r="I359" s="93">
        <v>2.36</v>
      </c>
    </row>
    <row r="360" spans="1:9">
      <c r="A360" s="90"/>
      <c r="B360" s="91" t="s">
        <v>1007</v>
      </c>
      <c r="C360" s="91" t="s">
        <v>1006</v>
      </c>
      <c r="D360" s="92" t="s">
        <v>1008</v>
      </c>
      <c r="E360" s="93" t="s">
        <v>839</v>
      </c>
      <c r="F360" s="93">
        <v>8.9727</v>
      </c>
      <c r="G360" s="93">
        <v>3.95</v>
      </c>
      <c r="H360" s="93">
        <v>35.442165</v>
      </c>
      <c r="I360" s="93">
        <v>21.175572</v>
      </c>
    </row>
    <row r="361" spans="1:9">
      <c r="A361" s="90"/>
      <c r="B361" s="91" t="s">
        <v>1090</v>
      </c>
      <c r="C361" s="91" t="s">
        <v>1089</v>
      </c>
      <c r="D361" s="92" t="s">
        <v>1091</v>
      </c>
      <c r="E361" s="93" t="s">
        <v>839</v>
      </c>
      <c r="F361" s="93">
        <v>1.27261944</v>
      </c>
      <c r="G361" s="93">
        <v>21.83</v>
      </c>
      <c r="H361" s="93">
        <v>27.7812823752</v>
      </c>
      <c r="I361" s="93">
        <v>3.0033818784</v>
      </c>
    </row>
    <row r="362" spans="1:9">
      <c r="A362" s="90"/>
      <c r="B362" s="91" t="s">
        <v>1007</v>
      </c>
      <c r="C362" s="91" t="s">
        <v>1378</v>
      </c>
      <c r="D362" s="92" t="s">
        <v>1379</v>
      </c>
      <c r="E362" s="93" t="s">
        <v>839</v>
      </c>
      <c r="F362" s="93">
        <v>8.9727</v>
      </c>
      <c r="G362" s="93">
        <v>0.08</v>
      </c>
      <c r="H362" s="93">
        <v>0.717816</v>
      </c>
      <c r="I362" s="93">
        <v>21.175572</v>
      </c>
    </row>
    <row r="363" spans="1:9">
      <c r="A363" s="90"/>
      <c r="B363" s="91" t="s">
        <v>1020</v>
      </c>
      <c r="C363" s="91" t="s">
        <v>1019</v>
      </c>
      <c r="D363" s="92" t="s">
        <v>1021</v>
      </c>
      <c r="E363" s="93" t="s">
        <v>839</v>
      </c>
      <c r="F363" s="93">
        <v>7.8903018</v>
      </c>
      <c r="G363" s="93">
        <v>14.49</v>
      </c>
      <c r="H363" s="93">
        <v>114.330473082</v>
      </c>
      <c r="I363" s="93">
        <v>18.621112248</v>
      </c>
    </row>
    <row r="364" ht="25.5" spans="1:9">
      <c r="A364" s="90"/>
      <c r="B364" s="91" t="s">
        <v>1111</v>
      </c>
      <c r="C364" s="91" t="s">
        <v>1351</v>
      </c>
      <c r="D364" s="92" t="s">
        <v>1352</v>
      </c>
      <c r="E364" s="93" t="s">
        <v>839</v>
      </c>
      <c r="F364" s="93">
        <v>1.2462</v>
      </c>
      <c r="G364" s="93">
        <v>1.31</v>
      </c>
      <c r="H364" s="93">
        <v>1.632522</v>
      </c>
      <c r="I364" s="93">
        <v>2.941032</v>
      </c>
    </row>
    <row r="365" ht="25.5" spans="1:9">
      <c r="A365" s="90"/>
      <c r="B365" s="91" t="s">
        <v>1111</v>
      </c>
      <c r="C365" s="91" t="s">
        <v>1110</v>
      </c>
      <c r="D365" s="92" t="s">
        <v>1112</v>
      </c>
      <c r="E365" s="93" t="s">
        <v>839</v>
      </c>
      <c r="F365" s="93">
        <v>7.7265</v>
      </c>
      <c r="G365" s="93">
        <v>1.39</v>
      </c>
      <c r="H365" s="93">
        <v>10.739835</v>
      </c>
      <c r="I365" s="93">
        <v>18.23454</v>
      </c>
    </row>
    <row r="366" spans="1:9">
      <c r="A366" s="90"/>
      <c r="B366" s="91" t="s">
        <v>1007</v>
      </c>
      <c r="C366" s="91" t="s">
        <v>1050</v>
      </c>
      <c r="D366" s="92" t="s">
        <v>1051</v>
      </c>
      <c r="E366" s="93" t="s">
        <v>839</v>
      </c>
      <c r="F366" s="93">
        <v>8.9727</v>
      </c>
      <c r="G366" s="93">
        <v>1.43</v>
      </c>
      <c r="H366" s="93">
        <v>12.830961</v>
      </c>
      <c r="I366" s="93">
        <v>21.175572</v>
      </c>
    </row>
    <row r="367" ht="25.5" spans="1:9">
      <c r="A367" s="90"/>
      <c r="B367" s="91" t="s">
        <v>1111</v>
      </c>
      <c r="C367" s="91" t="s">
        <v>1427</v>
      </c>
      <c r="D367" s="92" t="s">
        <v>1428</v>
      </c>
      <c r="E367" s="93" t="s">
        <v>839</v>
      </c>
      <c r="F367" s="93">
        <v>1.2462</v>
      </c>
      <c r="G367" s="93">
        <v>0.78</v>
      </c>
      <c r="H367" s="93">
        <v>0.972036</v>
      </c>
      <c r="I367" s="93">
        <v>2.941032</v>
      </c>
    </row>
    <row r="368" ht="25.5" spans="1:9">
      <c r="A368" s="90"/>
      <c r="B368" s="91" t="s">
        <v>1111</v>
      </c>
      <c r="C368" s="91" t="s">
        <v>1195</v>
      </c>
      <c r="D368" s="92" t="s">
        <v>1196</v>
      </c>
      <c r="E368" s="93" t="s">
        <v>839</v>
      </c>
      <c r="F368" s="93">
        <v>7.7265</v>
      </c>
      <c r="G368" s="93">
        <v>0.61</v>
      </c>
      <c r="H368" s="93">
        <v>4.713165</v>
      </c>
      <c r="I368" s="93">
        <v>18.23454</v>
      </c>
    </row>
    <row r="369" ht="38.25" spans="1:9">
      <c r="A369" s="85" t="s">
        <v>2222</v>
      </c>
      <c r="B369" s="85" t="s">
        <v>744</v>
      </c>
      <c r="C369" s="85" t="s">
        <v>2223</v>
      </c>
      <c r="D369" s="87" t="s">
        <v>745</v>
      </c>
      <c r="E369" s="89" t="s">
        <v>466</v>
      </c>
      <c r="F369" s="89">
        <v>809.57</v>
      </c>
      <c r="G369" s="89">
        <v>30.88</v>
      </c>
      <c r="H369" s="89">
        <v>24999.52</v>
      </c>
      <c r="I369" s="89">
        <v>809.57</v>
      </c>
    </row>
    <row r="370" spans="1:9">
      <c r="A370" s="90"/>
      <c r="B370" s="91" t="s">
        <v>1007</v>
      </c>
      <c r="C370" s="91" t="s">
        <v>1048</v>
      </c>
      <c r="D370" s="92" t="s">
        <v>1049</v>
      </c>
      <c r="E370" s="93" t="s">
        <v>839</v>
      </c>
      <c r="F370" s="93">
        <v>1</v>
      </c>
      <c r="G370" s="93">
        <v>1.5</v>
      </c>
      <c r="H370" s="93">
        <v>1.455</v>
      </c>
      <c r="I370" s="93">
        <v>809.57</v>
      </c>
    </row>
    <row r="371" spans="1:9">
      <c r="A371" s="90"/>
      <c r="B371" s="91" t="s">
        <v>1007</v>
      </c>
      <c r="C371" s="91" t="s">
        <v>1006</v>
      </c>
      <c r="D371" s="92" t="s">
        <v>1008</v>
      </c>
      <c r="E371" s="93" t="s">
        <v>839</v>
      </c>
      <c r="F371" s="93">
        <v>0.97</v>
      </c>
      <c r="G371" s="93">
        <v>3.95</v>
      </c>
      <c r="H371" s="93">
        <v>3.8315</v>
      </c>
      <c r="I371" s="93">
        <v>785.2829</v>
      </c>
    </row>
    <row r="372" spans="1:9">
      <c r="A372" s="90"/>
      <c r="B372" s="91" t="s">
        <v>1020</v>
      </c>
      <c r="C372" s="91" t="s">
        <v>1094</v>
      </c>
      <c r="D372" s="92" t="s">
        <v>1095</v>
      </c>
      <c r="E372" s="93" t="s">
        <v>839</v>
      </c>
      <c r="F372" s="93">
        <v>0.5378228</v>
      </c>
      <c r="G372" s="93">
        <v>15.35</v>
      </c>
      <c r="H372" s="93">
        <v>8.25557998</v>
      </c>
      <c r="I372" s="93">
        <v>435.405204196</v>
      </c>
    </row>
    <row r="373" spans="1:9">
      <c r="A373" s="90"/>
      <c r="B373" s="91" t="s">
        <v>993</v>
      </c>
      <c r="C373" s="91" t="s">
        <v>992</v>
      </c>
      <c r="D373" s="92" t="s">
        <v>994</v>
      </c>
      <c r="E373" s="93" t="s">
        <v>839</v>
      </c>
      <c r="F373" s="93">
        <v>0.4450776</v>
      </c>
      <c r="G373" s="93">
        <v>21.83</v>
      </c>
      <c r="H373" s="93">
        <v>9.716044008</v>
      </c>
      <c r="I373" s="93">
        <v>360.321472632</v>
      </c>
    </row>
    <row r="374" spans="1:9">
      <c r="A374" s="90"/>
      <c r="B374" s="91" t="s">
        <v>1007</v>
      </c>
      <c r="C374" s="91" t="s">
        <v>1378</v>
      </c>
      <c r="D374" s="92" t="s">
        <v>1379</v>
      </c>
      <c r="E374" s="93" t="s">
        <v>839</v>
      </c>
      <c r="F374" s="93">
        <v>0.97</v>
      </c>
      <c r="G374" s="93">
        <v>0.08</v>
      </c>
      <c r="H374" s="93">
        <v>0.0776</v>
      </c>
      <c r="I374" s="93">
        <v>785.2829</v>
      </c>
    </row>
    <row r="375" ht="25.5" spans="1:9">
      <c r="A375" s="90"/>
      <c r="B375" s="91" t="s">
        <v>1111</v>
      </c>
      <c r="C375" s="91" t="s">
        <v>1174</v>
      </c>
      <c r="D375" s="92" t="s">
        <v>1175</v>
      </c>
      <c r="E375" s="93" t="s">
        <v>839</v>
      </c>
      <c r="F375" s="93">
        <v>0.97</v>
      </c>
      <c r="G375" s="93">
        <v>1.43</v>
      </c>
      <c r="H375" s="93">
        <v>1.3871</v>
      </c>
      <c r="I375" s="93">
        <v>785.2829</v>
      </c>
    </row>
    <row r="376" spans="1:9">
      <c r="A376" s="90"/>
      <c r="B376" s="91" t="s">
        <v>1007</v>
      </c>
      <c r="C376" s="91" t="s">
        <v>1050</v>
      </c>
      <c r="D376" s="92" t="s">
        <v>1051</v>
      </c>
      <c r="E376" s="93" t="s">
        <v>839</v>
      </c>
      <c r="F376" s="93">
        <v>0.97</v>
      </c>
      <c r="G376" s="93">
        <v>1.43</v>
      </c>
      <c r="H376" s="93">
        <v>1.3871</v>
      </c>
      <c r="I376" s="93">
        <v>785.2829</v>
      </c>
    </row>
    <row r="377" ht="25.5" spans="1:9">
      <c r="A377" s="90"/>
      <c r="B377" s="91" t="s">
        <v>1111</v>
      </c>
      <c r="C377" s="91" t="s">
        <v>1310</v>
      </c>
      <c r="D377" s="92" t="s">
        <v>1311</v>
      </c>
      <c r="E377" s="93" t="s">
        <v>839</v>
      </c>
      <c r="F377" s="93">
        <v>0.97</v>
      </c>
      <c r="G377" s="93">
        <v>0.44</v>
      </c>
      <c r="H377" s="93">
        <v>0.4268</v>
      </c>
      <c r="I377" s="93">
        <v>785.2829</v>
      </c>
    </row>
    <row r="378" spans="1:9">
      <c r="A378" s="90"/>
      <c r="B378" s="91" t="s">
        <v>1120</v>
      </c>
      <c r="C378" s="91" t="s">
        <v>1119</v>
      </c>
      <c r="D378" s="92" t="s">
        <v>1121</v>
      </c>
      <c r="E378" s="93" t="s">
        <v>112</v>
      </c>
      <c r="F378" s="93">
        <v>0.06</v>
      </c>
      <c r="G378" s="93">
        <v>7.78</v>
      </c>
      <c r="H378" s="93">
        <v>0.46</v>
      </c>
      <c r="I378" s="93">
        <v>48.5742</v>
      </c>
    </row>
    <row r="379" spans="1:9">
      <c r="A379" s="90"/>
      <c r="B379" s="91" t="s">
        <v>1251</v>
      </c>
      <c r="C379" s="91" t="s">
        <v>1250</v>
      </c>
      <c r="D379" s="92" t="s">
        <v>1252</v>
      </c>
      <c r="E379" s="93" t="s">
        <v>463</v>
      </c>
      <c r="F379" s="93">
        <v>0.01</v>
      </c>
      <c r="G379" s="93">
        <v>18.4</v>
      </c>
      <c r="H379" s="93">
        <v>0.18</v>
      </c>
      <c r="I379" s="93">
        <v>8.0957</v>
      </c>
    </row>
    <row r="380" spans="1:9">
      <c r="A380" s="90"/>
      <c r="B380" s="91" t="s">
        <v>1283</v>
      </c>
      <c r="C380" s="91" t="s">
        <v>1282</v>
      </c>
      <c r="D380" s="92" t="s">
        <v>1284</v>
      </c>
      <c r="E380" s="93" t="s">
        <v>112</v>
      </c>
      <c r="F380" s="93">
        <v>0.2</v>
      </c>
      <c r="G380" s="93">
        <v>3.94</v>
      </c>
      <c r="H380" s="93">
        <v>0.78</v>
      </c>
      <c r="I380" s="93">
        <v>161.914</v>
      </c>
    </row>
    <row r="381" ht="25.5" spans="1:9">
      <c r="A381" s="90"/>
      <c r="B381" s="91" t="s">
        <v>1356</v>
      </c>
      <c r="C381" s="91" t="s">
        <v>1355</v>
      </c>
      <c r="D381" s="92" t="s">
        <v>1357</v>
      </c>
      <c r="E381" s="93" t="s">
        <v>112</v>
      </c>
      <c r="F381" s="93">
        <v>1.1</v>
      </c>
      <c r="G381" s="93">
        <v>2.67</v>
      </c>
      <c r="H381" s="93">
        <v>2.93</v>
      </c>
      <c r="I381" s="93">
        <v>890.527</v>
      </c>
    </row>
    <row r="382" spans="1:9">
      <c r="A382" s="85" t="s">
        <v>2224</v>
      </c>
      <c r="B382" s="85" t="s">
        <v>2225</v>
      </c>
      <c r="C382" s="85" t="s">
        <v>2226</v>
      </c>
      <c r="D382" s="87" t="s">
        <v>746</v>
      </c>
      <c r="E382" s="89" t="s">
        <v>466</v>
      </c>
      <c r="F382" s="89">
        <v>30</v>
      </c>
      <c r="G382" s="89">
        <v>86.15</v>
      </c>
      <c r="H382" s="89">
        <v>2584.5</v>
      </c>
      <c r="I382" s="89">
        <v>30</v>
      </c>
    </row>
    <row r="383" spans="1:9">
      <c r="A383" s="90"/>
      <c r="B383" s="91" t="s">
        <v>1007</v>
      </c>
      <c r="C383" s="91" t="s">
        <v>1048</v>
      </c>
      <c r="D383" s="92" t="s">
        <v>1049</v>
      </c>
      <c r="E383" s="93" t="s">
        <v>839</v>
      </c>
      <c r="F383" s="93">
        <v>1</v>
      </c>
      <c r="G383" s="93">
        <v>1.5</v>
      </c>
      <c r="H383" s="93">
        <v>1.5</v>
      </c>
      <c r="I383" s="93">
        <v>30</v>
      </c>
    </row>
    <row r="384" spans="1:9">
      <c r="A384" s="90"/>
      <c r="B384" s="91" t="s">
        <v>1007</v>
      </c>
      <c r="C384" s="91" t="s">
        <v>1006</v>
      </c>
      <c r="D384" s="92" t="s">
        <v>1008</v>
      </c>
      <c r="E384" s="93" t="s">
        <v>839</v>
      </c>
      <c r="F384" s="93">
        <v>1</v>
      </c>
      <c r="G384" s="93">
        <v>3.95</v>
      </c>
      <c r="H384" s="93">
        <v>3.95</v>
      </c>
      <c r="I384" s="93">
        <v>30</v>
      </c>
    </row>
    <row r="385" spans="1:9">
      <c r="A385" s="90"/>
      <c r="B385" s="91" t="s">
        <v>993</v>
      </c>
      <c r="C385" s="91" t="s">
        <v>992</v>
      </c>
      <c r="D385" s="92" t="s">
        <v>994</v>
      </c>
      <c r="E385" s="93" t="s">
        <v>839</v>
      </c>
      <c r="F385" s="93">
        <v>0.809232</v>
      </c>
      <c r="G385" s="93">
        <v>21.83</v>
      </c>
      <c r="H385" s="93">
        <v>17.66553456</v>
      </c>
      <c r="I385" s="93">
        <v>24.27696</v>
      </c>
    </row>
    <row r="386" spans="1:9">
      <c r="A386" s="90"/>
      <c r="B386" s="91" t="s">
        <v>1007</v>
      </c>
      <c r="C386" s="91" t="s">
        <v>1378</v>
      </c>
      <c r="D386" s="92" t="s">
        <v>1379</v>
      </c>
      <c r="E386" s="93" t="s">
        <v>839</v>
      </c>
      <c r="F386" s="93">
        <v>1</v>
      </c>
      <c r="G386" s="93">
        <v>0.08</v>
      </c>
      <c r="H386" s="93">
        <v>0.08</v>
      </c>
      <c r="I386" s="93">
        <v>30</v>
      </c>
    </row>
    <row r="387" spans="1:9">
      <c r="A387" s="90"/>
      <c r="B387" s="91" t="s">
        <v>1020</v>
      </c>
      <c r="C387" s="91" t="s">
        <v>1019</v>
      </c>
      <c r="D387" s="92" t="s">
        <v>1021</v>
      </c>
      <c r="E387" s="93" t="s">
        <v>839</v>
      </c>
      <c r="F387" s="93">
        <v>0.20424</v>
      </c>
      <c r="G387" s="93">
        <v>14.49</v>
      </c>
      <c r="H387" s="93">
        <v>2.9594376</v>
      </c>
      <c r="I387" s="93">
        <v>6.1272</v>
      </c>
    </row>
    <row r="388" ht="25.5" spans="1:9">
      <c r="A388" s="90"/>
      <c r="B388" s="91" t="s">
        <v>1111</v>
      </c>
      <c r="C388" s="91" t="s">
        <v>1174</v>
      </c>
      <c r="D388" s="92" t="s">
        <v>1175</v>
      </c>
      <c r="E388" s="93" t="s">
        <v>839</v>
      </c>
      <c r="F388" s="93">
        <v>0.8</v>
      </c>
      <c r="G388" s="93">
        <v>1.43</v>
      </c>
      <c r="H388" s="93">
        <v>1.144</v>
      </c>
      <c r="I388" s="93">
        <v>24</v>
      </c>
    </row>
    <row r="389" ht="25.5" spans="1:9">
      <c r="A389" s="90"/>
      <c r="B389" s="91" t="s">
        <v>1111</v>
      </c>
      <c r="C389" s="91" t="s">
        <v>1110</v>
      </c>
      <c r="D389" s="92" t="s">
        <v>1112</v>
      </c>
      <c r="E389" s="93" t="s">
        <v>839</v>
      </c>
      <c r="F389" s="93">
        <v>0.2</v>
      </c>
      <c r="G389" s="93">
        <v>1.39</v>
      </c>
      <c r="H389" s="93">
        <v>0.278</v>
      </c>
      <c r="I389" s="93">
        <v>6</v>
      </c>
    </row>
    <row r="390" spans="1:9">
      <c r="A390" s="90"/>
      <c r="B390" s="91" t="s">
        <v>1007</v>
      </c>
      <c r="C390" s="91" t="s">
        <v>1050</v>
      </c>
      <c r="D390" s="92" t="s">
        <v>1051</v>
      </c>
      <c r="E390" s="93" t="s">
        <v>839</v>
      </c>
      <c r="F390" s="93">
        <v>1</v>
      </c>
      <c r="G390" s="93">
        <v>1.43</v>
      </c>
      <c r="H390" s="93">
        <v>1.43</v>
      </c>
      <c r="I390" s="93">
        <v>30</v>
      </c>
    </row>
    <row r="391" ht="25.5" spans="1:9">
      <c r="A391" s="90"/>
      <c r="B391" s="91" t="s">
        <v>1111</v>
      </c>
      <c r="C391" s="91" t="s">
        <v>1310</v>
      </c>
      <c r="D391" s="92" t="s">
        <v>1311</v>
      </c>
      <c r="E391" s="93" t="s">
        <v>839</v>
      </c>
      <c r="F391" s="93">
        <v>0.8</v>
      </c>
      <c r="G391" s="93">
        <v>0.44</v>
      </c>
      <c r="H391" s="93">
        <v>0.352</v>
      </c>
      <c r="I391" s="93">
        <v>24</v>
      </c>
    </row>
    <row r="392" ht="25.5" spans="1:9">
      <c r="A392" s="90"/>
      <c r="B392" s="91" t="s">
        <v>1111</v>
      </c>
      <c r="C392" s="91" t="s">
        <v>1195</v>
      </c>
      <c r="D392" s="92" t="s">
        <v>1196</v>
      </c>
      <c r="E392" s="93" t="s">
        <v>839</v>
      </c>
      <c r="F392" s="93">
        <v>0.2</v>
      </c>
      <c r="G392" s="93">
        <v>0.61</v>
      </c>
      <c r="H392" s="93">
        <v>0.122</v>
      </c>
      <c r="I392" s="93">
        <v>6</v>
      </c>
    </row>
    <row r="393" spans="1:9">
      <c r="A393" s="90"/>
      <c r="B393" s="91" t="s">
        <v>1120</v>
      </c>
      <c r="C393" s="91" t="s">
        <v>1119</v>
      </c>
      <c r="D393" s="92" t="s">
        <v>1121</v>
      </c>
      <c r="E393" s="93" t="s">
        <v>112</v>
      </c>
      <c r="F393" s="93">
        <v>0.9333</v>
      </c>
      <c r="G393" s="93">
        <v>7.78</v>
      </c>
      <c r="H393" s="93">
        <v>7.26</v>
      </c>
      <c r="I393" s="93">
        <v>27.999</v>
      </c>
    </row>
    <row r="394" spans="1:9">
      <c r="A394" s="90"/>
      <c r="B394" s="91" t="s">
        <v>1251</v>
      </c>
      <c r="C394" s="91" t="s">
        <v>1250</v>
      </c>
      <c r="D394" s="92" t="s">
        <v>1252</v>
      </c>
      <c r="E394" s="93" t="s">
        <v>463</v>
      </c>
      <c r="F394" s="93">
        <v>0.5</v>
      </c>
      <c r="G394" s="93">
        <v>18.4</v>
      </c>
      <c r="H394" s="93">
        <v>9.2</v>
      </c>
      <c r="I394" s="93">
        <v>15</v>
      </c>
    </row>
    <row r="395" ht="25.5" spans="1:9">
      <c r="A395" s="90"/>
      <c r="B395" s="91" t="s">
        <v>1034</v>
      </c>
      <c r="C395" s="91" t="s">
        <v>1033</v>
      </c>
      <c r="D395" s="92" t="s">
        <v>1035</v>
      </c>
      <c r="E395" s="93" t="s">
        <v>112</v>
      </c>
      <c r="F395" s="93">
        <v>1.5</v>
      </c>
      <c r="G395" s="93">
        <v>26.81</v>
      </c>
      <c r="H395" s="93">
        <v>40.21</v>
      </c>
      <c r="I395" s="93">
        <v>45</v>
      </c>
    </row>
    <row r="396" spans="1:9">
      <c r="A396" s="85" t="s">
        <v>2227</v>
      </c>
      <c r="B396" s="85" t="s">
        <v>2228</v>
      </c>
      <c r="C396" s="85" t="s">
        <v>2229</v>
      </c>
      <c r="D396" s="87" t="s">
        <v>747</v>
      </c>
      <c r="E396" s="89" t="s">
        <v>112</v>
      </c>
      <c r="F396" s="89">
        <v>2</v>
      </c>
      <c r="G396" s="89">
        <v>11.87</v>
      </c>
      <c r="H396" s="89">
        <v>23.74</v>
      </c>
      <c r="I396" s="89">
        <v>2</v>
      </c>
    </row>
    <row r="397" spans="1:9">
      <c r="A397" s="90"/>
      <c r="B397" s="91" t="s">
        <v>1007</v>
      </c>
      <c r="C397" s="91" t="s">
        <v>1048</v>
      </c>
      <c r="D397" s="92" t="s">
        <v>1049</v>
      </c>
      <c r="E397" s="93" t="s">
        <v>839</v>
      </c>
      <c r="F397" s="93">
        <v>1</v>
      </c>
      <c r="G397" s="93">
        <v>1.5</v>
      </c>
      <c r="H397" s="93">
        <v>0.75</v>
      </c>
      <c r="I397" s="93">
        <v>2</v>
      </c>
    </row>
    <row r="398" spans="1:9">
      <c r="A398" s="90"/>
      <c r="B398" s="91" t="s">
        <v>1007</v>
      </c>
      <c r="C398" s="91" t="s">
        <v>1006</v>
      </c>
      <c r="D398" s="92" t="s">
        <v>1008</v>
      </c>
      <c r="E398" s="93" t="s">
        <v>839</v>
      </c>
      <c r="F398" s="93">
        <v>0.5</v>
      </c>
      <c r="G398" s="93">
        <v>3.95</v>
      </c>
      <c r="H398" s="93">
        <v>1.975</v>
      </c>
      <c r="I398" s="93">
        <v>1</v>
      </c>
    </row>
    <row r="399" spans="1:9">
      <c r="A399" s="90"/>
      <c r="B399" s="91" t="s">
        <v>1007</v>
      </c>
      <c r="C399" s="91" t="s">
        <v>1378</v>
      </c>
      <c r="D399" s="92" t="s">
        <v>1379</v>
      </c>
      <c r="E399" s="93" t="s">
        <v>839</v>
      </c>
      <c r="F399" s="93">
        <v>0.5</v>
      </c>
      <c r="G399" s="93">
        <v>0.08</v>
      </c>
      <c r="H399" s="93">
        <v>0.04</v>
      </c>
      <c r="I399" s="93">
        <v>1</v>
      </c>
    </row>
    <row r="400" spans="1:9">
      <c r="A400" s="90"/>
      <c r="B400" s="91" t="s">
        <v>1020</v>
      </c>
      <c r="C400" s="91" t="s">
        <v>1019</v>
      </c>
      <c r="D400" s="92" t="s">
        <v>1021</v>
      </c>
      <c r="E400" s="93" t="s">
        <v>839</v>
      </c>
      <c r="F400" s="93">
        <v>0.5106</v>
      </c>
      <c r="G400" s="93">
        <v>14.49</v>
      </c>
      <c r="H400" s="93">
        <v>7.398594</v>
      </c>
      <c r="I400" s="93">
        <v>1.0212</v>
      </c>
    </row>
    <row r="401" ht="25.5" spans="1:9">
      <c r="A401" s="90"/>
      <c r="B401" s="91" t="s">
        <v>1111</v>
      </c>
      <c r="C401" s="91" t="s">
        <v>1110</v>
      </c>
      <c r="D401" s="92" t="s">
        <v>1112</v>
      </c>
      <c r="E401" s="93" t="s">
        <v>839</v>
      </c>
      <c r="F401" s="93">
        <v>0.5</v>
      </c>
      <c r="G401" s="93">
        <v>1.39</v>
      </c>
      <c r="H401" s="93">
        <v>0.695</v>
      </c>
      <c r="I401" s="93">
        <v>1</v>
      </c>
    </row>
    <row r="402" spans="1:9">
      <c r="A402" s="90"/>
      <c r="B402" s="91" t="s">
        <v>1007</v>
      </c>
      <c r="C402" s="91" t="s">
        <v>1050</v>
      </c>
      <c r="D402" s="92" t="s">
        <v>1051</v>
      </c>
      <c r="E402" s="93" t="s">
        <v>839</v>
      </c>
      <c r="F402" s="93">
        <v>0.5</v>
      </c>
      <c r="G402" s="93">
        <v>1.43</v>
      </c>
      <c r="H402" s="93">
        <v>0.715</v>
      </c>
      <c r="I402" s="93">
        <v>1</v>
      </c>
    </row>
    <row r="403" ht="25.5" spans="1:9">
      <c r="A403" s="90"/>
      <c r="B403" s="91" t="s">
        <v>1111</v>
      </c>
      <c r="C403" s="91" t="s">
        <v>1195</v>
      </c>
      <c r="D403" s="92" t="s">
        <v>1196</v>
      </c>
      <c r="E403" s="93" t="s">
        <v>839</v>
      </c>
      <c r="F403" s="93">
        <v>0.5</v>
      </c>
      <c r="G403" s="93">
        <v>0.61</v>
      </c>
      <c r="H403" s="93">
        <v>0.305</v>
      </c>
      <c r="I403" s="93">
        <v>1</v>
      </c>
    </row>
    <row r="404" spans="1:9">
      <c r="A404" s="85" t="s">
        <v>2230</v>
      </c>
      <c r="B404" s="86"/>
      <c r="C404" s="86"/>
      <c r="D404" s="87" t="s">
        <v>748</v>
      </c>
      <c r="E404" s="88"/>
      <c r="F404" s="89">
        <v>0</v>
      </c>
      <c r="G404" s="89">
        <v>0</v>
      </c>
      <c r="H404" s="89">
        <v>0</v>
      </c>
      <c r="I404" s="89">
        <v>0</v>
      </c>
    </row>
    <row r="405" ht="38.25" spans="1:9">
      <c r="A405" s="85" t="s">
        <v>2231</v>
      </c>
      <c r="B405" s="85" t="s">
        <v>749</v>
      </c>
      <c r="C405" s="85" t="s">
        <v>2232</v>
      </c>
      <c r="D405" s="87" t="s">
        <v>750</v>
      </c>
      <c r="E405" s="89" t="s">
        <v>476</v>
      </c>
      <c r="F405" s="89">
        <v>1730.97</v>
      </c>
      <c r="G405" s="89">
        <v>158.87</v>
      </c>
      <c r="H405" s="89">
        <v>274999.2</v>
      </c>
      <c r="I405" s="89">
        <v>1730.97</v>
      </c>
    </row>
    <row r="406" ht="38.25" spans="1:9">
      <c r="A406" s="90"/>
      <c r="B406" s="91" t="s">
        <v>1002</v>
      </c>
      <c r="C406" s="91" t="s">
        <v>1297</v>
      </c>
      <c r="D406" s="92" t="s">
        <v>1298</v>
      </c>
      <c r="E406" s="93" t="s">
        <v>494</v>
      </c>
      <c r="F406" s="93">
        <v>1</v>
      </c>
      <c r="G406" s="93">
        <v>717852.52</v>
      </c>
      <c r="H406" s="93">
        <v>0.4822676799864</v>
      </c>
      <c r="I406" s="93">
        <v>1730.97</v>
      </c>
    </row>
    <row r="407" ht="25.5" spans="1:9">
      <c r="A407" s="90"/>
      <c r="B407" s="91" t="s">
        <v>1421</v>
      </c>
      <c r="C407" s="91" t="s">
        <v>1420</v>
      </c>
      <c r="D407" s="92" t="s">
        <v>1422</v>
      </c>
      <c r="E407" s="93" t="s">
        <v>494</v>
      </c>
      <c r="F407" s="93">
        <v>1</v>
      </c>
      <c r="G407" s="93">
        <v>15839.74</v>
      </c>
      <c r="H407" s="93">
        <v>0.2663350906664</v>
      </c>
      <c r="I407" s="93">
        <v>1730.97</v>
      </c>
    </row>
    <row r="408" ht="25.5" spans="1:9">
      <c r="A408" s="90"/>
      <c r="B408" s="91" t="s">
        <v>1103</v>
      </c>
      <c r="C408" s="91" t="s">
        <v>1102</v>
      </c>
      <c r="D408" s="92" t="s">
        <v>1104</v>
      </c>
      <c r="E408" s="93" t="s">
        <v>494</v>
      </c>
      <c r="F408" s="93">
        <v>1</v>
      </c>
      <c r="G408" s="93">
        <v>850000</v>
      </c>
      <c r="H408" s="93">
        <v>5.74634</v>
      </c>
      <c r="I408" s="93">
        <v>1730.97</v>
      </c>
    </row>
    <row r="409" spans="1:9">
      <c r="A409" s="90"/>
      <c r="B409" s="91" t="s">
        <v>1007</v>
      </c>
      <c r="C409" s="91" t="s">
        <v>1048</v>
      </c>
      <c r="D409" s="92" t="s">
        <v>1049</v>
      </c>
      <c r="E409" s="93" t="s">
        <v>839</v>
      </c>
      <c r="F409" s="93">
        <v>1</v>
      </c>
      <c r="G409" s="93">
        <v>1.5</v>
      </c>
      <c r="H409" s="93">
        <v>0.35565</v>
      </c>
      <c r="I409" s="93">
        <v>1730.97</v>
      </c>
    </row>
    <row r="410" spans="1:9">
      <c r="A410" s="90"/>
      <c r="B410" s="91" t="s">
        <v>1007</v>
      </c>
      <c r="C410" s="91" t="s">
        <v>1006</v>
      </c>
      <c r="D410" s="92" t="s">
        <v>1008</v>
      </c>
      <c r="E410" s="93" t="s">
        <v>839</v>
      </c>
      <c r="F410" s="93">
        <v>0.2371</v>
      </c>
      <c r="G410" s="93">
        <v>3.95</v>
      </c>
      <c r="H410" s="93">
        <v>0.936545</v>
      </c>
      <c r="I410" s="93">
        <v>410.412987</v>
      </c>
    </row>
    <row r="411" spans="1:9">
      <c r="A411" s="90"/>
      <c r="B411" s="91" t="s">
        <v>1023</v>
      </c>
      <c r="C411" s="91" t="s">
        <v>1436</v>
      </c>
      <c r="D411" s="92" t="s">
        <v>1437</v>
      </c>
      <c r="E411" s="93" t="s">
        <v>839</v>
      </c>
      <c r="F411" s="93">
        <v>0.00603054</v>
      </c>
      <c r="G411" s="93">
        <v>21.83</v>
      </c>
      <c r="H411" s="93">
        <v>0.1316466882</v>
      </c>
      <c r="I411" s="93">
        <v>10.4386838238</v>
      </c>
    </row>
    <row r="412" spans="1:9">
      <c r="A412" s="90"/>
      <c r="B412" s="91" t="s">
        <v>1108</v>
      </c>
      <c r="C412" s="91" t="s">
        <v>1107</v>
      </c>
      <c r="D412" s="92" t="s">
        <v>1109</v>
      </c>
      <c r="E412" s="93" t="s">
        <v>839</v>
      </c>
      <c r="F412" s="93">
        <v>0.06878472</v>
      </c>
      <c r="G412" s="93">
        <v>21.83</v>
      </c>
      <c r="H412" s="93">
        <v>1.5015704376</v>
      </c>
      <c r="I412" s="93">
        <v>119.0642867784</v>
      </c>
    </row>
    <row r="413" spans="1:9">
      <c r="A413" s="90"/>
      <c r="B413" s="91" t="s">
        <v>1108</v>
      </c>
      <c r="C413" s="91" t="s">
        <v>1127</v>
      </c>
      <c r="D413" s="92" t="s">
        <v>1128</v>
      </c>
      <c r="E413" s="93" t="s">
        <v>839</v>
      </c>
      <c r="F413" s="93">
        <v>0.126644808</v>
      </c>
      <c r="G413" s="93">
        <v>18</v>
      </c>
      <c r="H413" s="93">
        <v>2.279606544</v>
      </c>
      <c r="I413" s="93">
        <v>219.21836330376</v>
      </c>
    </row>
    <row r="414" spans="1:9">
      <c r="A414" s="90"/>
      <c r="B414" s="91" t="s">
        <v>1007</v>
      </c>
      <c r="C414" s="91" t="s">
        <v>1378</v>
      </c>
      <c r="D414" s="92" t="s">
        <v>1379</v>
      </c>
      <c r="E414" s="93" t="s">
        <v>839</v>
      </c>
      <c r="F414" s="93">
        <v>0.2371</v>
      </c>
      <c r="G414" s="93">
        <v>0.08</v>
      </c>
      <c r="H414" s="93">
        <v>0.018968</v>
      </c>
      <c r="I414" s="93">
        <v>410.412987</v>
      </c>
    </row>
    <row r="415" spans="1:9">
      <c r="A415" s="90"/>
      <c r="B415" s="91" t="s">
        <v>1020</v>
      </c>
      <c r="C415" s="91" t="s">
        <v>1019</v>
      </c>
      <c r="D415" s="92" t="s">
        <v>1021</v>
      </c>
      <c r="E415" s="93" t="s">
        <v>839</v>
      </c>
      <c r="F415" s="93">
        <v>0.03870348</v>
      </c>
      <c r="G415" s="93">
        <v>14.49</v>
      </c>
      <c r="H415" s="93">
        <v>0.5608134252</v>
      </c>
      <c r="I415" s="93">
        <v>66.9945627756</v>
      </c>
    </row>
    <row r="416" ht="25.5" spans="1:9">
      <c r="A416" s="90"/>
      <c r="B416" s="91" t="s">
        <v>990</v>
      </c>
      <c r="C416" s="91" t="s">
        <v>989</v>
      </c>
      <c r="D416" s="92" t="s">
        <v>991</v>
      </c>
      <c r="E416" s="93" t="s">
        <v>476</v>
      </c>
      <c r="F416" s="93">
        <v>1.3889</v>
      </c>
      <c r="G416" s="93">
        <v>102.5</v>
      </c>
      <c r="H416" s="93">
        <v>142.36</v>
      </c>
      <c r="I416" s="93">
        <v>2404.144233</v>
      </c>
    </row>
    <row r="417" ht="25.5" spans="1:9">
      <c r="A417" s="90"/>
      <c r="B417" s="91" t="s">
        <v>1111</v>
      </c>
      <c r="C417" s="91" t="s">
        <v>1287</v>
      </c>
      <c r="D417" s="92" t="s">
        <v>1288</v>
      </c>
      <c r="E417" s="93" t="s">
        <v>839</v>
      </c>
      <c r="F417" s="93">
        <v>0.1992</v>
      </c>
      <c r="G417" s="93">
        <v>0.89</v>
      </c>
      <c r="H417" s="93">
        <v>0.177288</v>
      </c>
      <c r="I417" s="93">
        <v>344.809224</v>
      </c>
    </row>
    <row r="418" ht="25.5" spans="1:9">
      <c r="A418" s="90"/>
      <c r="B418" s="91" t="s">
        <v>1111</v>
      </c>
      <c r="C418" s="91" t="s">
        <v>1110</v>
      </c>
      <c r="D418" s="92" t="s">
        <v>1112</v>
      </c>
      <c r="E418" s="93" t="s">
        <v>839</v>
      </c>
      <c r="F418" s="93">
        <v>0.0379</v>
      </c>
      <c r="G418" s="93">
        <v>1.39</v>
      </c>
      <c r="H418" s="93">
        <v>0.052681</v>
      </c>
      <c r="I418" s="93">
        <v>65.603763</v>
      </c>
    </row>
    <row r="419" spans="1:9">
      <c r="A419" s="90"/>
      <c r="B419" s="91" t="s">
        <v>1007</v>
      </c>
      <c r="C419" s="91" t="s">
        <v>1050</v>
      </c>
      <c r="D419" s="92" t="s">
        <v>1051</v>
      </c>
      <c r="E419" s="93" t="s">
        <v>839</v>
      </c>
      <c r="F419" s="93">
        <v>0.2371</v>
      </c>
      <c r="G419" s="93">
        <v>1.43</v>
      </c>
      <c r="H419" s="93">
        <v>0.339053</v>
      </c>
      <c r="I419" s="93">
        <v>410.412987</v>
      </c>
    </row>
    <row r="420" ht="25.5" spans="1:9">
      <c r="A420" s="90"/>
      <c r="B420" s="91" t="s">
        <v>1111</v>
      </c>
      <c r="C420" s="91" t="s">
        <v>1707</v>
      </c>
      <c r="D420" s="92" t="s">
        <v>1708</v>
      </c>
      <c r="E420" s="93" t="s">
        <v>839</v>
      </c>
      <c r="F420" s="93">
        <v>0.1992</v>
      </c>
      <c r="G420" s="93">
        <v>0.01</v>
      </c>
      <c r="H420" s="93">
        <v>0.001992</v>
      </c>
      <c r="I420" s="93">
        <v>344.809224</v>
      </c>
    </row>
    <row r="421" ht="25.5" spans="1:9">
      <c r="A421" s="90"/>
      <c r="B421" s="91" t="s">
        <v>1111</v>
      </c>
      <c r="C421" s="91" t="s">
        <v>1195</v>
      </c>
      <c r="D421" s="92" t="s">
        <v>1196</v>
      </c>
      <c r="E421" s="93" t="s">
        <v>839</v>
      </c>
      <c r="F421" s="93">
        <v>0.0379</v>
      </c>
      <c r="G421" s="93">
        <v>0.61</v>
      </c>
      <c r="H421" s="93">
        <v>0.023119</v>
      </c>
      <c r="I421" s="93">
        <v>65.603763</v>
      </c>
    </row>
    <row r="422" spans="1:9">
      <c r="A422" s="90"/>
      <c r="B422" s="91" t="s">
        <v>985</v>
      </c>
      <c r="C422" s="91" t="s">
        <v>1227</v>
      </c>
      <c r="D422" s="92" t="s">
        <v>1228</v>
      </c>
      <c r="E422" s="93" t="s">
        <v>215</v>
      </c>
      <c r="F422" s="93">
        <v>0.128956</v>
      </c>
      <c r="G422" s="93">
        <v>5.96</v>
      </c>
      <c r="H422" s="93">
        <v>0.76857776</v>
      </c>
      <c r="I422" s="93">
        <v>223.21896732</v>
      </c>
    </row>
    <row r="423" spans="1:9">
      <c r="A423" s="90"/>
      <c r="B423" s="91" t="s">
        <v>985</v>
      </c>
      <c r="C423" s="91" t="s">
        <v>984</v>
      </c>
      <c r="D423" s="92" t="s">
        <v>986</v>
      </c>
      <c r="E423" s="93" t="s">
        <v>215</v>
      </c>
      <c r="F423" s="93">
        <v>0.47307</v>
      </c>
      <c r="G423" s="93">
        <v>5.93</v>
      </c>
      <c r="H423" s="93">
        <v>2.8053051</v>
      </c>
      <c r="I423" s="93">
        <v>818.8699779</v>
      </c>
    </row>
    <row r="424" ht="38.25" spans="1:9">
      <c r="A424" s="90"/>
      <c r="B424" s="91" t="s">
        <v>1002</v>
      </c>
      <c r="C424" s="91" t="s">
        <v>1514</v>
      </c>
      <c r="D424" s="92" t="s">
        <v>1515</v>
      </c>
      <c r="E424" s="93" t="s">
        <v>494</v>
      </c>
      <c r="F424" s="93">
        <v>8.2386e-7</v>
      </c>
      <c r="G424" s="93">
        <v>85950</v>
      </c>
      <c r="H424" s="93">
        <v>0.070810767</v>
      </c>
      <c r="I424" s="93">
        <v>0.0014260769442</v>
      </c>
    </row>
    <row r="425" ht="38.25" spans="1:9">
      <c r="A425" s="85" t="s">
        <v>2233</v>
      </c>
      <c r="B425" s="85" t="s">
        <v>751</v>
      </c>
      <c r="C425" s="85" t="s">
        <v>2234</v>
      </c>
      <c r="D425" s="87" t="s">
        <v>752</v>
      </c>
      <c r="E425" s="89" t="s">
        <v>476</v>
      </c>
      <c r="F425" s="89">
        <v>101.22</v>
      </c>
      <c r="G425" s="89">
        <v>155.91</v>
      </c>
      <c r="H425" s="89">
        <v>15781.21</v>
      </c>
      <c r="I425" s="89">
        <v>101.22</v>
      </c>
    </row>
    <row r="426" ht="38.25" spans="1:9">
      <c r="A426" s="90"/>
      <c r="B426" s="91" t="s">
        <v>1002</v>
      </c>
      <c r="C426" s="91" t="s">
        <v>1297</v>
      </c>
      <c r="D426" s="92" t="s">
        <v>1298</v>
      </c>
      <c r="E426" s="93" t="s">
        <v>494</v>
      </c>
      <c r="F426" s="93">
        <v>1</v>
      </c>
      <c r="G426" s="93">
        <v>717852.52</v>
      </c>
      <c r="H426" s="93">
        <v>0.4822676799864</v>
      </c>
      <c r="I426" s="93">
        <v>101.22</v>
      </c>
    </row>
    <row r="427" ht="25.5" spans="1:9">
      <c r="A427" s="90"/>
      <c r="B427" s="91" t="s">
        <v>1421</v>
      </c>
      <c r="C427" s="91" t="s">
        <v>1420</v>
      </c>
      <c r="D427" s="92" t="s">
        <v>1422</v>
      </c>
      <c r="E427" s="93" t="s">
        <v>494</v>
      </c>
      <c r="F427" s="93">
        <v>1</v>
      </c>
      <c r="G427" s="93">
        <v>15839.74</v>
      </c>
      <c r="H427" s="93">
        <v>0.2644205412926</v>
      </c>
      <c r="I427" s="93">
        <v>101.22</v>
      </c>
    </row>
    <row r="428" ht="25.5" spans="1:9">
      <c r="A428" s="90"/>
      <c r="B428" s="91" t="s">
        <v>1103</v>
      </c>
      <c r="C428" s="91" t="s">
        <v>1102</v>
      </c>
      <c r="D428" s="92" t="s">
        <v>1104</v>
      </c>
      <c r="E428" s="93" t="s">
        <v>494</v>
      </c>
      <c r="F428" s="93">
        <v>1</v>
      </c>
      <c r="G428" s="93">
        <v>850000</v>
      </c>
      <c r="H428" s="93">
        <v>4.132802</v>
      </c>
      <c r="I428" s="93">
        <v>101.22</v>
      </c>
    </row>
    <row r="429" spans="1:9">
      <c r="A429" s="90"/>
      <c r="B429" s="91" t="s">
        <v>1007</v>
      </c>
      <c r="C429" s="91" t="s">
        <v>1048</v>
      </c>
      <c r="D429" s="92" t="s">
        <v>1049</v>
      </c>
      <c r="E429" s="93" t="s">
        <v>839</v>
      </c>
      <c r="F429" s="93">
        <v>1</v>
      </c>
      <c r="G429" s="93">
        <v>1.5</v>
      </c>
      <c r="H429" s="93">
        <v>0.30975</v>
      </c>
      <c r="I429" s="93">
        <v>101.22</v>
      </c>
    </row>
    <row r="430" spans="1:9">
      <c r="A430" s="90"/>
      <c r="B430" s="91" t="s">
        <v>1007</v>
      </c>
      <c r="C430" s="91" t="s">
        <v>1006</v>
      </c>
      <c r="D430" s="92" t="s">
        <v>1008</v>
      </c>
      <c r="E430" s="93" t="s">
        <v>839</v>
      </c>
      <c r="F430" s="93">
        <v>0.2065</v>
      </c>
      <c r="G430" s="93">
        <v>3.95</v>
      </c>
      <c r="H430" s="93">
        <v>0.815675</v>
      </c>
      <c r="I430" s="93">
        <v>20.90193</v>
      </c>
    </row>
    <row r="431" spans="1:9">
      <c r="A431" s="90"/>
      <c r="B431" s="91" t="s">
        <v>1023</v>
      </c>
      <c r="C431" s="91" t="s">
        <v>1436</v>
      </c>
      <c r="D431" s="92" t="s">
        <v>1437</v>
      </c>
      <c r="E431" s="93" t="s">
        <v>839</v>
      </c>
      <c r="F431" s="93">
        <v>0.00603054</v>
      </c>
      <c r="G431" s="93">
        <v>21.83</v>
      </c>
      <c r="H431" s="93">
        <v>0.1316466882</v>
      </c>
      <c r="I431" s="93">
        <v>0.6104112588</v>
      </c>
    </row>
    <row r="432" spans="1:9">
      <c r="A432" s="90"/>
      <c r="B432" s="91" t="s">
        <v>1108</v>
      </c>
      <c r="C432" s="91" t="s">
        <v>1107</v>
      </c>
      <c r="D432" s="92" t="s">
        <v>1109</v>
      </c>
      <c r="E432" s="93" t="s">
        <v>839</v>
      </c>
      <c r="F432" s="93">
        <v>0.049464306</v>
      </c>
      <c r="G432" s="93">
        <v>21.83</v>
      </c>
      <c r="H432" s="93">
        <v>1.07980579998</v>
      </c>
      <c r="I432" s="93">
        <v>5.00677705332</v>
      </c>
    </row>
    <row r="433" spans="1:9">
      <c r="A433" s="90"/>
      <c r="B433" s="91" t="s">
        <v>1108</v>
      </c>
      <c r="C433" s="91" t="s">
        <v>1127</v>
      </c>
      <c r="D433" s="92" t="s">
        <v>1128</v>
      </c>
      <c r="E433" s="93" t="s">
        <v>839</v>
      </c>
      <c r="F433" s="93">
        <v>0.125734422</v>
      </c>
      <c r="G433" s="93">
        <v>18</v>
      </c>
      <c r="H433" s="93">
        <v>2.263219596</v>
      </c>
      <c r="I433" s="93">
        <v>12.72683819484</v>
      </c>
    </row>
    <row r="434" spans="1:9">
      <c r="A434" s="90"/>
      <c r="B434" s="91" t="s">
        <v>1007</v>
      </c>
      <c r="C434" s="91" t="s">
        <v>1378</v>
      </c>
      <c r="D434" s="92" t="s">
        <v>1379</v>
      </c>
      <c r="E434" s="93" t="s">
        <v>839</v>
      </c>
      <c r="F434" s="93">
        <v>0.2065</v>
      </c>
      <c r="G434" s="93">
        <v>0.08</v>
      </c>
      <c r="H434" s="93">
        <v>0.01652</v>
      </c>
      <c r="I434" s="93">
        <v>20.90193</v>
      </c>
    </row>
    <row r="435" spans="1:9">
      <c r="A435" s="90"/>
      <c r="B435" s="91" t="s">
        <v>1020</v>
      </c>
      <c r="C435" s="91" t="s">
        <v>1019</v>
      </c>
      <c r="D435" s="92" t="s">
        <v>1021</v>
      </c>
      <c r="E435" s="93" t="s">
        <v>839</v>
      </c>
      <c r="F435" s="93">
        <v>0.02787876</v>
      </c>
      <c r="G435" s="93">
        <v>14.49</v>
      </c>
      <c r="H435" s="93">
        <v>0.4039632324</v>
      </c>
      <c r="I435" s="93">
        <v>2.8218880872</v>
      </c>
    </row>
    <row r="436" ht="25.5" spans="1:9">
      <c r="A436" s="90"/>
      <c r="B436" s="91" t="s">
        <v>990</v>
      </c>
      <c r="C436" s="91" t="s">
        <v>989</v>
      </c>
      <c r="D436" s="92" t="s">
        <v>991</v>
      </c>
      <c r="E436" s="93" t="s">
        <v>476</v>
      </c>
      <c r="F436" s="93">
        <v>1.3889</v>
      </c>
      <c r="G436" s="93">
        <v>102.5</v>
      </c>
      <c r="H436" s="93">
        <v>142.36</v>
      </c>
      <c r="I436" s="93">
        <v>140.584458</v>
      </c>
    </row>
    <row r="437" ht="25.5" spans="1:9">
      <c r="A437" s="90"/>
      <c r="B437" s="91" t="s">
        <v>1111</v>
      </c>
      <c r="C437" s="91" t="s">
        <v>1287</v>
      </c>
      <c r="D437" s="92" t="s">
        <v>1288</v>
      </c>
      <c r="E437" s="93" t="s">
        <v>839</v>
      </c>
      <c r="F437" s="93">
        <v>0.1792</v>
      </c>
      <c r="G437" s="93">
        <v>0.89</v>
      </c>
      <c r="H437" s="93">
        <v>0.159488</v>
      </c>
      <c r="I437" s="93">
        <v>18.138624</v>
      </c>
    </row>
    <row r="438" ht="25.5" spans="1:9">
      <c r="A438" s="90"/>
      <c r="B438" s="91" t="s">
        <v>1111</v>
      </c>
      <c r="C438" s="91" t="s">
        <v>1110</v>
      </c>
      <c r="D438" s="92" t="s">
        <v>1112</v>
      </c>
      <c r="E438" s="93" t="s">
        <v>839</v>
      </c>
      <c r="F438" s="93">
        <v>0.0273</v>
      </c>
      <c r="G438" s="93">
        <v>1.39</v>
      </c>
      <c r="H438" s="93">
        <v>0.037947</v>
      </c>
      <c r="I438" s="93">
        <v>2.763306</v>
      </c>
    </row>
    <row r="439" spans="1:9">
      <c r="A439" s="90"/>
      <c r="B439" s="91" t="s">
        <v>1007</v>
      </c>
      <c r="C439" s="91" t="s">
        <v>1050</v>
      </c>
      <c r="D439" s="92" t="s">
        <v>1051</v>
      </c>
      <c r="E439" s="93" t="s">
        <v>839</v>
      </c>
      <c r="F439" s="93">
        <v>0.2065</v>
      </c>
      <c r="G439" s="93">
        <v>1.43</v>
      </c>
      <c r="H439" s="93">
        <v>0.295295</v>
      </c>
      <c r="I439" s="93">
        <v>20.90193</v>
      </c>
    </row>
    <row r="440" ht="25.5" spans="1:9">
      <c r="A440" s="90"/>
      <c r="B440" s="91" t="s">
        <v>1111</v>
      </c>
      <c r="C440" s="91" t="s">
        <v>1707</v>
      </c>
      <c r="D440" s="92" t="s">
        <v>1708</v>
      </c>
      <c r="E440" s="93" t="s">
        <v>839</v>
      </c>
      <c r="F440" s="93">
        <v>0.1792</v>
      </c>
      <c r="G440" s="93">
        <v>0.01</v>
      </c>
      <c r="H440" s="93">
        <v>0.001792</v>
      </c>
      <c r="I440" s="93">
        <v>18.138624</v>
      </c>
    </row>
    <row r="441" ht="25.5" spans="1:9">
      <c r="A441" s="90"/>
      <c r="B441" s="91" t="s">
        <v>1111</v>
      </c>
      <c r="C441" s="91" t="s">
        <v>1195</v>
      </c>
      <c r="D441" s="92" t="s">
        <v>1196</v>
      </c>
      <c r="E441" s="93" t="s">
        <v>839</v>
      </c>
      <c r="F441" s="93">
        <v>0.0273</v>
      </c>
      <c r="G441" s="93">
        <v>0.61</v>
      </c>
      <c r="H441" s="93">
        <v>0.016653</v>
      </c>
      <c r="I441" s="93">
        <v>2.763306</v>
      </c>
    </row>
    <row r="442" spans="1:9">
      <c r="A442" s="90"/>
      <c r="B442" s="91" t="s">
        <v>985</v>
      </c>
      <c r="C442" s="91" t="s">
        <v>1227</v>
      </c>
      <c r="D442" s="92" t="s">
        <v>1228</v>
      </c>
      <c r="E442" s="93" t="s">
        <v>215</v>
      </c>
      <c r="F442" s="93">
        <v>0.128029</v>
      </c>
      <c r="G442" s="93">
        <v>5.96</v>
      </c>
      <c r="H442" s="93">
        <v>0.76305284</v>
      </c>
      <c r="I442" s="93">
        <v>12.95909538</v>
      </c>
    </row>
    <row r="443" spans="1:9">
      <c r="A443" s="90"/>
      <c r="B443" s="91" t="s">
        <v>985</v>
      </c>
      <c r="C443" s="91" t="s">
        <v>984</v>
      </c>
      <c r="D443" s="92" t="s">
        <v>986</v>
      </c>
      <c r="E443" s="93" t="s">
        <v>215</v>
      </c>
      <c r="F443" s="93">
        <v>0.389064</v>
      </c>
      <c r="G443" s="93">
        <v>5.93</v>
      </c>
      <c r="H443" s="93">
        <v>2.30714952</v>
      </c>
      <c r="I443" s="93">
        <v>39.38105808</v>
      </c>
    </row>
    <row r="444" ht="38.25" spans="1:9">
      <c r="A444" s="90"/>
      <c r="B444" s="91" t="s">
        <v>1002</v>
      </c>
      <c r="C444" s="91" t="s">
        <v>1514</v>
      </c>
      <c r="D444" s="92" t="s">
        <v>1515</v>
      </c>
      <c r="E444" s="93" t="s">
        <v>494</v>
      </c>
      <c r="F444" s="93">
        <v>8.2386e-7</v>
      </c>
      <c r="G444" s="93">
        <v>85950</v>
      </c>
      <c r="H444" s="93">
        <v>0.070810767</v>
      </c>
      <c r="I444" s="93">
        <v>8.33911092e-5</v>
      </c>
    </row>
    <row r="445" spans="1:9">
      <c r="A445" s="85" t="s">
        <v>2235</v>
      </c>
      <c r="B445" s="85" t="s">
        <v>753</v>
      </c>
      <c r="C445" s="85" t="s">
        <v>2236</v>
      </c>
      <c r="D445" s="87" t="s">
        <v>2237</v>
      </c>
      <c r="E445" s="89" t="s">
        <v>476</v>
      </c>
      <c r="F445" s="89">
        <v>17.2</v>
      </c>
      <c r="G445" s="89">
        <v>65.42</v>
      </c>
      <c r="H445" s="89">
        <v>1125.22</v>
      </c>
      <c r="I445" s="89">
        <v>17.2</v>
      </c>
    </row>
    <row r="446" ht="25.5" spans="1:9">
      <c r="A446" s="86"/>
      <c r="B446" s="86"/>
      <c r="C446" s="86"/>
      <c r="D446" s="87" t="s">
        <v>2238</v>
      </c>
      <c r="E446" s="88"/>
      <c r="F446" s="88"/>
      <c r="G446" s="88"/>
      <c r="H446" s="88"/>
      <c r="I446" s="88"/>
    </row>
    <row r="447" ht="38.25" spans="1:9">
      <c r="A447" s="90"/>
      <c r="B447" s="91" t="s">
        <v>1002</v>
      </c>
      <c r="C447" s="91" t="s">
        <v>1297</v>
      </c>
      <c r="D447" s="92" t="s">
        <v>1298</v>
      </c>
      <c r="E447" s="93" t="s">
        <v>494</v>
      </c>
      <c r="F447" s="93">
        <v>1</v>
      </c>
      <c r="G447" s="93">
        <v>717852.52</v>
      </c>
      <c r="H447" s="93">
        <v>0.4822676799864</v>
      </c>
      <c r="I447" s="93">
        <v>17.2</v>
      </c>
    </row>
    <row r="448" ht="25.5" spans="1:9">
      <c r="A448" s="90"/>
      <c r="B448" s="91" t="s">
        <v>1421</v>
      </c>
      <c r="C448" s="91" t="s">
        <v>1420</v>
      </c>
      <c r="D448" s="92" t="s">
        <v>1422</v>
      </c>
      <c r="E448" s="93" t="s">
        <v>494</v>
      </c>
      <c r="F448" s="93">
        <v>1</v>
      </c>
      <c r="G448" s="93">
        <v>15839.74</v>
      </c>
      <c r="H448" s="93">
        <v>0.2644205412926</v>
      </c>
      <c r="I448" s="93">
        <v>17.2</v>
      </c>
    </row>
    <row r="449" ht="25.5" spans="1:9">
      <c r="A449" s="90"/>
      <c r="B449" s="91" t="s">
        <v>1103</v>
      </c>
      <c r="C449" s="91" t="s">
        <v>1102</v>
      </c>
      <c r="D449" s="92" t="s">
        <v>1104</v>
      </c>
      <c r="E449" s="93" t="s">
        <v>494</v>
      </c>
      <c r="F449" s="93">
        <v>1</v>
      </c>
      <c r="G449" s="93">
        <v>850000</v>
      </c>
      <c r="H449" s="93">
        <v>4.132802</v>
      </c>
      <c r="I449" s="93">
        <v>17.2</v>
      </c>
    </row>
    <row r="450" spans="1:9">
      <c r="A450" s="90"/>
      <c r="B450" s="91" t="s">
        <v>1007</v>
      </c>
      <c r="C450" s="91" t="s">
        <v>1048</v>
      </c>
      <c r="D450" s="92" t="s">
        <v>1049</v>
      </c>
      <c r="E450" s="93" t="s">
        <v>839</v>
      </c>
      <c r="F450" s="93">
        <v>1</v>
      </c>
      <c r="G450" s="93">
        <v>1.5</v>
      </c>
      <c r="H450" s="93">
        <v>0.30975</v>
      </c>
      <c r="I450" s="93">
        <v>17.2</v>
      </c>
    </row>
    <row r="451" spans="1:9">
      <c r="A451" s="90"/>
      <c r="B451" s="91" t="s">
        <v>1007</v>
      </c>
      <c r="C451" s="91" t="s">
        <v>1006</v>
      </c>
      <c r="D451" s="92" t="s">
        <v>1008</v>
      </c>
      <c r="E451" s="93" t="s">
        <v>839</v>
      </c>
      <c r="F451" s="93">
        <v>0.2065</v>
      </c>
      <c r="G451" s="93">
        <v>3.95</v>
      </c>
      <c r="H451" s="93">
        <v>0.815675</v>
      </c>
      <c r="I451" s="93">
        <v>3.5518</v>
      </c>
    </row>
    <row r="452" spans="1:9">
      <c r="A452" s="90"/>
      <c r="B452" s="91" t="s">
        <v>1023</v>
      </c>
      <c r="C452" s="91" t="s">
        <v>1436</v>
      </c>
      <c r="D452" s="92" t="s">
        <v>1437</v>
      </c>
      <c r="E452" s="93" t="s">
        <v>839</v>
      </c>
      <c r="F452" s="93">
        <v>0.00603054</v>
      </c>
      <c r="G452" s="93">
        <v>21.83</v>
      </c>
      <c r="H452" s="93">
        <v>0.1316466882</v>
      </c>
      <c r="I452" s="93">
        <v>0.103725288</v>
      </c>
    </row>
    <row r="453" spans="1:9">
      <c r="A453" s="90"/>
      <c r="B453" s="91" t="s">
        <v>1108</v>
      </c>
      <c r="C453" s="91" t="s">
        <v>1107</v>
      </c>
      <c r="D453" s="92" t="s">
        <v>1109</v>
      </c>
      <c r="E453" s="93" t="s">
        <v>839</v>
      </c>
      <c r="F453" s="93">
        <v>0.049464306</v>
      </c>
      <c r="G453" s="93">
        <v>21.83</v>
      </c>
      <c r="H453" s="93">
        <v>1.07980579998</v>
      </c>
      <c r="I453" s="93">
        <v>0.8507860632</v>
      </c>
    </row>
    <row r="454" spans="1:9">
      <c r="A454" s="90"/>
      <c r="B454" s="91" t="s">
        <v>1108</v>
      </c>
      <c r="C454" s="91" t="s">
        <v>1127</v>
      </c>
      <c r="D454" s="92" t="s">
        <v>1128</v>
      </c>
      <c r="E454" s="93" t="s">
        <v>839</v>
      </c>
      <c r="F454" s="93">
        <v>0.125734422</v>
      </c>
      <c r="G454" s="93">
        <v>18</v>
      </c>
      <c r="H454" s="93">
        <v>2.263219596</v>
      </c>
      <c r="I454" s="93">
        <v>2.1626320584</v>
      </c>
    </row>
    <row r="455" spans="1:9">
      <c r="A455" s="90"/>
      <c r="B455" s="91" t="s">
        <v>1007</v>
      </c>
      <c r="C455" s="91" t="s">
        <v>1378</v>
      </c>
      <c r="D455" s="92" t="s">
        <v>1379</v>
      </c>
      <c r="E455" s="93" t="s">
        <v>839</v>
      </c>
      <c r="F455" s="93">
        <v>0.2065</v>
      </c>
      <c r="G455" s="93">
        <v>0.08</v>
      </c>
      <c r="H455" s="93">
        <v>0.01652</v>
      </c>
      <c r="I455" s="93">
        <v>3.5518</v>
      </c>
    </row>
    <row r="456" spans="1:9">
      <c r="A456" s="90"/>
      <c r="B456" s="91" t="s">
        <v>1020</v>
      </c>
      <c r="C456" s="91" t="s">
        <v>1019</v>
      </c>
      <c r="D456" s="92" t="s">
        <v>1021</v>
      </c>
      <c r="E456" s="93" t="s">
        <v>839</v>
      </c>
      <c r="F456" s="93">
        <v>0.02787876</v>
      </c>
      <c r="G456" s="93">
        <v>14.49</v>
      </c>
      <c r="H456" s="93">
        <v>0.4039632324</v>
      </c>
      <c r="I456" s="93">
        <v>0.479514672</v>
      </c>
    </row>
    <row r="457" ht="25.5" spans="1:9">
      <c r="A457" s="90"/>
      <c r="B457" s="91" t="s">
        <v>1478</v>
      </c>
      <c r="C457" s="91" t="s">
        <v>1477</v>
      </c>
      <c r="D457" s="92" t="s">
        <v>1479</v>
      </c>
      <c r="E457" s="93" t="s">
        <v>476</v>
      </c>
      <c r="F457" s="93">
        <v>1.3889</v>
      </c>
      <c r="G457" s="93">
        <v>37.35</v>
      </c>
      <c r="H457" s="93">
        <v>51.87</v>
      </c>
      <c r="I457" s="93">
        <v>23.88908</v>
      </c>
    </row>
    <row r="458" ht="25.5" spans="1:9">
      <c r="A458" s="90"/>
      <c r="B458" s="91" t="s">
        <v>1111</v>
      </c>
      <c r="C458" s="91" t="s">
        <v>1287</v>
      </c>
      <c r="D458" s="92" t="s">
        <v>1288</v>
      </c>
      <c r="E458" s="93" t="s">
        <v>839</v>
      </c>
      <c r="F458" s="93">
        <v>0.1792</v>
      </c>
      <c r="G458" s="93">
        <v>0.89</v>
      </c>
      <c r="H458" s="93">
        <v>0.159488</v>
      </c>
      <c r="I458" s="93">
        <v>3.08224</v>
      </c>
    </row>
    <row r="459" ht="25.5" spans="1:9">
      <c r="A459" s="90"/>
      <c r="B459" s="91" t="s">
        <v>1111</v>
      </c>
      <c r="C459" s="91" t="s">
        <v>1110</v>
      </c>
      <c r="D459" s="92" t="s">
        <v>1112</v>
      </c>
      <c r="E459" s="93" t="s">
        <v>839</v>
      </c>
      <c r="F459" s="93">
        <v>0.0273</v>
      </c>
      <c r="G459" s="93">
        <v>1.39</v>
      </c>
      <c r="H459" s="93">
        <v>0.037947</v>
      </c>
      <c r="I459" s="93">
        <v>0.46956</v>
      </c>
    </row>
    <row r="460" spans="1:9">
      <c r="A460" s="90"/>
      <c r="B460" s="91" t="s">
        <v>1007</v>
      </c>
      <c r="C460" s="91" t="s">
        <v>1050</v>
      </c>
      <c r="D460" s="92" t="s">
        <v>1051</v>
      </c>
      <c r="E460" s="93" t="s">
        <v>839</v>
      </c>
      <c r="F460" s="93">
        <v>0.2065</v>
      </c>
      <c r="G460" s="93">
        <v>1.43</v>
      </c>
      <c r="H460" s="93">
        <v>0.295295</v>
      </c>
      <c r="I460" s="93">
        <v>3.5518</v>
      </c>
    </row>
    <row r="461" ht="25.5" spans="1:9">
      <c r="A461" s="90"/>
      <c r="B461" s="91" t="s">
        <v>1111</v>
      </c>
      <c r="C461" s="91" t="s">
        <v>1707</v>
      </c>
      <c r="D461" s="92" t="s">
        <v>1708</v>
      </c>
      <c r="E461" s="93" t="s">
        <v>839</v>
      </c>
      <c r="F461" s="93">
        <v>0.1792</v>
      </c>
      <c r="G461" s="93">
        <v>0.01</v>
      </c>
      <c r="H461" s="93">
        <v>0.001792</v>
      </c>
      <c r="I461" s="93">
        <v>3.08224</v>
      </c>
    </row>
    <row r="462" ht="25.5" spans="1:9">
      <c r="A462" s="90"/>
      <c r="B462" s="91" t="s">
        <v>1111</v>
      </c>
      <c r="C462" s="91" t="s">
        <v>1195</v>
      </c>
      <c r="D462" s="92" t="s">
        <v>1196</v>
      </c>
      <c r="E462" s="93" t="s">
        <v>839</v>
      </c>
      <c r="F462" s="93">
        <v>0.0273</v>
      </c>
      <c r="G462" s="93">
        <v>0.61</v>
      </c>
      <c r="H462" s="93">
        <v>0.016653</v>
      </c>
      <c r="I462" s="93">
        <v>0.46956</v>
      </c>
    </row>
    <row r="463" spans="1:9">
      <c r="A463" s="90"/>
      <c r="B463" s="91" t="s">
        <v>985</v>
      </c>
      <c r="C463" s="91" t="s">
        <v>1227</v>
      </c>
      <c r="D463" s="92" t="s">
        <v>1228</v>
      </c>
      <c r="E463" s="93" t="s">
        <v>215</v>
      </c>
      <c r="F463" s="93">
        <v>0.128029</v>
      </c>
      <c r="G463" s="93">
        <v>5.96</v>
      </c>
      <c r="H463" s="93">
        <v>0.76305284</v>
      </c>
      <c r="I463" s="93">
        <v>2.2020988</v>
      </c>
    </row>
    <row r="464" spans="1:9">
      <c r="A464" s="90"/>
      <c r="B464" s="91" t="s">
        <v>985</v>
      </c>
      <c r="C464" s="91" t="s">
        <v>984</v>
      </c>
      <c r="D464" s="92" t="s">
        <v>986</v>
      </c>
      <c r="E464" s="93" t="s">
        <v>215</v>
      </c>
      <c r="F464" s="93">
        <v>0.389064</v>
      </c>
      <c r="G464" s="93">
        <v>5.93</v>
      </c>
      <c r="H464" s="93">
        <v>2.30714952</v>
      </c>
      <c r="I464" s="93">
        <v>6.6919008</v>
      </c>
    </row>
    <row r="465" ht="38.25" spans="1:9">
      <c r="A465" s="90"/>
      <c r="B465" s="91" t="s">
        <v>1002</v>
      </c>
      <c r="C465" s="91" t="s">
        <v>1514</v>
      </c>
      <c r="D465" s="92" t="s">
        <v>1515</v>
      </c>
      <c r="E465" s="93" t="s">
        <v>494</v>
      </c>
      <c r="F465" s="93">
        <v>8.2386e-7</v>
      </c>
      <c r="G465" s="93">
        <v>85950</v>
      </c>
      <c r="H465" s="93">
        <v>0.070810767</v>
      </c>
      <c r="I465" s="93">
        <v>1.4170392e-5</v>
      </c>
    </row>
    <row r="466" ht="25.5" spans="1:9">
      <c r="A466" s="85" t="s">
        <v>2239</v>
      </c>
      <c r="B466" s="85" t="s">
        <v>755</v>
      </c>
      <c r="C466" s="85" t="s">
        <v>2240</v>
      </c>
      <c r="D466" s="87" t="s">
        <v>756</v>
      </c>
      <c r="E466" s="89" t="s">
        <v>601</v>
      </c>
      <c r="F466" s="89">
        <v>12.75</v>
      </c>
      <c r="G466" s="89">
        <v>7.47</v>
      </c>
      <c r="H466" s="89">
        <v>95.24</v>
      </c>
      <c r="I466" s="89">
        <v>12.75</v>
      </c>
    </row>
    <row r="467" spans="1:9">
      <c r="A467" s="90"/>
      <c r="B467" s="91" t="s">
        <v>1007</v>
      </c>
      <c r="C467" s="91" t="s">
        <v>1048</v>
      </c>
      <c r="D467" s="92" t="s">
        <v>1049</v>
      </c>
      <c r="E467" s="93" t="s">
        <v>839</v>
      </c>
      <c r="F467" s="93">
        <v>1</v>
      </c>
      <c r="G467" s="93">
        <v>1.5</v>
      </c>
      <c r="H467" s="93">
        <v>0.0411</v>
      </c>
      <c r="I467" s="93">
        <v>12.75</v>
      </c>
    </row>
    <row r="468" spans="1:9">
      <c r="A468" s="90"/>
      <c r="B468" s="91" t="s">
        <v>1007</v>
      </c>
      <c r="C468" s="91" t="s">
        <v>1006</v>
      </c>
      <c r="D468" s="92" t="s">
        <v>1008</v>
      </c>
      <c r="E468" s="93" t="s">
        <v>839</v>
      </c>
      <c r="F468" s="93">
        <v>0.0274</v>
      </c>
      <c r="G468" s="93">
        <v>3.95</v>
      </c>
      <c r="H468" s="93">
        <v>0.10823</v>
      </c>
      <c r="I468" s="93">
        <v>0.34935</v>
      </c>
    </row>
    <row r="469" spans="1:9">
      <c r="A469" s="90"/>
      <c r="B469" s="91" t="s">
        <v>1053</v>
      </c>
      <c r="C469" s="91" t="s">
        <v>1052</v>
      </c>
      <c r="D469" s="92" t="s">
        <v>1054</v>
      </c>
      <c r="E469" s="93" t="s">
        <v>839</v>
      </c>
      <c r="F469" s="93">
        <v>0.027539466</v>
      </c>
      <c r="G469" s="93">
        <v>22.67</v>
      </c>
      <c r="H469" s="93">
        <v>0.62431969422</v>
      </c>
      <c r="I469" s="93">
        <v>0.3511281915</v>
      </c>
    </row>
    <row r="470" spans="1:9">
      <c r="A470" s="90"/>
      <c r="B470" s="91" t="s">
        <v>1007</v>
      </c>
      <c r="C470" s="91" t="s">
        <v>1378</v>
      </c>
      <c r="D470" s="92" t="s">
        <v>1379</v>
      </c>
      <c r="E470" s="93" t="s">
        <v>839</v>
      </c>
      <c r="F470" s="93">
        <v>0.0274</v>
      </c>
      <c r="G470" s="93">
        <v>0.08</v>
      </c>
      <c r="H470" s="93">
        <v>0.002192</v>
      </c>
      <c r="I470" s="93">
        <v>0.34935</v>
      </c>
    </row>
    <row r="471" ht="38.25" spans="1:9">
      <c r="A471" s="90"/>
      <c r="B471" s="91" t="s">
        <v>1002</v>
      </c>
      <c r="C471" s="91" t="s">
        <v>1741</v>
      </c>
      <c r="D471" s="92" t="s">
        <v>1742</v>
      </c>
      <c r="E471" s="93" t="s">
        <v>494</v>
      </c>
      <c r="F471" s="93">
        <v>2.62236e-6</v>
      </c>
      <c r="G471" s="93">
        <v>765159.12</v>
      </c>
      <c r="H471" s="93">
        <v>2.0065226699232</v>
      </c>
      <c r="I471" s="93">
        <v>3.343509e-5</v>
      </c>
    </row>
    <row r="472" ht="25.5" spans="1:9">
      <c r="A472" s="90"/>
      <c r="B472" s="91" t="s">
        <v>1111</v>
      </c>
      <c r="C472" s="91" t="s">
        <v>1287</v>
      </c>
      <c r="D472" s="92" t="s">
        <v>1288</v>
      </c>
      <c r="E472" s="93" t="s">
        <v>839</v>
      </c>
      <c r="F472" s="93">
        <v>0.0274</v>
      </c>
      <c r="G472" s="93">
        <v>0.89</v>
      </c>
      <c r="H472" s="93">
        <v>0.024386</v>
      </c>
      <c r="I472" s="93">
        <v>0.34935</v>
      </c>
    </row>
    <row r="473" spans="1:9">
      <c r="A473" s="90"/>
      <c r="B473" s="91" t="s">
        <v>1007</v>
      </c>
      <c r="C473" s="91" t="s">
        <v>1050</v>
      </c>
      <c r="D473" s="92" t="s">
        <v>1051</v>
      </c>
      <c r="E473" s="93" t="s">
        <v>839</v>
      </c>
      <c r="F473" s="93">
        <v>0.0274</v>
      </c>
      <c r="G473" s="93">
        <v>1.43</v>
      </c>
      <c r="H473" s="93">
        <v>0.039182</v>
      </c>
      <c r="I473" s="93">
        <v>0.34935</v>
      </c>
    </row>
    <row r="474" ht="25.5" spans="1:9">
      <c r="A474" s="90"/>
      <c r="B474" s="91" t="s">
        <v>1111</v>
      </c>
      <c r="C474" s="91" t="s">
        <v>1707</v>
      </c>
      <c r="D474" s="92" t="s">
        <v>1708</v>
      </c>
      <c r="E474" s="93" t="s">
        <v>839</v>
      </c>
      <c r="F474" s="93">
        <v>0.0274</v>
      </c>
      <c r="G474" s="93">
        <v>0.01</v>
      </c>
      <c r="H474" s="93">
        <v>0.000274</v>
      </c>
      <c r="I474" s="93">
        <v>0.34935</v>
      </c>
    </row>
    <row r="475" spans="1:9">
      <c r="A475" s="90"/>
      <c r="B475" s="91" t="s">
        <v>985</v>
      </c>
      <c r="C475" s="91" t="s">
        <v>984</v>
      </c>
      <c r="D475" s="92" t="s">
        <v>986</v>
      </c>
      <c r="E475" s="93" t="s">
        <v>215</v>
      </c>
      <c r="F475" s="93">
        <v>0.6052</v>
      </c>
      <c r="G475" s="93">
        <v>5.93</v>
      </c>
      <c r="H475" s="93">
        <v>3.588836</v>
      </c>
      <c r="I475" s="93">
        <v>7.7163</v>
      </c>
    </row>
    <row r="476" ht="25.5" spans="1:9">
      <c r="A476" s="90"/>
      <c r="B476" s="91" t="s">
        <v>1002</v>
      </c>
      <c r="C476" s="91" t="s">
        <v>1769</v>
      </c>
      <c r="D476" s="92" t="s">
        <v>1770</v>
      </c>
      <c r="E476" s="93" t="s">
        <v>494</v>
      </c>
      <c r="F476" s="93">
        <v>3.72514e-6</v>
      </c>
      <c r="G476" s="93">
        <v>279656.7</v>
      </c>
      <c r="H476" s="93">
        <v>1.041760359438</v>
      </c>
      <c r="I476" s="93">
        <v>4.7495535e-5</v>
      </c>
    </row>
    <row r="477" ht="51" spans="1:9">
      <c r="A477" s="85" t="s">
        <v>2241</v>
      </c>
      <c r="B477" s="85" t="s">
        <v>757</v>
      </c>
      <c r="C477" s="85" t="s">
        <v>2242</v>
      </c>
      <c r="D477" s="87" t="s">
        <v>758</v>
      </c>
      <c r="E477" s="89" t="s">
        <v>476</v>
      </c>
      <c r="F477" s="89">
        <v>627.22</v>
      </c>
      <c r="G477" s="89">
        <v>9.18</v>
      </c>
      <c r="H477" s="89">
        <v>5757.87</v>
      </c>
      <c r="I477" s="89">
        <v>627.22</v>
      </c>
    </row>
    <row r="478" ht="25.5" spans="1:9">
      <c r="A478" s="90"/>
      <c r="B478" s="91" t="s">
        <v>1103</v>
      </c>
      <c r="C478" s="91" t="s">
        <v>1102</v>
      </c>
      <c r="D478" s="92" t="s">
        <v>1104</v>
      </c>
      <c r="E478" s="93" t="s">
        <v>494</v>
      </c>
      <c r="F478" s="93">
        <v>1</v>
      </c>
      <c r="G478" s="93">
        <v>850000</v>
      </c>
      <c r="H478" s="93">
        <v>1.504874</v>
      </c>
      <c r="I478" s="93">
        <v>627.22</v>
      </c>
    </row>
    <row r="479" spans="1:9">
      <c r="A479" s="90"/>
      <c r="B479" s="91" t="s">
        <v>1007</v>
      </c>
      <c r="C479" s="91" t="s">
        <v>1048</v>
      </c>
      <c r="D479" s="92" t="s">
        <v>1049</v>
      </c>
      <c r="E479" s="93" t="s">
        <v>839</v>
      </c>
      <c r="F479" s="93">
        <v>1</v>
      </c>
      <c r="G479" s="93">
        <v>1.5</v>
      </c>
      <c r="H479" s="93">
        <v>0.06705</v>
      </c>
      <c r="I479" s="93">
        <v>627.22</v>
      </c>
    </row>
    <row r="480" spans="1:9">
      <c r="A480" s="90"/>
      <c r="B480" s="91" t="s">
        <v>1007</v>
      </c>
      <c r="C480" s="91" t="s">
        <v>1006</v>
      </c>
      <c r="D480" s="92" t="s">
        <v>1008</v>
      </c>
      <c r="E480" s="93" t="s">
        <v>839</v>
      </c>
      <c r="F480" s="93">
        <v>0.0447</v>
      </c>
      <c r="G480" s="93">
        <v>3.95</v>
      </c>
      <c r="H480" s="93">
        <v>0.176565</v>
      </c>
      <c r="I480" s="93">
        <v>28.036734</v>
      </c>
    </row>
    <row r="481" spans="1:9">
      <c r="A481" s="90"/>
      <c r="B481" s="91" t="s">
        <v>1053</v>
      </c>
      <c r="C481" s="91" t="s">
        <v>1052</v>
      </c>
      <c r="D481" s="92" t="s">
        <v>1054</v>
      </c>
      <c r="E481" s="93" t="s">
        <v>839</v>
      </c>
      <c r="F481" s="93">
        <v>0.028042011</v>
      </c>
      <c r="G481" s="93">
        <v>22.67</v>
      </c>
      <c r="H481" s="93">
        <v>0.63571238937</v>
      </c>
      <c r="I481" s="93">
        <v>17.58851013942</v>
      </c>
    </row>
    <row r="482" spans="1:9">
      <c r="A482" s="90"/>
      <c r="B482" s="91" t="s">
        <v>1108</v>
      </c>
      <c r="C482" s="91" t="s">
        <v>1107</v>
      </c>
      <c r="D482" s="92" t="s">
        <v>1109</v>
      </c>
      <c r="E482" s="93" t="s">
        <v>839</v>
      </c>
      <c r="F482" s="93">
        <v>0.016993872</v>
      </c>
      <c r="G482" s="93">
        <v>21.83</v>
      </c>
      <c r="H482" s="93">
        <v>0.37097622576</v>
      </c>
      <c r="I482" s="93">
        <v>10.65889639584</v>
      </c>
    </row>
    <row r="483" spans="1:9">
      <c r="A483" s="90"/>
      <c r="B483" s="91" t="s">
        <v>1007</v>
      </c>
      <c r="C483" s="91" t="s">
        <v>1378</v>
      </c>
      <c r="D483" s="92" t="s">
        <v>1379</v>
      </c>
      <c r="E483" s="93" t="s">
        <v>839</v>
      </c>
      <c r="F483" s="93">
        <v>0.0447</v>
      </c>
      <c r="G483" s="93">
        <v>0.08</v>
      </c>
      <c r="H483" s="93">
        <v>0.003576</v>
      </c>
      <c r="I483" s="93">
        <v>28.036734</v>
      </c>
    </row>
    <row r="484" ht="38.25" spans="1:9">
      <c r="A484" s="90"/>
      <c r="B484" s="91" t="s">
        <v>1002</v>
      </c>
      <c r="C484" s="91" t="s">
        <v>1001</v>
      </c>
      <c r="D484" s="92" t="s">
        <v>1003</v>
      </c>
      <c r="E484" s="93" t="s">
        <v>494</v>
      </c>
      <c r="F484" s="93">
        <v>2.59158e-6</v>
      </c>
      <c r="G484" s="93">
        <v>755977.34</v>
      </c>
      <c r="H484" s="93">
        <v>1.9591757547972</v>
      </c>
      <c r="I484" s="93">
        <v>0.0016254908076</v>
      </c>
    </row>
    <row r="485" ht="25.5" spans="1:9">
      <c r="A485" s="90"/>
      <c r="B485" s="91" t="s">
        <v>1111</v>
      </c>
      <c r="C485" s="91" t="s">
        <v>1287</v>
      </c>
      <c r="D485" s="92" t="s">
        <v>1288</v>
      </c>
      <c r="E485" s="93" t="s">
        <v>839</v>
      </c>
      <c r="F485" s="93">
        <v>0.0447</v>
      </c>
      <c r="G485" s="93">
        <v>0.89</v>
      </c>
      <c r="H485" s="93">
        <v>0.039783</v>
      </c>
      <c r="I485" s="93">
        <v>28.036734</v>
      </c>
    </row>
    <row r="486" spans="1:9">
      <c r="A486" s="90"/>
      <c r="B486" s="91" t="s">
        <v>1007</v>
      </c>
      <c r="C486" s="91" t="s">
        <v>1050</v>
      </c>
      <c r="D486" s="92" t="s">
        <v>1051</v>
      </c>
      <c r="E486" s="93" t="s">
        <v>839</v>
      </c>
      <c r="F486" s="93">
        <v>0.0447</v>
      </c>
      <c r="G486" s="93">
        <v>1.43</v>
      </c>
      <c r="H486" s="93">
        <v>0.063921</v>
      </c>
      <c r="I486" s="93">
        <v>28.036734</v>
      </c>
    </row>
    <row r="487" ht="25.5" spans="1:9">
      <c r="A487" s="90"/>
      <c r="B487" s="91" t="s">
        <v>1111</v>
      </c>
      <c r="C487" s="91" t="s">
        <v>1707</v>
      </c>
      <c r="D487" s="92" t="s">
        <v>1708</v>
      </c>
      <c r="E487" s="93" t="s">
        <v>839</v>
      </c>
      <c r="F487" s="93">
        <v>0.0447</v>
      </c>
      <c r="G487" s="93">
        <v>0.01</v>
      </c>
      <c r="H487" s="93">
        <v>0.000447</v>
      </c>
      <c r="I487" s="93">
        <v>28.036734</v>
      </c>
    </row>
    <row r="488" spans="1:9">
      <c r="A488" s="90"/>
      <c r="B488" s="91" t="s">
        <v>985</v>
      </c>
      <c r="C488" s="91" t="s">
        <v>984</v>
      </c>
      <c r="D488" s="92" t="s">
        <v>986</v>
      </c>
      <c r="E488" s="93" t="s">
        <v>215</v>
      </c>
      <c r="F488" s="93">
        <v>0.587434</v>
      </c>
      <c r="G488" s="93">
        <v>5.93</v>
      </c>
      <c r="H488" s="93">
        <v>3.48348362</v>
      </c>
      <c r="I488" s="93">
        <v>368.45035348</v>
      </c>
    </row>
    <row r="489" ht="25.5" spans="1:9">
      <c r="A489" s="90"/>
      <c r="B489" s="91" t="s">
        <v>1002</v>
      </c>
      <c r="C489" s="91" t="s">
        <v>1044</v>
      </c>
      <c r="D489" s="92" t="s">
        <v>1045</v>
      </c>
      <c r="E489" s="93" t="s">
        <v>494</v>
      </c>
      <c r="F489" s="93">
        <v>3.68913e-6</v>
      </c>
      <c r="G489" s="93">
        <v>237841.37</v>
      </c>
      <c r="H489" s="93">
        <v>0.8774277333081</v>
      </c>
      <c r="I489" s="93">
        <v>0.0023138961186</v>
      </c>
    </row>
    <row r="490" ht="51" spans="1:9">
      <c r="A490" s="85" t="s">
        <v>2243</v>
      </c>
      <c r="B490" s="85" t="s">
        <v>759</v>
      </c>
      <c r="C490" s="85" t="s">
        <v>2244</v>
      </c>
      <c r="D490" s="87" t="s">
        <v>760</v>
      </c>
      <c r="E490" s="89" t="s">
        <v>476</v>
      </c>
      <c r="F490" s="89">
        <v>12.23</v>
      </c>
      <c r="G490" s="89">
        <v>9.52</v>
      </c>
      <c r="H490" s="89">
        <v>116.42</v>
      </c>
      <c r="I490" s="89">
        <v>12.23</v>
      </c>
    </row>
    <row r="491" ht="38.25" spans="1:9">
      <c r="A491" s="90"/>
      <c r="B491" s="91" t="s">
        <v>1002</v>
      </c>
      <c r="C491" s="91" t="s">
        <v>1068</v>
      </c>
      <c r="D491" s="92" t="s">
        <v>1069</v>
      </c>
      <c r="E491" s="93" t="s">
        <v>494</v>
      </c>
      <c r="F491" s="93">
        <v>1</v>
      </c>
      <c r="G491" s="93">
        <v>569580.71</v>
      </c>
      <c r="H491" s="93">
        <v>2.4219369202194</v>
      </c>
      <c r="I491" s="93">
        <v>12.23</v>
      </c>
    </row>
    <row r="492" ht="25.5" spans="1:9">
      <c r="A492" s="90"/>
      <c r="B492" s="91" t="s">
        <v>1103</v>
      </c>
      <c r="C492" s="91" t="s">
        <v>1102</v>
      </c>
      <c r="D492" s="92" t="s">
        <v>1104</v>
      </c>
      <c r="E492" s="93" t="s">
        <v>494</v>
      </c>
      <c r="F492" s="93">
        <v>1</v>
      </c>
      <c r="G492" s="93">
        <v>850000</v>
      </c>
      <c r="H492" s="93">
        <v>1.902062</v>
      </c>
      <c r="I492" s="93">
        <v>12.23</v>
      </c>
    </row>
    <row r="493" spans="1:9">
      <c r="A493" s="90"/>
      <c r="B493" s="91" t="s">
        <v>1007</v>
      </c>
      <c r="C493" s="91" t="s">
        <v>1048</v>
      </c>
      <c r="D493" s="92" t="s">
        <v>1049</v>
      </c>
      <c r="E493" s="93" t="s">
        <v>839</v>
      </c>
      <c r="F493" s="93">
        <v>1</v>
      </c>
      <c r="G493" s="93">
        <v>1.5</v>
      </c>
      <c r="H493" s="93">
        <v>0.1056</v>
      </c>
      <c r="I493" s="93">
        <v>12.23</v>
      </c>
    </row>
    <row r="494" spans="1:9">
      <c r="A494" s="90"/>
      <c r="B494" s="91" t="s">
        <v>1007</v>
      </c>
      <c r="C494" s="91" t="s">
        <v>1006</v>
      </c>
      <c r="D494" s="92" t="s">
        <v>1008</v>
      </c>
      <c r="E494" s="93" t="s">
        <v>839</v>
      </c>
      <c r="F494" s="93">
        <v>0.0704</v>
      </c>
      <c r="G494" s="93">
        <v>3.95</v>
      </c>
      <c r="H494" s="93">
        <v>0.27808</v>
      </c>
      <c r="I494" s="93">
        <v>0.860992</v>
      </c>
    </row>
    <row r="495" spans="1:9">
      <c r="A495" s="90"/>
      <c r="B495" s="91" t="s">
        <v>1053</v>
      </c>
      <c r="C495" s="91" t="s">
        <v>1052</v>
      </c>
      <c r="D495" s="92" t="s">
        <v>1054</v>
      </c>
      <c r="E495" s="93" t="s">
        <v>839</v>
      </c>
      <c r="F495" s="93">
        <v>0.04723923</v>
      </c>
      <c r="G495" s="93">
        <v>22.67</v>
      </c>
      <c r="H495" s="93">
        <v>1.0709133441</v>
      </c>
      <c r="I495" s="93">
        <v>0.5777357829</v>
      </c>
    </row>
    <row r="496" spans="1:9">
      <c r="A496" s="90"/>
      <c r="B496" s="91" t="s">
        <v>1108</v>
      </c>
      <c r="C496" s="91" t="s">
        <v>1107</v>
      </c>
      <c r="D496" s="92" t="s">
        <v>1109</v>
      </c>
      <c r="E496" s="93" t="s">
        <v>839</v>
      </c>
      <c r="F496" s="93">
        <v>0.023670036</v>
      </c>
      <c r="G496" s="93">
        <v>21.83</v>
      </c>
      <c r="H496" s="93">
        <v>0.51671688588</v>
      </c>
      <c r="I496" s="93">
        <v>0.28948454028</v>
      </c>
    </row>
    <row r="497" spans="1:9">
      <c r="A497" s="90"/>
      <c r="B497" s="91" t="s">
        <v>1007</v>
      </c>
      <c r="C497" s="91" t="s">
        <v>1378</v>
      </c>
      <c r="D497" s="92" t="s">
        <v>1379</v>
      </c>
      <c r="E497" s="93" t="s">
        <v>839</v>
      </c>
      <c r="F497" s="93">
        <v>0.0704</v>
      </c>
      <c r="G497" s="93">
        <v>0.08</v>
      </c>
      <c r="H497" s="93">
        <v>0.005632</v>
      </c>
      <c r="I497" s="93">
        <v>0.860992</v>
      </c>
    </row>
    <row r="498" ht="25.5" spans="1:9">
      <c r="A498" s="90"/>
      <c r="B498" s="91" t="s">
        <v>1002</v>
      </c>
      <c r="C498" s="91" t="s">
        <v>1434</v>
      </c>
      <c r="D498" s="92" t="s">
        <v>1435</v>
      </c>
      <c r="E498" s="93" t="s">
        <v>494</v>
      </c>
      <c r="F498" s="93">
        <v>6.06443e-6</v>
      </c>
      <c r="G498" s="93">
        <v>61258.13</v>
      </c>
      <c r="H498" s="93">
        <v>0.3714956413159</v>
      </c>
      <c r="I498" s="93">
        <v>7.41679789e-5</v>
      </c>
    </row>
    <row r="499" ht="25.5" spans="1:9">
      <c r="A499" s="90"/>
      <c r="B499" s="91" t="s">
        <v>1111</v>
      </c>
      <c r="C499" s="91" t="s">
        <v>1287</v>
      </c>
      <c r="D499" s="92" t="s">
        <v>1288</v>
      </c>
      <c r="E499" s="93" t="s">
        <v>839</v>
      </c>
      <c r="F499" s="93">
        <v>0.0704</v>
      </c>
      <c r="G499" s="93">
        <v>0.89</v>
      </c>
      <c r="H499" s="93">
        <v>0.062656</v>
      </c>
      <c r="I499" s="93">
        <v>0.860992</v>
      </c>
    </row>
    <row r="500" spans="1:9">
      <c r="A500" s="90"/>
      <c r="B500" s="91" t="s">
        <v>1007</v>
      </c>
      <c r="C500" s="91" t="s">
        <v>1050</v>
      </c>
      <c r="D500" s="92" t="s">
        <v>1051</v>
      </c>
      <c r="E500" s="93" t="s">
        <v>839</v>
      </c>
      <c r="F500" s="93">
        <v>0.0704</v>
      </c>
      <c r="G500" s="93">
        <v>1.43</v>
      </c>
      <c r="H500" s="93">
        <v>0.100672</v>
      </c>
      <c r="I500" s="93">
        <v>0.860992</v>
      </c>
    </row>
    <row r="501" ht="25.5" spans="1:9">
      <c r="A501" s="90"/>
      <c r="B501" s="91" t="s">
        <v>1111</v>
      </c>
      <c r="C501" s="91" t="s">
        <v>1707</v>
      </c>
      <c r="D501" s="92" t="s">
        <v>1708</v>
      </c>
      <c r="E501" s="93" t="s">
        <v>839</v>
      </c>
      <c r="F501" s="93">
        <v>0.0704</v>
      </c>
      <c r="G501" s="93">
        <v>0.01</v>
      </c>
      <c r="H501" s="93">
        <v>0.000704</v>
      </c>
      <c r="I501" s="93">
        <v>0.860992</v>
      </c>
    </row>
    <row r="502" spans="1:9">
      <c r="A502" s="90"/>
      <c r="B502" s="91" t="s">
        <v>985</v>
      </c>
      <c r="C502" s="91" t="s">
        <v>984</v>
      </c>
      <c r="D502" s="92" t="s">
        <v>986</v>
      </c>
      <c r="E502" s="93" t="s">
        <v>215</v>
      </c>
      <c r="F502" s="93">
        <v>0.453045</v>
      </c>
      <c r="G502" s="93">
        <v>5.93</v>
      </c>
      <c r="H502" s="93">
        <v>2.68655685</v>
      </c>
      <c r="I502" s="93">
        <v>5.54074035</v>
      </c>
    </row>
    <row r="503" ht="51" spans="1:9">
      <c r="A503" s="85" t="s">
        <v>2245</v>
      </c>
      <c r="B503" s="85" t="s">
        <v>761</v>
      </c>
      <c r="C503" s="85" t="s">
        <v>2246</v>
      </c>
      <c r="D503" s="87" t="s">
        <v>762</v>
      </c>
      <c r="E503" s="89" t="s">
        <v>601</v>
      </c>
      <c r="F503" s="89">
        <v>3136.09</v>
      </c>
      <c r="G503" s="89">
        <v>6.36</v>
      </c>
      <c r="H503" s="89">
        <v>19945.53</v>
      </c>
      <c r="I503" s="89">
        <v>3136.09</v>
      </c>
    </row>
    <row r="504" ht="38.25" spans="1:9">
      <c r="A504" s="90"/>
      <c r="B504" s="91" t="s">
        <v>1002</v>
      </c>
      <c r="C504" s="91" t="s">
        <v>1068</v>
      </c>
      <c r="D504" s="92" t="s">
        <v>1069</v>
      </c>
      <c r="E504" s="93" t="s">
        <v>494</v>
      </c>
      <c r="F504" s="93">
        <v>1</v>
      </c>
      <c r="G504" s="93">
        <v>569580.71</v>
      </c>
      <c r="H504" s="93">
        <v>1.6135993682016</v>
      </c>
      <c r="I504" s="93">
        <v>3136.09</v>
      </c>
    </row>
    <row r="505" ht="25.5" spans="1:9">
      <c r="A505" s="90"/>
      <c r="B505" s="91" t="s">
        <v>1103</v>
      </c>
      <c r="C505" s="91" t="s">
        <v>1102</v>
      </c>
      <c r="D505" s="92" t="s">
        <v>1104</v>
      </c>
      <c r="E505" s="93" t="s">
        <v>494</v>
      </c>
      <c r="F505" s="93">
        <v>1</v>
      </c>
      <c r="G505" s="93">
        <v>850000</v>
      </c>
      <c r="H505" s="93">
        <v>1.278026</v>
      </c>
      <c r="I505" s="93">
        <v>3136.09</v>
      </c>
    </row>
    <row r="506" spans="1:9">
      <c r="A506" s="90"/>
      <c r="B506" s="91" t="s">
        <v>1007</v>
      </c>
      <c r="C506" s="91" t="s">
        <v>1048</v>
      </c>
      <c r="D506" s="92" t="s">
        <v>1049</v>
      </c>
      <c r="E506" s="93" t="s">
        <v>839</v>
      </c>
      <c r="F506" s="93">
        <v>1</v>
      </c>
      <c r="G506" s="93">
        <v>1.5</v>
      </c>
      <c r="H506" s="93">
        <v>0.0705</v>
      </c>
      <c r="I506" s="93">
        <v>3136.09</v>
      </c>
    </row>
    <row r="507" spans="1:9">
      <c r="A507" s="90"/>
      <c r="B507" s="91" t="s">
        <v>1007</v>
      </c>
      <c r="C507" s="91" t="s">
        <v>1006</v>
      </c>
      <c r="D507" s="92" t="s">
        <v>1008</v>
      </c>
      <c r="E507" s="93" t="s">
        <v>839</v>
      </c>
      <c r="F507" s="93">
        <v>0.047</v>
      </c>
      <c r="G507" s="93">
        <v>3.95</v>
      </c>
      <c r="H507" s="93">
        <v>0.18565</v>
      </c>
      <c r="I507" s="93">
        <v>147.39623</v>
      </c>
    </row>
    <row r="508" spans="1:9">
      <c r="A508" s="90"/>
      <c r="B508" s="91" t="s">
        <v>1053</v>
      </c>
      <c r="C508" s="91" t="s">
        <v>1052</v>
      </c>
      <c r="D508" s="92" t="s">
        <v>1054</v>
      </c>
      <c r="E508" s="93" t="s">
        <v>839</v>
      </c>
      <c r="F508" s="93">
        <v>0.031459317</v>
      </c>
      <c r="G508" s="93">
        <v>22.67</v>
      </c>
      <c r="H508" s="93">
        <v>0.71318271639</v>
      </c>
      <c r="I508" s="93">
        <v>98.65924945053</v>
      </c>
    </row>
    <row r="509" spans="1:9">
      <c r="A509" s="90"/>
      <c r="B509" s="91" t="s">
        <v>1108</v>
      </c>
      <c r="C509" s="91" t="s">
        <v>1107</v>
      </c>
      <c r="D509" s="92" t="s">
        <v>1109</v>
      </c>
      <c r="E509" s="93" t="s">
        <v>839</v>
      </c>
      <c r="F509" s="93">
        <v>0.015881178</v>
      </c>
      <c r="G509" s="93">
        <v>21.83</v>
      </c>
      <c r="H509" s="93">
        <v>0.34668611574</v>
      </c>
      <c r="I509" s="93">
        <v>49.80480351402</v>
      </c>
    </row>
    <row r="510" spans="1:9">
      <c r="A510" s="90"/>
      <c r="B510" s="91" t="s">
        <v>1007</v>
      </c>
      <c r="C510" s="91" t="s">
        <v>1378</v>
      </c>
      <c r="D510" s="92" t="s">
        <v>1379</v>
      </c>
      <c r="E510" s="93" t="s">
        <v>839</v>
      </c>
      <c r="F510" s="93">
        <v>0.047</v>
      </c>
      <c r="G510" s="93">
        <v>0.08</v>
      </c>
      <c r="H510" s="93">
        <v>0.00376</v>
      </c>
      <c r="I510" s="93">
        <v>147.39623</v>
      </c>
    </row>
    <row r="511" ht="25.5" spans="1:9">
      <c r="A511" s="90"/>
      <c r="B511" s="91" t="s">
        <v>1002</v>
      </c>
      <c r="C511" s="91" t="s">
        <v>1434</v>
      </c>
      <c r="D511" s="92" t="s">
        <v>1435</v>
      </c>
      <c r="E511" s="93" t="s">
        <v>494</v>
      </c>
      <c r="F511" s="93">
        <v>4.04026e-6</v>
      </c>
      <c r="G511" s="93">
        <v>61258.13</v>
      </c>
      <c r="H511" s="93">
        <v>0.2474987723138</v>
      </c>
      <c r="I511" s="93">
        <v>0.0126706189834</v>
      </c>
    </row>
    <row r="512" ht="25.5" spans="1:9">
      <c r="A512" s="90"/>
      <c r="B512" s="91" t="s">
        <v>1111</v>
      </c>
      <c r="C512" s="91" t="s">
        <v>1287</v>
      </c>
      <c r="D512" s="92" t="s">
        <v>1288</v>
      </c>
      <c r="E512" s="93" t="s">
        <v>839</v>
      </c>
      <c r="F512" s="93">
        <v>0.047</v>
      </c>
      <c r="G512" s="93">
        <v>0.89</v>
      </c>
      <c r="H512" s="93">
        <v>0.04183</v>
      </c>
      <c r="I512" s="93">
        <v>147.39623</v>
      </c>
    </row>
    <row r="513" spans="1:9">
      <c r="A513" s="90"/>
      <c r="B513" s="91" t="s">
        <v>1007</v>
      </c>
      <c r="C513" s="91" t="s">
        <v>1050</v>
      </c>
      <c r="D513" s="92" t="s">
        <v>1051</v>
      </c>
      <c r="E513" s="93" t="s">
        <v>839</v>
      </c>
      <c r="F513" s="93">
        <v>0.047</v>
      </c>
      <c r="G513" s="93">
        <v>1.43</v>
      </c>
      <c r="H513" s="93">
        <v>0.06721</v>
      </c>
      <c r="I513" s="93">
        <v>147.39623</v>
      </c>
    </row>
    <row r="514" ht="25.5" spans="1:9">
      <c r="A514" s="90"/>
      <c r="B514" s="91" t="s">
        <v>1111</v>
      </c>
      <c r="C514" s="91" t="s">
        <v>1707</v>
      </c>
      <c r="D514" s="92" t="s">
        <v>1708</v>
      </c>
      <c r="E514" s="93" t="s">
        <v>839</v>
      </c>
      <c r="F514" s="93">
        <v>0.047</v>
      </c>
      <c r="G514" s="93">
        <v>0.01</v>
      </c>
      <c r="H514" s="93">
        <v>0.00047</v>
      </c>
      <c r="I514" s="93">
        <v>147.39623</v>
      </c>
    </row>
    <row r="515" spans="1:9">
      <c r="A515" s="90"/>
      <c r="B515" s="91" t="s">
        <v>985</v>
      </c>
      <c r="C515" s="91" t="s">
        <v>984</v>
      </c>
      <c r="D515" s="92" t="s">
        <v>986</v>
      </c>
      <c r="E515" s="93" t="s">
        <v>215</v>
      </c>
      <c r="F515" s="93">
        <v>0.302748</v>
      </c>
      <c r="G515" s="93">
        <v>5.93</v>
      </c>
      <c r="H515" s="93">
        <v>1.79529564</v>
      </c>
      <c r="I515" s="93">
        <v>949.44497532</v>
      </c>
    </row>
    <row r="516" ht="38.25" spans="1:9">
      <c r="A516" s="85" t="s">
        <v>2247</v>
      </c>
      <c r="B516" s="85" t="s">
        <v>763</v>
      </c>
      <c r="C516" s="85" t="s">
        <v>2248</v>
      </c>
      <c r="D516" s="87" t="s">
        <v>764</v>
      </c>
      <c r="E516" s="89" t="s">
        <v>476</v>
      </c>
      <c r="F516" s="89">
        <v>5869.74</v>
      </c>
      <c r="G516" s="89">
        <v>6.81</v>
      </c>
      <c r="H516" s="89">
        <v>39972.92</v>
      </c>
      <c r="I516" s="89">
        <v>5869.74</v>
      </c>
    </row>
    <row r="517" ht="25.5" spans="1:9">
      <c r="A517" s="90"/>
      <c r="B517" s="91" t="s">
        <v>1080</v>
      </c>
      <c r="C517" s="91" t="s">
        <v>1079</v>
      </c>
      <c r="D517" s="92" t="s">
        <v>1081</v>
      </c>
      <c r="E517" s="93" t="s">
        <v>494</v>
      </c>
      <c r="F517" s="93">
        <v>1</v>
      </c>
      <c r="G517" s="93">
        <v>961801.77</v>
      </c>
      <c r="H517" s="93">
        <v>1.0250113823244</v>
      </c>
      <c r="I517" s="93">
        <v>5869.74</v>
      </c>
    </row>
    <row r="518" spans="1:9">
      <c r="A518" s="90"/>
      <c r="B518" s="91" t="s">
        <v>1007</v>
      </c>
      <c r="C518" s="91" t="s">
        <v>1048</v>
      </c>
      <c r="D518" s="92" t="s">
        <v>1049</v>
      </c>
      <c r="E518" s="93" t="s">
        <v>839</v>
      </c>
      <c r="F518" s="93">
        <v>1</v>
      </c>
      <c r="G518" s="93">
        <v>1.5</v>
      </c>
      <c r="H518" s="93">
        <v>0.04935</v>
      </c>
      <c r="I518" s="93">
        <v>5869.74</v>
      </c>
    </row>
    <row r="519" spans="1:9">
      <c r="A519" s="90"/>
      <c r="B519" s="91" t="s">
        <v>1007</v>
      </c>
      <c r="C519" s="91" t="s">
        <v>1006</v>
      </c>
      <c r="D519" s="92" t="s">
        <v>1008</v>
      </c>
      <c r="E519" s="93" t="s">
        <v>839</v>
      </c>
      <c r="F519" s="93">
        <v>0.0329</v>
      </c>
      <c r="G519" s="93">
        <v>3.95</v>
      </c>
      <c r="H519" s="93">
        <v>0.129955</v>
      </c>
      <c r="I519" s="93">
        <v>193.114446</v>
      </c>
    </row>
    <row r="520" spans="1:9">
      <c r="A520" s="90"/>
      <c r="B520" s="91" t="s">
        <v>1053</v>
      </c>
      <c r="C520" s="91" t="s">
        <v>1052</v>
      </c>
      <c r="D520" s="92" t="s">
        <v>1054</v>
      </c>
      <c r="E520" s="93" t="s">
        <v>839</v>
      </c>
      <c r="F520" s="93">
        <v>0.02211198</v>
      </c>
      <c r="G520" s="93">
        <v>22.67</v>
      </c>
      <c r="H520" s="93">
        <v>0.5012785866</v>
      </c>
      <c r="I520" s="93">
        <v>129.7915734852</v>
      </c>
    </row>
    <row r="521" spans="1:9">
      <c r="A521" s="90"/>
      <c r="B521" s="91" t="s">
        <v>1108</v>
      </c>
      <c r="C521" s="91" t="s">
        <v>1107</v>
      </c>
      <c r="D521" s="92" t="s">
        <v>1109</v>
      </c>
      <c r="E521" s="93" t="s">
        <v>839</v>
      </c>
      <c r="F521" s="93">
        <v>0.011025786</v>
      </c>
      <c r="G521" s="93">
        <v>21.83</v>
      </c>
      <c r="H521" s="93">
        <v>0.24069290838</v>
      </c>
      <c r="I521" s="93">
        <v>64.71849711564</v>
      </c>
    </row>
    <row r="522" spans="1:9">
      <c r="A522" s="90"/>
      <c r="B522" s="91" t="s">
        <v>1007</v>
      </c>
      <c r="C522" s="91" t="s">
        <v>1378</v>
      </c>
      <c r="D522" s="92" t="s">
        <v>1379</v>
      </c>
      <c r="E522" s="93" t="s">
        <v>839</v>
      </c>
      <c r="F522" s="93">
        <v>0.0329</v>
      </c>
      <c r="G522" s="93">
        <v>0.08</v>
      </c>
      <c r="H522" s="93">
        <v>0.002632</v>
      </c>
      <c r="I522" s="93">
        <v>193.114446</v>
      </c>
    </row>
    <row r="523" ht="38.25" spans="1:9">
      <c r="A523" s="90"/>
      <c r="B523" s="91" t="s">
        <v>1002</v>
      </c>
      <c r="C523" s="91" t="s">
        <v>1001</v>
      </c>
      <c r="D523" s="92" t="s">
        <v>1003</v>
      </c>
      <c r="E523" s="93" t="s">
        <v>494</v>
      </c>
      <c r="F523" s="93">
        <v>2.00334e-6</v>
      </c>
      <c r="G523" s="93">
        <v>755977.34</v>
      </c>
      <c r="H523" s="93">
        <v>1.5144796443156</v>
      </c>
      <c r="I523" s="93">
        <v>0.0117590849316</v>
      </c>
    </row>
    <row r="524" ht="25.5" spans="1:9">
      <c r="A524" s="90"/>
      <c r="B524" s="91" t="s">
        <v>1111</v>
      </c>
      <c r="C524" s="91" t="s">
        <v>1287</v>
      </c>
      <c r="D524" s="92" t="s">
        <v>1288</v>
      </c>
      <c r="E524" s="93" t="s">
        <v>839</v>
      </c>
      <c r="F524" s="93">
        <v>0.0329</v>
      </c>
      <c r="G524" s="93">
        <v>0.89</v>
      </c>
      <c r="H524" s="93">
        <v>0.029281</v>
      </c>
      <c r="I524" s="93">
        <v>193.114446</v>
      </c>
    </row>
    <row r="525" spans="1:9">
      <c r="A525" s="90"/>
      <c r="B525" s="91" t="s">
        <v>1007</v>
      </c>
      <c r="C525" s="91" t="s">
        <v>1050</v>
      </c>
      <c r="D525" s="92" t="s">
        <v>1051</v>
      </c>
      <c r="E525" s="93" t="s">
        <v>839</v>
      </c>
      <c r="F525" s="93">
        <v>0.0329</v>
      </c>
      <c r="G525" s="93">
        <v>1.43</v>
      </c>
      <c r="H525" s="93">
        <v>0.047047</v>
      </c>
      <c r="I525" s="93">
        <v>193.114446</v>
      </c>
    </row>
    <row r="526" ht="25.5" spans="1:9">
      <c r="A526" s="90"/>
      <c r="B526" s="91" t="s">
        <v>1111</v>
      </c>
      <c r="C526" s="91" t="s">
        <v>1707</v>
      </c>
      <c r="D526" s="92" t="s">
        <v>1708</v>
      </c>
      <c r="E526" s="93" t="s">
        <v>839</v>
      </c>
      <c r="F526" s="93">
        <v>0.0329</v>
      </c>
      <c r="G526" s="93">
        <v>0.01</v>
      </c>
      <c r="H526" s="93">
        <v>0.000329</v>
      </c>
      <c r="I526" s="93">
        <v>193.114446</v>
      </c>
    </row>
    <row r="527" spans="1:9">
      <c r="A527" s="90"/>
      <c r="B527" s="91" t="s">
        <v>985</v>
      </c>
      <c r="C527" s="91" t="s">
        <v>984</v>
      </c>
      <c r="D527" s="92" t="s">
        <v>986</v>
      </c>
      <c r="E527" s="93" t="s">
        <v>215</v>
      </c>
      <c r="F527" s="93">
        <v>0.437395</v>
      </c>
      <c r="G527" s="93">
        <v>5.93</v>
      </c>
      <c r="H527" s="93">
        <v>2.59375235</v>
      </c>
      <c r="I527" s="93">
        <v>2567.3949273</v>
      </c>
    </row>
    <row r="528" ht="25.5" spans="1:9">
      <c r="A528" s="90"/>
      <c r="B528" s="91" t="s">
        <v>1002</v>
      </c>
      <c r="C528" s="91" t="s">
        <v>1044</v>
      </c>
      <c r="D528" s="92" t="s">
        <v>1045</v>
      </c>
      <c r="E528" s="93" t="s">
        <v>494</v>
      </c>
      <c r="F528" s="93">
        <v>2.85583e-6</v>
      </c>
      <c r="G528" s="93">
        <v>237841.37</v>
      </c>
      <c r="H528" s="93">
        <v>0.6792345196871</v>
      </c>
      <c r="I528" s="93">
        <v>0.0167629795842</v>
      </c>
    </row>
    <row r="529" ht="25.5" spans="1:9">
      <c r="A529" s="85" t="s">
        <v>2249</v>
      </c>
      <c r="B529" s="85" t="s">
        <v>765</v>
      </c>
      <c r="C529" s="85" t="s">
        <v>2250</v>
      </c>
      <c r="D529" s="87" t="s">
        <v>766</v>
      </c>
      <c r="E529" s="89" t="s">
        <v>601</v>
      </c>
      <c r="F529" s="89">
        <v>71.07</v>
      </c>
      <c r="G529" s="89">
        <v>20.07</v>
      </c>
      <c r="H529" s="89">
        <v>1426.37</v>
      </c>
      <c r="I529" s="89">
        <v>71.07</v>
      </c>
    </row>
    <row r="530" ht="38.25" spans="1:9">
      <c r="A530" s="90"/>
      <c r="B530" s="91" t="s">
        <v>1002</v>
      </c>
      <c r="C530" s="91" t="s">
        <v>1068</v>
      </c>
      <c r="D530" s="92" t="s">
        <v>1069</v>
      </c>
      <c r="E530" s="93" t="s">
        <v>494</v>
      </c>
      <c r="F530" s="93">
        <v>1</v>
      </c>
      <c r="G530" s="93">
        <v>569580.71</v>
      </c>
      <c r="H530" s="93">
        <v>4.3135998952359</v>
      </c>
      <c r="I530" s="93">
        <v>71.07</v>
      </c>
    </row>
    <row r="531" ht="51" spans="1:9">
      <c r="A531" s="90"/>
      <c r="B531" s="91" t="s">
        <v>1210</v>
      </c>
      <c r="C531" s="91" t="s">
        <v>1209</v>
      </c>
      <c r="D531" s="92" t="s">
        <v>1211</v>
      </c>
      <c r="E531" s="93" t="s">
        <v>494</v>
      </c>
      <c r="F531" s="93">
        <v>1</v>
      </c>
      <c r="G531" s="93">
        <v>143450</v>
      </c>
      <c r="H531" s="93">
        <v>1.3540345915</v>
      </c>
      <c r="I531" s="93">
        <v>71.07</v>
      </c>
    </row>
    <row r="532" spans="1:9">
      <c r="A532" s="90"/>
      <c r="B532" s="91" t="s">
        <v>1007</v>
      </c>
      <c r="C532" s="91" t="s">
        <v>1048</v>
      </c>
      <c r="D532" s="92" t="s">
        <v>1049</v>
      </c>
      <c r="E532" s="93" t="s">
        <v>839</v>
      </c>
      <c r="F532" s="93">
        <v>1</v>
      </c>
      <c r="G532" s="93">
        <v>1.5</v>
      </c>
      <c r="H532" s="93">
        <v>0.34395</v>
      </c>
      <c r="I532" s="93">
        <v>71.07</v>
      </c>
    </row>
    <row r="533" spans="1:9">
      <c r="A533" s="90"/>
      <c r="B533" s="91" t="s">
        <v>1007</v>
      </c>
      <c r="C533" s="91" t="s">
        <v>1006</v>
      </c>
      <c r="D533" s="92" t="s">
        <v>1008</v>
      </c>
      <c r="E533" s="93" t="s">
        <v>839</v>
      </c>
      <c r="F533" s="93">
        <v>0.2293</v>
      </c>
      <c r="G533" s="93">
        <v>3.95</v>
      </c>
      <c r="H533" s="93">
        <v>0.905735</v>
      </c>
      <c r="I533" s="93">
        <v>16.296351</v>
      </c>
    </row>
    <row r="534" spans="1:9">
      <c r="A534" s="90"/>
      <c r="B534" s="91" t="s">
        <v>1023</v>
      </c>
      <c r="C534" s="91" t="s">
        <v>1147</v>
      </c>
      <c r="D534" s="92" t="s">
        <v>1148</v>
      </c>
      <c r="E534" s="93" t="s">
        <v>839</v>
      </c>
      <c r="F534" s="93">
        <v>0.077650668</v>
      </c>
      <c r="G534" s="93">
        <v>23.07</v>
      </c>
      <c r="H534" s="93">
        <v>1.79140091076</v>
      </c>
      <c r="I534" s="93">
        <v>5.51863297476</v>
      </c>
    </row>
    <row r="535" spans="1:9">
      <c r="A535" s="90"/>
      <c r="B535" s="91" t="s">
        <v>1007</v>
      </c>
      <c r="C535" s="91" t="s">
        <v>1378</v>
      </c>
      <c r="D535" s="92" t="s">
        <v>1379</v>
      </c>
      <c r="E535" s="93" t="s">
        <v>839</v>
      </c>
      <c r="F535" s="93">
        <v>0.2293</v>
      </c>
      <c r="G535" s="93">
        <v>0.08</v>
      </c>
      <c r="H535" s="93">
        <v>0.018344</v>
      </c>
      <c r="I535" s="93">
        <v>16.296351</v>
      </c>
    </row>
    <row r="536" spans="1:9">
      <c r="A536" s="90"/>
      <c r="B536" s="91" t="s">
        <v>1020</v>
      </c>
      <c r="C536" s="91" t="s">
        <v>1019</v>
      </c>
      <c r="D536" s="92" t="s">
        <v>1021</v>
      </c>
      <c r="E536" s="93" t="s">
        <v>839</v>
      </c>
      <c r="F536" s="93">
        <v>0.15614148</v>
      </c>
      <c r="G536" s="93">
        <v>14.49</v>
      </c>
      <c r="H536" s="93">
        <v>2.2624900452</v>
      </c>
      <c r="I536" s="93">
        <v>11.0969749836</v>
      </c>
    </row>
    <row r="537" ht="25.5" spans="1:9">
      <c r="A537" s="90"/>
      <c r="B537" s="91" t="s">
        <v>1111</v>
      </c>
      <c r="C537" s="91" t="s">
        <v>1287</v>
      </c>
      <c r="D537" s="92" t="s">
        <v>1288</v>
      </c>
      <c r="E537" s="93" t="s">
        <v>839</v>
      </c>
      <c r="F537" s="93">
        <v>0.0764</v>
      </c>
      <c r="G537" s="93">
        <v>0.89</v>
      </c>
      <c r="H537" s="93">
        <v>0.067996</v>
      </c>
      <c r="I537" s="93">
        <v>5.429748</v>
      </c>
    </row>
    <row r="538" ht="25.5" spans="1:9">
      <c r="A538" s="90"/>
      <c r="B538" s="91" t="s">
        <v>1111</v>
      </c>
      <c r="C538" s="91" t="s">
        <v>1110</v>
      </c>
      <c r="D538" s="92" t="s">
        <v>1112</v>
      </c>
      <c r="E538" s="93" t="s">
        <v>839</v>
      </c>
      <c r="F538" s="93">
        <v>0.1529</v>
      </c>
      <c r="G538" s="93">
        <v>1.39</v>
      </c>
      <c r="H538" s="93">
        <v>0.212531</v>
      </c>
      <c r="I538" s="93">
        <v>10.866603</v>
      </c>
    </row>
    <row r="539" spans="1:9">
      <c r="A539" s="90"/>
      <c r="B539" s="91" t="s">
        <v>1007</v>
      </c>
      <c r="C539" s="91" t="s">
        <v>1050</v>
      </c>
      <c r="D539" s="92" t="s">
        <v>1051</v>
      </c>
      <c r="E539" s="93" t="s">
        <v>839</v>
      </c>
      <c r="F539" s="93">
        <v>0.2293</v>
      </c>
      <c r="G539" s="93">
        <v>1.43</v>
      </c>
      <c r="H539" s="93">
        <v>0.327899</v>
      </c>
      <c r="I539" s="93">
        <v>16.296351</v>
      </c>
    </row>
    <row r="540" ht="25.5" spans="1:9">
      <c r="A540" s="90"/>
      <c r="B540" s="91" t="s">
        <v>1111</v>
      </c>
      <c r="C540" s="91" t="s">
        <v>1707</v>
      </c>
      <c r="D540" s="92" t="s">
        <v>1708</v>
      </c>
      <c r="E540" s="93" t="s">
        <v>839</v>
      </c>
      <c r="F540" s="93">
        <v>0.0764</v>
      </c>
      <c r="G540" s="93">
        <v>0.01</v>
      </c>
      <c r="H540" s="93">
        <v>0.000764</v>
      </c>
      <c r="I540" s="93">
        <v>5.429748</v>
      </c>
    </row>
    <row r="541" ht="25.5" spans="1:9">
      <c r="A541" s="90"/>
      <c r="B541" s="91" t="s">
        <v>1111</v>
      </c>
      <c r="C541" s="91" t="s">
        <v>1195</v>
      </c>
      <c r="D541" s="92" t="s">
        <v>1196</v>
      </c>
      <c r="E541" s="93" t="s">
        <v>839</v>
      </c>
      <c r="F541" s="93">
        <v>0.1529</v>
      </c>
      <c r="G541" s="93">
        <v>0.61</v>
      </c>
      <c r="H541" s="93">
        <v>0.093269</v>
      </c>
      <c r="I541" s="93">
        <v>10.866603</v>
      </c>
    </row>
    <row r="542" spans="1:9">
      <c r="A542" s="90"/>
      <c r="B542" s="91" t="s">
        <v>985</v>
      </c>
      <c r="C542" s="91" t="s">
        <v>984</v>
      </c>
      <c r="D542" s="92" t="s">
        <v>986</v>
      </c>
      <c r="E542" s="93" t="s">
        <v>215</v>
      </c>
      <c r="F542" s="93">
        <v>1.414005</v>
      </c>
      <c r="G542" s="93">
        <v>5.93</v>
      </c>
      <c r="H542" s="93">
        <v>8.38504965</v>
      </c>
      <c r="I542" s="93">
        <v>100.49333535</v>
      </c>
    </row>
    <row r="543" spans="1:9">
      <c r="A543" s="85" t="s">
        <v>2251</v>
      </c>
      <c r="B543" s="85" t="s">
        <v>767</v>
      </c>
      <c r="C543" s="85" t="s">
        <v>2252</v>
      </c>
      <c r="D543" s="87" t="s">
        <v>768</v>
      </c>
      <c r="E543" s="89" t="s">
        <v>466</v>
      </c>
      <c r="F543" s="89">
        <v>2862.37</v>
      </c>
      <c r="G543" s="89">
        <v>8.58</v>
      </c>
      <c r="H543" s="89">
        <v>24559.13</v>
      </c>
      <c r="I543" s="89">
        <v>2862.37</v>
      </c>
    </row>
    <row r="544" spans="1:9">
      <c r="A544" s="90"/>
      <c r="B544" s="91" t="s">
        <v>1007</v>
      </c>
      <c r="C544" s="91" t="s">
        <v>1048</v>
      </c>
      <c r="D544" s="92" t="s">
        <v>1049</v>
      </c>
      <c r="E544" s="93" t="s">
        <v>839</v>
      </c>
      <c r="F544" s="93">
        <v>1</v>
      </c>
      <c r="G544" s="93">
        <v>1.5</v>
      </c>
      <c r="H544" s="93">
        <v>0.09405</v>
      </c>
      <c r="I544" s="93">
        <v>2862.37</v>
      </c>
    </row>
    <row r="545" spans="1:9">
      <c r="A545" s="90"/>
      <c r="B545" s="91" t="s">
        <v>1007</v>
      </c>
      <c r="C545" s="91" t="s">
        <v>1006</v>
      </c>
      <c r="D545" s="92" t="s">
        <v>1008</v>
      </c>
      <c r="E545" s="93" t="s">
        <v>839</v>
      </c>
      <c r="F545" s="93">
        <v>0.0627</v>
      </c>
      <c r="G545" s="93">
        <v>3.95</v>
      </c>
      <c r="H545" s="93">
        <v>0.247665</v>
      </c>
      <c r="I545" s="93">
        <v>179.470599</v>
      </c>
    </row>
    <row r="546" spans="1:9">
      <c r="A546" s="90"/>
      <c r="B546" s="91" t="s">
        <v>1108</v>
      </c>
      <c r="C546" s="91" t="s">
        <v>1295</v>
      </c>
      <c r="D546" s="92" t="s">
        <v>1296</v>
      </c>
      <c r="E546" s="93" t="s">
        <v>839</v>
      </c>
      <c r="F546" s="93">
        <v>0.063221037</v>
      </c>
      <c r="G546" s="93">
        <v>18</v>
      </c>
      <c r="H546" s="93">
        <v>1.137978666</v>
      </c>
      <c r="I546" s="93">
        <v>180.96199967769</v>
      </c>
    </row>
    <row r="547" spans="1:9">
      <c r="A547" s="90"/>
      <c r="B547" s="91" t="s">
        <v>1007</v>
      </c>
      <c r="C547" s="91" t="s">
        <v>1378</v>
      </c>
      <c r="D547" s="92" t="s">
        <v>1379</v>
      </c>
      <c r="E547" s="93" t="s">
        <v>839</v>
      </c>
      <c r="F547" s="93">
        <v>0.0627</v>
      </c>
      <c r="G547" s="93">
        <v>0.08</v>
      </c>
      <c r="H547" s="93">
        <v>0.005016</v>
      </c>
      <c r="I547" s="93">
        <v>179.470599</v>
      </c>
    </row>
    <row r="548" ht="25.5" spans="1:9">
      <c r="A548" s="90"/>
      <c r="B548" s="91" t="s">
        <v>1111</v>
      </c>
      <c r="C548" s="91" t="s">
        <v>1287</v>
      </c>
      <c r="D548" s="92" t="s">
        <v>1288</v>
      </c>
      <c r="E548" s="93" t="s">
        <v>839</v>
      </c>
      <c r="F548" s="93">
        <v>0.0627</v>
      </c>
      <c r="G548" s="93">
        <v>0.89</v>
      </c>
      <c r="H548" s="93">
        <v>0.055803</v>
      </c>
      <c r="I548" s="93">
        <v>179.470599</v>
      </c>
    </row>
    <row r="549" spans="1:9">
      <c r="A549" s="90"/>
      <c r="B549" s="91" t="s">
        <v>1007</v>
      </c>
      <c r="C549" s="91" t="s">
        <v>1050</v>
      </c>
      <c r="D549" s="92" t="s">
        <v>1051</v>
      </c>
      <c r="E549" s="93" t="s">
        <v>839</v>
      </c>
      <c r="F549" s="93">
        <v>0.0627</v>
      </c>
      <c r="G549" s="93">
        <v>1.43</v>
      </c>
      <c r="H549" s="93">
        <v>0.089661</v>
      </c>
      <c r="I549" s="93">
        <v>179.470599</v>
      </c>
    </row>
    <row r="550" ht="25.5" spans="1:9">
      <c r="A550" s="90"/>
      <c r="B550" s="91" t="s">
        <v>1111</v>
      </c>
      <c r="C550" s="91" t="s">
        <v>1707</v>
      </c>
      <c r="D550" s="92" t="s">
        <v>1708</v>
      </c>
      <c r="E550" s="93" t="s">
        <v>839</v>
      </c>
      <c r="F550" s="93">
        <v>0.0627</v>
      </c>
      <c r="G550" s="93">
        <v>0.01</v>
      </c>
      <c r="H550" s="93">
        <v>0.000627</v>
      </c>
      <c r="I550" s="93">
        <v>179.470599</v>
      </c>
    </row>
    <row r="551" spans="1:9">
      <c r="A551" s="90"/>
      <c r="B551" s="91" t="s">
        <v>985</v>
      </c>
      <c r="C551" s="91" t="s">
        <v>984</v>
      </c>
      <c r="D551" s="92" t="s">
        <v>986</v>
      </c>
      <c r="E551" s="93" t="s">
        <v>215</v>
      </c>
      <c r="F551" s="93">
        <v>0.394415</v>
      </c>
      <c r="G551" s="93">
        <v>5.93</v>
      </c>
      <c r="H551" s="93">
        <v>2.33888095</v>
      </c>
      <c r="I551" s="93">
        <v>1128.96166355</v>
      </c>
    </row>
    <row r="552" ht="25.5" spans="1:9">
      <c r="A552" s="90"/>
      <c r="B552" s="91" t="s">
        <v>1080</v>
      </c>
      <c r="C552" s="91" t="s">
        <v>1125</v>
      </c>
      <c r="D552" s="92" t="s">
        <v>1126</v>
      </c>
      <c r="E552" s="93" t="s">
        <v>494</v>
      </c>
      <c r="F552" s="93">
        <v>6.9995e-6</v>
      </c>
      <c r="G552" s="93">
        <v>659269.78</v>
      </c>
      <c r="H552" s="93">
        <v>4.61455882511</v>
      </c>
      <c r="I552" s="93">
        <v>0.020035158815</v>
      </c>
    </row>
    <row r="553" ht="38.25" spans="1:9">
      <c r="A553" s="85" t="s">
        <v>2253</v>
      </c>
      <c r="B553" s="85" t="s">
        <v>769</v>
      </c>
      <c r="C553" s="85" t="s">
        <v>2254</v>
      </c>
      <c r="D553" s="87" t="s">
        <v>770</v>
      </c>
      <c r="E553" s="89" t="s">
        <v>476</v>
      </c>
      <c r="F553" s="89">
        <v>64.9</v>
      </c>
      <c r="G553" s="89">
        <v>161.2</v>
      </c>
      <c r="H553" s="89">
        <v>10461.88</v>
      </c>
      <c r="I553" s="89">
        <v>64.9</v>
      </c>
    </row>
    <row r="554" spans="1:9">
      <c r="A554" s="90"/>
      <c r="B554" s="91" t="s">
        <v>1007</v>
      </c>
      <c r="C554" s="91" t="s">
        <v>1048</v>
      </c>
      <c r="D554" s="92" t="s">
        <v>1049</v>
      </c>
      <c r="E554" s="93" t="s">
        <v>839</v>
      </c>
      <c r="F554" s="93">
        <v>1</v>
      </c>
      <c r="G554" s="93">
        <v>1.5</v>
      </c>
      <c r="H554" s="93">
        <v>3.768</v>
      </c>
      <c r="I554" s="93">
        <v>64.9</v>
      </c>
    </row>
    <row r="555" spans="1:9">
      <c r="A555" s="90"/>
      <c r="B555" s="91" t="s">
        <v>1007</v>
      </c>
      <c r="C555" s="91" t="s">
        <v>1006</v>
      </c>
      <c r="D555" s="92" t="s">
        <v>1008</v>
      </c>
      <c r="E555" s="93" t="s">
        <v>839</v>
      </c>
      <c r="F555" s="93">
        <v>2.512</v>
      </c>
      <c r="G555" s="93">
        <v>3.95</v>
      </c>
      <c r="H555" s="93">
        <v>9.9224</v>
      </c>
      <c r="I555" s="93">
        <v>163.0288</v>
      </c>
    </row>
    <row r="556" spans="1:9">
      <c r="A556" s="90"/>
      <c r="B556" s="91" t="s">
        <v>1316</v>
      </c>
      <c r="C556" s="91" t="s">
        <v>1315</v>
      </c>
      <c r="D556" s="92" t="s">
        <v>1317</v>
      </c>
      <c r="E556" s="93" t="s">
        <v>839</v>
      </c>
      <c r="F556" s="93">
        <v>2.53287472</v>
      </c>
      <c r="G556" s="93">
        <v>18</v>
      </c>
      <c r="H556" s="93">
        <v>45.59174496</v>
      </c>
      <c r="I556" s="93">
        <v>164.383569328</v>
      </c>
    </row>
    <row r="557" spans="1:9">
      <c r="A557" s="90"/>
      <c r="B557" s="91" t="s">
        <v>1007</v>
      </c>
      <c r="C557" s="91" t="s">
        <v>1378</v>
      </c>
      <c r="D557" s="92" t="s">
        <v>1379</v>
      </c>
      <c r="E557" s="93" t="s">
        <v>839</v>
      </c>
      <c r="F557" s="93">
        <v>2.512</v>
      </c>
      <c r="G557" s="93">
        <v>0.08</v>
      </c>
      <c r="H557" s="93">
        <v>0.20096</v>
      </c>
      <c r="I557" s="93">
        <v>163.0288</v>
      </c>
    </row>
    <row r="558" ht="25.5" spans="1:9">
      <c r="A558" s="90"/>
      <c r="B558" s="91" t="s">
        <v>1136</v>
      </c>
      <c r="C558" s="91" t="s">
        <v>1409</v>
      </c>
      <c r="D558" s="92" t="s">
        <v>1410</v>
      </c>
      <c r="E558" s="93" t="s">
        <v>494</v>
      </c>
      <c r="F558" s="93">
        <v>0.00025933594</v>
      </c>
      <c r="G558" s="93">
        <v>98588.33</v>
      </c>
      <c r="H558" s="93">
        <v>25.5674972335802</v>
      </c>
      <c r="I558" s="93">
        <v>0.016830902506</v>
      </c>
    </row>
    <row r="559" ht="25.5" spans="1:9">
      <c r="A559" s="90"/>
      <c r="B559" s="91" t="s">
        <v>1111</v>
      </c>
      <c r="C559" s="91" t="s">
        <v>1287</v>
      </c>
      <c r="D559" s="92" t="s">
        <v>1288</v>
      </c>
      <c r="E559" s="93" t="s">
        <v>839</v>
      </c>
      <c r="F559" s="93">
        <v>2.512</v>
      </c>
      <c r="G559" s="93">
        <v>0.89</v>
      </c>
      <c r="H559" s="93">
        <v>2.23568</v>
      </c>
      <c r="I559" s="93">
        <v>163.0288</v>
      </c>
    </row>
    <row r="560" spans="1:9">
      <c r="A560" s="90"/>
      <c r="B560" s="91" t="s">
        <v>1007</v>
      </c>
      <c r="C560" s="91" t="s">
        <v>1050</v>
      </c>
      <c r="D560" s="92" t="s">
        <v>1051</v>
      </c>
      <c r="E560" s="93" t="s">
        <v>839</v>
      </c>
      <c r="F560" s="93">
        <v>2.512</v>
      </c>
      <c r="G560" s="93">
        <v>1.43</v>
      </c>
      <c r="H560" s="93">
        <v>3.59216</v>
      </c>
      <c r="I560" s="93">
        <v>163.0288</v>
      </c>
    </row>
    <row r="561" ht="25.5" spans="1:9">
      <c r="A561" s="90"/>
      <c r="B561" s="91" t="s">
        <v>1111</v>
      </c>
      <c r="C561" s="91" t="s">
        <v>1707</v>
      </c>
      <c r="D561" s="92" t="s">
        <v>1708</v>
      </c>
      <c r="E561" s="93" t="s">
        <v>839</v>
      </c>
      <c r="F561" s="93">
        <v>2.512</v>
      </c>
      <c r="G561" s="93">
        <v>0.01</v>
      </c>
      <c r="H561" s="93">
        <v>0.02512</v>
      </c>
      <c r="I561" s="93">
        <v>163.0288</v>
      </c>
    </row>
    <row r="562" spans="1:9">
      <c r="A562" s="90"/>
      <c r="B562" s="91" t="s">
        <v>1522</v>
      </c>
      <c r="C562" s="91" t="s">
        <v>1521</v>
      </c>
      <c r="D562" s="92" t="s">
        <v>1523</v>
      </c>
      <c r="E562" s="93" t="s">
        <v>494</v>
      </c>
      <c r="F562" s="93">
        <v>0.0003053216</v>
      </c>
      <c r="G562" s="93">
        <v>24832.13</v>
      </c>
      <c r="H562" s="93">
        <v>7.581785663008</v>
      </c>
      <c r="I562" s="93">
        <v>0.01981537184</v>
      </c>
    </row>
    <row r="563" spans="1:9">
      <c r="A563" s="90"/>
      <c r="B563" s="91" t="s">
        <v>985</v>
      </c>
      <c r="C563" s="91" t="s">
        <v>984</v>
      </c>
      <c r="D563" s="92" t="s">
        <v>986</v>
      </c>
      <c r="E563" s="93" t="s">
        <v>215</v>
      </c>
      <c r="F563" s="93">
        <v>10.576536</v>
      </c>
      <c r="G563" s="93">
        <v>5.93</v>
      </c>
      <c r="H563" s="93">
        <v>62.71885848</v>
      </c>
      <c r="I563" s="93">
        <v>686.4171864</v>
      </c>
    </row>
    <row r="564" ht="38.25" spans="1:9">
      <c r="A564" s="85" t="s">
        <v>2255</v>
      </c>
      <c r="B564" s="85" t="s">
        <v>2256</v>
      </c>
      <c r="C564" s="85" t="s">
        <v>2257</v>
      </c>
      <c r="D564" s="87" t="s">
        <v>771</v>
      </c>
      <c r="E564" s="89" t="s">
        <v>476</v>
      </c>
      <c r="F564" s="89">
        <v>10.12</v>
      </c>
      <c r="G564" s="89">
        <v>148.48</v>
      </c>
      <c r="H564" s="89">
        <v>1502.61</v>
      </c>
      <c r="I564" s="89">
        <v>10.12</v>
      </c>
    </row>
    <row r="565" spans="1:9">
      <c r="A565" s="90"/>
      <c r="B565" s="91" t="s">
        <v>1007</v>
      </c>
      <c r="C565" s="91" t="s">
        <v>1048</v>
      </c>
      <c r="D565" s="92" t="s">
        <v>1049</v>
      </c>
      <c r="E565" s="93" t="s">
        <v>839</v>
      </c>
      <c r="F565" s="93">
        <v>1</v>
      </c>
      <c r="G565" s="93">
        <v>1.5</v>
      </c>
      <c r="H565" s="93">
        <v>9.375</v>
      </c>
      <c r="I565" s="93">
        <v>10.12</v>
      </c>
    </row>
    <row r="566" spans="1:9">
      <c r="A566" s="90"/>
      <c r="B566" s="91" t="s">
        <v>1007</v>
      </c>
      <c r="C566" s="91" t="s">
        <v>1006</v>
      </c>
      <c r="D566" s="92" t="s">
        <v>1008</v>
      </c>
      <c r="E566" s="93" t="s">
        <v>839</v>
      </c>
      <c r="F566" s="93">
        <v>6.25</v>
      </c>
      <c r="G566" s="93">
        <v>3.95</v>
      </c>
      <c r="H566" s="93">
        <v>24.6875</v>
      </c>
      <c r="I566" s="93">
        <v>63.25</v>
      </c>
    </row>
    <row r="567" spans="1:9">
      <c r="A567" s="90"/>
      <c r="B567" s="91" t="s">
        <v>1007</v>
      </c>
      <c r="C567" s="91" t="s">
        <v>1378</v>
      </c>
      <c r="D567" s="92" t="s">
        <v>1379</v>
      </c>
      <c r="E567" s="93" t="s">
        <v>839</v>
      </c>
      <c r="F567" s="93">
        <v>6.25</v>
      </c>
      <c r="G567" s="93">
        <v>0.08</v>
      </c>
      <c r="H567" s="93">
        <v>0.5</v>
      </c>
      <c r="I567" s="93">
        <v>63.25</v>
      </c>
    </row>
    <row r="568" spans="1:9">
      <c r="A568" s="90"/>
      <c r="B568" s="91" t="s">
        <v>1020</v>
      </c>
      <c r="C568" s="91" t="s">
        <v>1019</v>
      </c>
      <c r="D568" s="92" t="s">
        <v>1021</v>
      </c>
      <c r="E568" s="93" t="s">
        <v>839</v>
      </c>
      <c r="F568" s="93">
        <v>6.3825</v>
      </c>
      <c r="G568" s="93">
        <v>14.49</v>
      </c>
      <c r="H568" s="93">
        <v>92.482425</v>
      </c>
      <c r="I568" s="93">
        <v>64.5909</v>
      </c>
    </row>
    <row r="569" ht="25.5" spans="1:9">
      <c r="A569" s="90"/>
      <c r="B569" s="91" t="s">
        <v>1111</v>
      </c>
      <c r="C569" s="91" t="s">
        <v>1110</v>
      </c>
      <c r="D569" s="92" t="s">
        <v>1112</v>
      </c>
      <c r="E569" s="93" t="s">
        <v>839</v>
      </c>
      <c r="F569" s="93">
        <v>6.25</v>
      </c>
      <c r="G569" s="93">
        <v>1.39</v>
      </c>
      <c r="H569" s="93">
        <v>8.6875</v>
      </c>
      <c r="I569" s="93">
        <v>63.25</v>
      </c>
    </row>
    <row r="570" spans="1:9">
      <c r="A570" s="90"/>
      <c r="B570" s="91" t="s">
        <v>1007</v>
      </c>
      <c r="C570" s="91" t="s">
        <v>1050</v>
      </c>
      <c r="D570" s="92" t="s">
        <v>1051</v>
      </c>
      <c r="E570" s="93" t="s">
        <v>839</v>
      </c>
      <c r="F570" s="93">
        <v>6.25</v>
      </c>
      <c r="G570" s="93">
        <v>1.43</v>
      </c>
      <c r="H570" s="93">
        <v>8.9375</v>
      </c>
      <c r="I570" s="93">
        <v>63.25</v>
      </c>
    </row>
    <row r="571" ht="25.5" spans="1:9">
      <c r="A571" s="90"/>
      <c r="B571" s="91" t="s">
        <v>1111</v>
      </c>
      <c r="C571" s="91" t="s">
        <v>1195</v>
      </c>
      <c r="D571" s="92" t="s">
        <v>1196</v>
      </c>
      <c r="E571" s="93" t="s">
        <v>839</v>
      </c>
      <c r="F571" s="93">
        <v>6.25</v>
      </c>
      <c r="G571" s="93">
        <v>0.61</v>
      </c>
      <c r="H571" s="93">
        <v>3.8125</v>
      </c>
      <c r="I571" s="93">
        <v>63.25</v>
      </c>
    </row>
    <row r="572" spans="1:9">
      <c r="A572" s="85" t="s">
        <v>2258</v>
      </c>
      <c r="B572" s="85" t="s">
        <v>2259</v>
      </c>
      <c r="C572" s="85" t="s">
        <v>2260</v>
      </c>
      <c r="D572" s="87" t="s">
        <v>772</v>
      </c>
      <c r="E572" s="89" t="s">
        <v>476</v>
      </c>
      <c r="F572" s="89">
        <v>0.77</v>
      </c>
      <c r="G572" s="89">
        <v>89.08</v>
      </c>
      <c r="H572" s="89">
        <v>68.59</v>
      </c>
      <c r="I572" s="89">
        <v>0.77</v>
      </c>
    </row>
    <row r="573" spans="1:9">
      <c r="A573" s="90"/>
      <c r="B573" s="91" t="s">
        <v>1007</v>
      </c>
      <c r="C573" s="91" t="s">
        <v>1048</v>
      </c>
      <c r="D573" s="92" t="s">
        <v>1049</v>
      </c>
      <c r="E573" s="93" t="s">
        <v>839</v>
      </c>
      <c r="F573" s="93">
        <v>1</v>
      </c>
      <c r="G573" s="93">
        <v>1.5</v>
      </c>
      <c r="H573" s="93">
        <v>5.625</v>
      </c>
      <c r="I573" s="93">
        <v>0.77</v>
      </c>
    </row>
    <row r="574" spans="1:9">
      <c r="A574" s="90"/>
      <c r="B574" s="91" t="s">
        <v>1007</v>
      </c>
      <c r="C574" s="91" t="s">
        <v>1006</v>
      </c>
      <c r="D574" s="92" t="s">
        <v>1008</v>
      </c>
      <c r="E574" s="93" t="s">
        <v>839</v>
      </c>
      <c r="F574" s="93">
        <v>3.75</v>
      </c>
      <c r="G574" s="93">
        <v>3.95</v>
      </c>
      <c r="H574" s="93">
        <v>14.8125</v>
      </c>
      <c r="I574" s="93">
        <v>2.8875</v>
      </c>
    </row>
    <row r="575" spans="1:9">
      <c r="A575" s="90"/>
      <c r="B575" s="91" t="s">
        <v>1007</v>
      </c>
      <c r="C575" s="91" t="s">
        <v>1378</v>
      </c>
      <c r="D575" s="92" t="s">
        <v>1379</v>
      </c>
      <c r="E575" s="93" t="s">
        <v>839</v>
      </c>
      <c r="F575" s="93">
        <v>3.75</v>
      </c>
      <c r="G575" s="93">
        <v>0.08</v>
      </c>
      <c r="H575" s="93">
        <v>0.3</v>
      </c>
      <c r="I575" s="93">
        <v>2.8875</v>
      </c>
    </row>
    <row r="576" spans="1:9">
      <c r="A576" s="90"/>
      <c r="B576" s="91" t="s">
        <v>1020</v>
      </c>
      <c r="C576" s="91" t="s">
        <v>1019</v>
      </c>
      <c r="D576" s="92" t="s">
        <v>1021</v>
      </c>
      <c r="E576" s="93" t="s">
        <v>839</v>
      </c>
      <c r="F576" s="93">
        <v>3.8295</v>
      </c>
      <c r="G576" s="93">
        <v>14.49</v>
      </c>
      <c r="H576" s="93">
        <v>55.489455</v>
      </c>
      <c r="I576" s="93">
        <v>2.948715</v>
      </c>
    </row>
    <row r="577" ht="25.5" spans="1:9">
      <c r="A577" s="90"/>
      <c r="B577" s="91" t="s">
        <v>1111</v>
      </c>
      <c r="C577" s="91" t="s">
        <v>1110</v>
      </c>
      <c r="D577" s="92" t="s">
        <v>1112</v>
      </c>
      <c r="E577" s="93" t="s">
        <v>839</v>
      </c>
      <c r="F577" s="93">
        <v>3.75</v>
      </c>
      <c r="G577" s="93">
        <v>1.39</v>
      </c>
      <c r="H577" s="93">
        <v>5.2125</v>
      </c>
      <c r="I577" s="93">
        <v>2.8875</v>
      </c>
    </row>
    <row r="578" spans="1:9">
      <c r="A578" s="90"/>
      <c r="B578" s="91" t="s">
        <v>1007</v>
      </c>
      <c r="C578" s="91" t="s">
        <v>1050</v>
      </c>
      <c r="D578" s="92" t="s">
        <v>1051</v>
      </c>
      <c r="E578" s="93" t="s">
        <v>839</v>
      </c>
      <c r="F578" s="93">
        <v>3.75</v>
      </c>
      <c r="G578" s="93">
        <v>1.43</v>
      </c>
      <c r="H578" s="93">
        <v>5.3625</v>
      </c>
      <c r="I578" s="93">
        <v>2.8875</v>
      </c>
    </row>
    <row r="579" ht="25.5" spans="1:9">
      <c r="A579" s="90"/>
      <c r="B579" s="91" t="s">
        <v>1111</v>
      </c>
      <c r="C579" s="91" t="s">
        <v>1195</v>
      </c>
      <c r="D579" s="92" t="s">
        <v>1196</v>
      </c>
      <c r="E579" s="93" t="s">
        <v>839</v>
      </c>
      <c r="F579" s="93">
        <v>3.75</v>
      </c>
      <c r="G579" s="93">
        <v>0.61</v>
      </c>
      <c r="H579" s="93">
        <v>2.2875</v>
      </c>
      <c r="I579" s="93">
        <v>2.8875</v>
      </c>
    </row>
    <row r="580" ht="38.25" spans="1:9">
      <c r="A580" s="85" t="s">
        <v>2261</v>
      </c>
      <c r="B580" s="85" t="s">
        <v>2262</v>
      </c>
      <c r="C580" s="85" t="s">
        <v>2263</v>
      </c>
      <c r="D580" s="87" t="s">
        <v>773</v>
      </c>
      <c r="E580" s="89" t="s">
        <v>476</v>
      </c>
      <c r="F580" s="89">
        <v>39.48</v>
      </c>
      <c r="G580" s="89">
        <v>118.78</v>
      </c>
      <c r="H580" s="89">
        <v>4689.43</v>
      </c>
      <c r="I580" s="89">
        <v>39.48</v>
      </c>
    </row>
    <row r="581" spans="1:9">
      <c r="A581" s="90"/>
      <c r="B581" s="91" t="s">
        <v>1007</v>
      </c>
      <c r="C581" s="91" t="s">
        <v>1048</v>
      </c>
      <c r="D581" s="92" t="s">
        <v>1049</v>
      </c>
      <c r="E581" s="93" t="s">
        <v>839</v>
      </c>
      <c r="F581" s="93">
        <v>1</v>
      </c>
      <c r="G581" s="93">
        <v>1.5</v>
      </c>
      <c r="H581" s="93">
        <v>7.5</v>
      </c>
      <c r="I581" s="93">
        <v>39.48</v>
      </c>
    </row>
    <row r="582" spans="1:9">
      <c r="A582" s="90"/>
      <c r="B582" s="91" t="s">
        <v>1007</v>
      </c>
      <c r="C582" s="91" t="s">
        <v>1006</v>
      </c>
      <c r="D582" s="92" t="s">
        <v>1008</v>
      </c>
      <c r="E582" s="93" t="s">
        <v>839</v>
      </c>
      <c r="F582" s="93">
        <v>5</v>
      </c>
      <c r="G582" s="93">
        <v>3.95</v>
      </c>
      <c r="H582" s="93">
        <v>19.75</v>
      </c>
      <c r="I582" s="93">
        <v>197.4</v>
      </c>
    </row>
    <row r="583" spans="1:9">
      <c r="A583" s="90"/>
      <c r="B583" s="91" t="s">
        <v>1007</v>
      </c>
      <c r="C583" s="91" t="s">
        <v>1378</v>
      </c>
      <c r="D583" s="92" t="s">
        <v>1379</v>
      </c>
      <c r="E583" s="93" t="s">
        <v>839</v>
      </c>
      <c r="F583" s="93">
        <v>5</v>
      </c>
      <c r="G583" s="93">
        <v>0.08</v>
      </c>
      <c r="H583" s="93">
        <v>0.4</v>
      </c>
      <c r="I583" s="93">
        <v>197.4</v>
      </c>
    </row>
    <row r="584" spans="1:9">
      <c r="A584" s="90"/>
      <c r="B584" s="91" t="s">
        <v>1020</v>
      </c>
      <c r="C584" s="91" t="s">
        <v>1019</v>
      </c>
      <c r="D584" s="92" t="s">
        <v>1021</v>
      </c>
      <c r="E584" s="93" t="s">
        <v>839</v>
      </c>
      <c r="F584" s="93">
        <v>5.106</v>
      </c>
      <c r="G584" s="93">
        <v>14.49</v>
      </c>
      <c r="H584" s="93">
        <v>73.98594</v>
      </c>
      <c r="I584" s="93">
        <v>201.58488</v>
      </c>
    </row>
    <row r="585" spans="1:9">
      <c r="A585" s="90"/>
      <c r="B585" s="91" t="s">
        <v>1111</v>
      </c>
      <c r="C585" s="91" t="s">
        <v>1110</v>
      </c>
      <c r="D585" s="92" t="s">
        <v>2264</v>
      </c>
      <c r="E585" s="93" t="s">
        <v>839</v>
      </c>
      <c r="F585" s="93">
        <v>5</v>
      </c>
      <c r="G585" s="93">
        <v>1.39</v>
      </c>
      <c r="H585" s="93">
        <v>6.95</v>
      </c>
      <c r="I585" s="93">
        <v>197.4</v>
      </c>
    </row>
    <row r="586" spans="1:9">
      <c r="A586" s="90"/>
      <c r="B586" s="90"/>
      <c r="C586" s="90"/>
      <c r="D586" s="92" t="s">
        <v>2265</v>
      </c>
      <c r="E586" s="94"/>
      <c r="F586" s="94"/>
      <c r="G586" s="94"/>
      <c r="H586" s="94"/>
      <c r="I586" s="94"/>
    </row>
    <row r="587" spans="1:9">
      <c r="A587" s="90"/>
      <c r="B587" s="91" t="s">
        <v>1007</v>
      </c>
      <c r="C587" s="91" t="s">
        <v>1050</v>
      </c>
      <c r="D587" s="92" t="s">
        <v>1051</v>
      </c>
      <c r="E587" s="93" t="s">
        <v>839</v>
      </c>
      <c r="F587" s="93">
        <v>5</v>
      </c>
      <c r="G587" s="93">
        <v>1.43</v>
      </c>
      <c r="H587" s="93">
        <v>7.15</v>
      </c>
      <c r="I587" s="93">
        <v>197.4</v>
      </c>
    </row>
    <row r="588" ht="25.5" spans="1:9">
      <c r="A588" s="90"/>
      <c r="B588" s="91" t="s">
        <v>1111</v>
      </c>
      <c r="C588" s="91" t="s">
        <v>1195</v>
      </c>
      <c r="D588" s="92" t="s">
        <v>1196</v>
      </c>
      <c r="E588" s="93" t="s">
        <v>839</v>
      </c>
      <c r="F588" s="93">
        <v>5</v>
      </c>
      <c r="G588" s="93">
        <v>0.61</v>
      </c>
      <c r="H588" s="93">
        <v>3.05</v>
      </c>
      <c r="I588" s="93">
        <v>197.4</v>
      </c>
    </row>
    <row r="589" ht="51" spans="1:9">
      <c r="A589" s="85" t="s">
        <v>2266</v>
      </c>
      <c r="B589" s="85" t="s">
        <v>774</v>
      </c>
      <c r="C589" s="85" t="s">
        <v>2267</v>
      </c>
      <c r="D589" s="87" t="s">
        <v>775</v>
      </c>
      <c r="E589" s="89" t="s">
        <v>476</v>
      </c>
      <c r="F589" s="89">
        <v>4.3</v>
      </c>
      <c r="G589" s="89">
        <v>6.08</v>
      </c>
      <c r="H589" s="89">
        <v>26.14</v>
      </c>
      <c r="I589" s="89">
        <v>4.3</v>
      </c>
    </row>
    <row r="590" ht="25.5" spans="1:9">
      <c r="A590" s="90"/>
      <c r="B590" s="91" t="s">
        <v>1103</v>
      </c>
      <c r="C590" s="91" t="s">
        <v>1102</v>
      </c>
      <c r="D590" s="92" t="s">
        <v>1104</v>
      </c>
      <c r="E590" s="93" t="s">
        <v>494</v>
      </c>
      <c r="F590" s="93">
        <v>1</v>
      </c>
      <c r="G590" s="93">
        <v>850000</v>
      </c>
      <c r="H590" s="93">
        <v>3.109441474</v>
      </c>
      <c r="I590" s="93">
        <v>4.3</v>
      </c>
    </row>
    <row r="591" spans="1:9">
      <c r="A591" s="90"/>
      <c r="B591" s="91" t="s">
        <v>1007</v>
      </c>
      <c r="C591" s="91" t="s">
        <v>1048</v>
      </c>
      <c r="D591" s="92" t="s">
        <v>1049</v>
      </c>
      <c r="E591" s="93" t="s">
        <v>839</v>
      </c>
      <c r="F591" s="93">
        <v>1</v>
      </c>
      <c r="G591" s="93">
        <v>1.5</v>
      </c>
      <c r="H591" s="93">
        <v>0.0998079</v>
      </c>
      <c r="I591" s="93">
        <v>4.3</v>
      </c>
    </row>
    <row r="592" spans="1:9">
      <c r="A592" s="90"/>
      <c r="B592" s="91" t="s">
        <v>1007</v>
      </c>
      <c r="C592" s="91" t="s">
        <v>1006</v>
      </c>
      <c r="D592" s="92" t="s">
        <v>1008</v>
      </c>
      <c r="E592" s="93" t="s">
        <v>839</v>
      </c>
      <c r="F592" s="93">
        <v>0.0665386</v>
      </c>
      <c r="G592" s="93">
        <v>3.95</v>
      </c>
      <c r="H592" s="93">
        <v>0.26282747</v>
      </c>
      <c r="I592" s="93">
        <v>0.28611598</v>
      </c>
    </row>
    <row r="593" spans="1:9">
      <c r="A593" s="90"/>
      <c r="B593" s="91" t="s">
        <v>1108</v>
      </c>
      <c r="C593" s="91" t="s">
        <v>1107</v>
      </c>
      <c r="D593" s="92" t="s">
        <v>1109</v>
      </c>
      <c r="E593" s="93" t="s">
        <v>839</v>
      </c>
      <c r="F593" s="93">
        <v>0.033653227722</v>
      </c>
      <c r="G593" s="93">
        <v>21.83</v>
      </c>
      <c r="H593" s="93">
        <v>0.73464996117126</v>
      </c>
      <c r="I593" s="93">
        <v>0.1447088792046</v>
      </c>
    </row>
    <row r="594" spans="1:9">
      <c r="A594" s="90"/>
      <c r="B594" s="91" t="s">
        <v>1007</v>
      </c>
      <c r="C594" s="91" t="s">
        <v>1378</v>
      </c>
      <c r="D594" s="92" t="s">
        <v>1379</v>
      </c>
      <c r="E594" s="93" t="s">
        <v>839</v>
      </c>
      <c r="F594" s="93">
        <v>0.0665386</v>
      </c>
      <c r="G594" s="93">
        <v>0.08</v>
      </c>
      <c r="H594" s="93">
        <v>0.005323088</v>
      </c>
      <c r="I594" s="93">
        <v>0.28611598</v>
      </c>
    </row>
    <row r="595" spans="1:9">
      <c r="A595" s="90"/>
      <c r="B595" s="91" t="s">
        <v>1020</v>
      </c>
      <c r="C595" s="91" t="s">
        <v>1019</v>
      </c>
      <c r="D595" s="92" t="s">
        <v>1021</v>
      </c>
      <c r="E595" s="93" t="s">
        <v>839</v>
      </c>
      <c r="F595" s="93">
        <v>0.03397460916</v>
      </c>
      <c r="G595" s="93">
        <v>14.49</v>
      </c>
      <c r="H595" s="93">
        <v>0.4922920867284</v>
      </c>
      <c r="I595" s="93">
        <v>0.146090819388</v>
      </c>
    </row>
    <row r="596" ht="25.5" spans="1:9">
      <c r="A596" s="90"/>
      <c r="B596" s="91" t="s">
        <v>1111</v>
      </c>
      <c r="C596" s="91" t="s">
        <v>1287</v>
      </c>
      <c r="D596" s="92" t="s">
        <v>1288</v>
      </c>
      <c r="E596" s="93" t="s">
        <v>839</v>
      </c>
      <c r="F596" s="93">
        <v>0.0332693</v>
      </c>
      <c r="G596" s="93">
        <v>0.89</v>
      </c>
      <c r="H596" s="93">
        <v>0.029609677</v>
      </c>
      <c r="I596" s="93">
        <v>0.14305799</v>
      </c>
    </row>
    <row r="597" ht="25.5" spans="1:9">
      <c r="A597" s="90"/>
      <c r="B597" s="91" t="s">
        <v>1111</v>
      </c>
      <c r="C597" s="91" t="s">
        <v>1110</v>
      </c>
      <c r="D597" s="92" t="s">
        <v>1112</v>
      </c>
      <c r="E597" s="93" t="s">
        <v>839</v>
      </c>
      <c r="F597" s="93">
        <v>0.0332693</v>
      </c>
      <c r="G597" s="93">
        <v>1.39</v>
      </c>
      <c r="H597" s="93">
        <v>0.046244327</v>
      </c>
      <c r="I597" s="93">
        <v>0.14305799</v>
      </c>
    </row>
    <row r="598" spans="1:9">
      <c r="A598" s="90"/>
      <c r="B598" s="91" t="s">
        <v>1007</v>
      </c>
      <c r="C598" s="91" t="s">
        <v>1050</v>
      </c>
      <c r="D598" s="92" t="s">
        <v>1051</v>
      </c>
      <c r="E598" s="93" t="s">
        <v>839</v>
      </c>
      <c r="F598" s="93">
        <v>0.0665386</v>
      </c>
      <c r="G598" s="93">
        <v>1.43</v>
      </c>
      <c r="H598" s="93">
        <v>0.095150198</v>
      </c>
      <c r="I598" s="93">
        <v>0.28611598</v>
      </c>
    </row>
    <row r="599" ht="25.5" spans="1:9">
      <c r="A599" s="90"/>
      <c r="B599" s="91" t="s">
        <v>1111</v>
      </c>
      <c r="C599" s="91" t="s">
        <v>1707</v>
      </c>
      <c r="D599" s="92" t="s">
        <v>1708</v>
      </c>
      <c r="E599" s="93" t="s">
        <v>839</v>
      </c>
      <c r="F599" s="93">
        <v>0.0332693</v>
      </c>
      <c r="G599" s="93">
        <v>0.01</v>
      </c>
      <c r="H599" s="93">
        <v>0.000332693</v>
      </c>
      <c r="I599" s="93">
        <v>0.14305799</v>
      </c>
    </row>
    <row r="600" ht="25.5" spans="1:9">
      <c r="A600" s="90"/>
      <c r="B600" s="91" t="s">
        <v>1111</v>
      </c>
      <c r="C600" s="91" t="s">
        <v>1195</v>
      </c>
      <c r="D600" s="92" t="s">
        <v>1196</v>
      </c>
      <c r="E600" s="93" t="s">
        <v>839</v>
      </c>
      <c r="F600" s="93">
        <v>0.0332693</v>
      </c>
      <c r="G600" s="93">
        <v>0.61</v>
      </c>
      <c r="H600" s="93">
        <v>0.020294273</v>
      </c>
      <c r="I600" s="93">
        <v>0.14305799</v>
      </c>
    </row>
    <row r="601" spans="1:9">
      <c r="A601" s="90"/>
      <c r="B601" s="91" t="s">
        <v>985</v>
      </c>
      <c r="C601" s="91" t="s">
        <v>984</v>
      </c>
      <c r="D601" s="92" t="s">
        <v>986</v>
      </c>
      <c r="E601" s="93" t="s">
        <v>215</v>
      </c>
      <c r="F601" s="93">
        <v>0.2004297</v>
      </c>
      <c r="G601" s="93">
        <v>5.93</v>
      </c>
      <c r="H601" s="93">
        <v>1.188548121</v>
      </c>
      <c r="I601" s="93">
        <v>0.86184771</v>
      </c>
    </row>
    <row r="602" ht="51" spans="1:9">
      <c r="A602" s="85" t="s">
        <v>2268</v>
      </c>
      <c r="B602" s="85" t="s">
        <v>776</v>
      </c>
      <c r="C602" s="85" t="s">
        <v>2269</v>
      </c>
      <c r="D602" s="87" t="s">
        <v>777</v>
      </c>
      <c r="E602" s="89" t="s">
        <v>476</v>
      </c>
      <c r="F602" s="89">
        <v>3.38</v>
      </c>
      <c r="G602" s="89">
        <v>7.6</v>
      </c>
      <c r="H602" s="89">
        <v>25.68</v>
      </c>
      <c r="I602" s="89">
        <v>3.38</v>
      </c>
    </row>
    <row r="603" ht="25.5" spans="1:9">
      <c r="A603" s="90"/>
      <c r="B603" s="91" t="s">
        <v>1103</v>
      </c>
      <c r="C603" s="91" t="s">
        <v>1102</v>
      </c>
      <c r="D603" s="92" t="s">
        <v>1104</v>
      </c>
      <c r="E603" s="93" t="s">
        <v>494</v>
      </c>
      <c r="F603" s="93">
        <v>1</v>
      </c>
      <c r="G603" s="93">
        <v>850000</v>
      </c>
      <c r="H603" s="93">
        <v>3.886800338</v>
      </c>
      <c r="I603" s="93">
        <v>3.38</v>
      </c>
    </row>
    <row r="604" spans="1:9">
      <c r="A604" s="90"/>
      <c r="B604" s="91" t="s">
        <v>1007</v>
      </c>
      <c r="C604" s="91" t="s">
        <v>1048</v>
      </c>
      <c r="D604" s="92" t="s">
        <v>1049</v>
      </c>
      <c r="E604" s="93" t="s">
        <v>839</v>
      </c>
      <c r="F604" s="93">
        <v>1</v>
      </c>
      <c r="G604" s="93">
        <v>1.5</v>
      </c>
      <c r="H604" s="93">
        <v>0.1247598</v>
      </c>
      <c r="I604" s="93">
        <v>3.38</v>
      </c>
    </row>
    <row r="605" spans="1:9">
      <c r="A605" s="90"/>
      <c r="B605" s="91" t="s">
        <v>1007</v>
      </c>
      <c r="C605" s="91" t="s">
        <v>1006</v>
      </c>
      <c r="D605" s="92" t="s">
        <v>1008</v>
      </c>
      <c r="E605" s="93" t="s">
        <v>839</v>
      </c>
      <c r="F605" s="93">
        <v>0.0831732</v>
      </c>
      <c r="G605" s="93">
        <v>3.95</v>
      </c>
      <c r="H605" s="93">
        <v>0.32853414</v>
      </c>
      <c r="I605" s="93">
        <v>0.281125416</v>
      </c>
    </row>
    <row r="606" spans="1:9">
      <c r="A606" s="90"/>
      <c r="B606" s="91" t="s">
        <v>1108</v>
      </c>
      <c r="C606" s="91" t="s">
        <v>1107</v>
      </c>
      <c r="D606" s="92" t="s">
        <v>1109</v>
      </c>
      <c r="E606" s="93" t="s">
        <v>839</v>
      </c>
      <c r="F606" s="93">
        <v>0.042066509364</v>
      </c>
      <c r="G606" s="93">
        <v>21.83</v>
      </c>
      <c r="H606" s="93">
        <v>0.91831189941612</v>
      </c>
      <c r="I606" s="93">
        <v>0.14218480165032</v>
      </c>
    </row>
    <row r="607" spans="1:9">
      <c r="A607" s="90"/>
      <c r="B607" s="91" t="s">
        <v>1007</v>
      </c>
      <c r="C607" s="91" t="s">
        <v>1378</v>
      </c>
      <c r="D607" s="92" t="s">
        <v>1379</v>
      </c>
      <c r="E607" s="93" t="s">
        <v>839</v>
      </c>
      <c r="F607" s="93">
        <v>0.0831732</v>
      </c>
      <c r="G607" s="93">
        <v>0.08</v>
      </c>
      <c r="H607" s="93">
        <v>0.006653856</v>
      </c>
      <c r="I607" s="93">
        <v>0.281125416</v>
      </c>
    </row>
    <row r="608" spans="1:9">
      <c r="A608" s="90"/>
      <c r="B608" s="91" t="s">
        <v>1020</v>
      </c>
      <c r="C608" s="91" t="s">
        <v>1019</v>
      </c>
      <c r="D608" s="92" t="s">
        <v>1021</v>
      </c>
      <c r="E608" s="93" t="s">
        <v>839</v>
      </c>
      <c r="F608" s="93">
        <v>0.04246823592</v>
      </c>
      <c r="G608" s="93">
        <v>14.49</v>
      </c>
      <c r="H608" s="93">
        <v>0.6153647384808</v>
      </c>
      <c r="I608" s="93">
        <v>0.1435426374096</v>
      </c>
    </row>
    <row r="609" ht="25.5" spans="1:9">
      <c r="A609" s="90"/>
      <c r="B609" s="91" t="s">
        <v>1111</v>
      </c>
      <c r="C609" s="91" t="s">
        <v>1287</v>
      </c>
      <c r="D609" s="92" t="s">
        <v>1288</v>
      </c>
      <c r="E609" s="93" t="s">
        <v>839</v>
      </c>
      <c r="F609" s="93">
        <v>0.0415866</v>
      </c>
      <c r="G609" s="93">
        <v>0.89</v>
      </c>
      <c r="H609" s="93">
        <v>0.037012074</v>
      </c>
      <c r="I609" s="93">
        <v>0.140562708</v>
      </c>
    </row>
    <row r="610" ht="25.5" spans="1:9">
      <c r="A610" s="90"/>
      <c r="B610" s="91" t="s">
        <v>1111</v>
      </c>
      <c r="C610" s="91" t="s">
        <v>1110</v>
      </c>
      <c r="D610" s="92" t="s">
        <v>1112</v>
      </c>
      <c r="E610" s="93" t="s">
        <v>839</v>
      </c>
      <c r="F610" s="93">
        <v>0.0415866</v>
      </c>
      <c r="G610" s="93">
        <v>1.39</v>
      </c>
      <c r="H610" s="93">
        <v>0.057805374</v>
      </c>
      <c r="I610" s="93">
        <v>0.140562708</v>
      </c>
    </row>
    <row r="611" spans="1:9">
      <c r="A611" s="90"/>
      <c r="B611" s="91" t="s">
        <v>1007</v>
      </c>
      <c r="C611" s="91" t="s">
        <v>1050</v>
      </c>
      <c r="D611" s="92" t="s">
        <v>1051</v>
      </c>
      <c r="E611" s="93" t="s">
        <v>839</v>
      </c>
      <c r="F611" s="93">
        <v>0.0831732</v>
      </c>
      <c r="G611" s="93">
        <v>1.43</v>
      </c>
      <c r="H611" s="93">
        <v>0.118937676</v>
      </c>
      <c r="I611" s="93">
        <v>0.281125416</v>
      </c>
    </row>
    <row r="612" ht="25.5" spans="1:9">
      <c r="A612" s="90"/>
      <c r="B612" s="91" t="s">
        <v>1111</v>
      </c>
      <c r="C612" s="91" t="s">
        <v>1707</v>
      </c>
      <c r="D612" s="92" t="s">
        <v>1708</v>
      </c>
      <c r="E612" s="93" t="s">
        <v>839</v>
      </c>
      <c r="F612" s="93">
        <v>0.0415866</v>
      </c>
      <c r="G612" s="93">
        <v>0.01</v>
      </c>
      <c r="H612" s="93">
        <v>0.000415866</v>
      </c>
      <c r="I612" s="93">
        <v>0.140562708</v>
      </c>
    </row>
    <row r="613" ht="25.5" spans="1:9">
      <c r="A613" s="90"/>
      <c r="B613" s="91" t="s">
        <v>1111</v>
      </c>
      <c r="C613" s="91" t="s">
        <v>1195</v>
      </c>
      <c r="D613" s="92" t="s">
        <v>1196</v>
      </c>
      <c r="E613" s="93" t="s">
        <v>839</v>
      </c>
      <c r="F613" s="93">
        <v>0.0415866</v>
      </c>
      <c r="G613" s="93">
        <v>0.61</v>
      </c>
      <c r="H613" s="93">
        <v>0.025367826</v>
      </c>
      <c r="I613" s="93">
        <v>0.140562708</v>
      </c>
    </row>
    <row r="614" spans="1:9">
      <c r="A614" s="90"/>
      <c r="B614" s="91" t="s">
        <v>985</v>
      </c>
      <c r="C614" s="91" t="s">
        <v>984</v>
      </c>
      <c r="D614" s="92" t="s">
        <v>986</v>
      </c>
      <c r="E614" s="93" t="s">
        <v>215</v>
      </c>
      <c r="F614" s="93">
        <v>0.250537125</v>
      </c>
      <c r="G614" s="93">
        <v>5.93</v>
      </c>
      <c r="H614" s="93">
        <v>1.48568515125</v>
      </c>
      <c r="I614" s="93">
        <v>0.8468154825</v>
      </c>
    </row>
    <row r="615" ht="38.25" spans="1:9">
      <c r="A615" s="85" t="s">
        <v>2270</v>
      </c>
      <c r="B615" s="85" t="s">
        <v>778</v>
      </c>
      <c r="C615" s="85" t="s">
        <v>2271</v>
      </c>
      <c r="D615" s="87" t="s">
        <v>779</v>
      </c>
      <c r="E615" s="89" t="s">
        <v>476</v>
      </c>
      <c r="F615" s="89">
        <v>7.69</v>
      </c>
      <c r="G615" s="89">
        <v>7.95</v>
      </c>
      <c r="H615" s="89">
        <v>61.13</v>
      </c>
      <c r="I615" s="89">
        <v>7.69</v>
      </c>
    </row>
    <row r="616" ht="25.5" spans="1:9">
      <c r="A616" s="90"/>
      <c r="B616" s="91" t="s">
        <v>1103</v>
      </c>
      <c r="C616" s="91" t="s">
        <v>1102</v>
      </c>
      <c r="D616" s="92" t="s">
        <v>1104</v>
      </c>
      <c r="E616" s="93" t="s">
        <v>494</v>
      </c>
      <c r="F616" s="93">
        <v>1</v>
      </c>
      <c r="G616" s="93">
        <v>850000</v>
      </c>
      <c r="H616" s="93">
        <v>4.067801276</v>
      </c>
      <c r="I616" s="93">
        <v>7.69</v>
      </c>
    </row>
    <row r="617" spans="1:9">
      <c r="A617" s="90"/>
      <c r="B617" s="91" t="s">
        <v>1007</v>
      </c>
      <c r="C617" s="91" t="s">
        <v>1048</v>
      </c>
      <c r="D617" s="92" t="s">
        <v>1049</v>
      </c>
      <c r="E617" s="93" t="s">
        <v>839</v>
      </c>
      <c r="F617" s="93">
        <v>1</v>
      </c>
      <c r="G617" s="93">
        <v>1.5</v>
      </c>
      <c r="H617" s="93">
        <v>0.1305696</v>
      </c>
      <c r="I617" s="93">
        <v>7.69</v>
      </c>
    </row>
    <row r="618" spans="1:9">
      <c r="A618" s="90"/>
      <c r="B618" s="91" t="s">
        <v>1007</v>
      </c>
      <c r="C618" s="91" t="s">
        <v>1006</v>
      </c>
      <c r="D618" s="92" t="s">
        <v>1008</v>
      </c>
      <c r="E618" s="93" t="s">
        <v>839</v>
      </c>
      <c r="F618" s="93">
        <v>0.0870464</v>
      </c>
      <c r="G618" s="93">
        <v>3.95</v>
      </c>
      <c r="H618" s="93">
        <v>0.34383328</v>
      </c>
      <c r="I618" s="93">
        <v>0.669386816</v>
      </c>
    </row>
    <row r="619" spans="1:9">
      <c r="A619" s="90"/>
      <c r="B619" s="91" t="s">
        <v>1108</v>
      </c>
      <c r="C619" s="91" t="s">
        <v>1107</v>
      </c>
      <c r="D619" s="92" t="s">
        <v>1109</v>
      </c>
      <c r="E619" s="93" t="s">
        <v>839</v>
      </c>
      <c r="F619" s="93">
        <v>0.044025457728</v>
      </c>
      <c r="G619" s="93">
        <v>21.83</v>
      </c>
      <c r="H619" s="93">
        <v>0.96107574220224</v>
      </c>
      <c r="I619" s="93">
        <v>0.33855576992832</v>
      </c>
    </row>
    <row r="620" spans="1:9">
      <c r="A620" s="90"/>
      <c r="B620" s="91" t="s">
        <v>1007</v>
      </c>
      <c r="C620" s="91" t="s">
        <v>1378</v>
      </c>
      <c r="D620" s="92" t="s">
        <v>1379</v>
      </c>
      <c r="E620" s="93" t="s">
        <v>839</v>
      </c>
      <c r="F620" s="93">
        <v>0.0870464</v>
      </c>
      <c r="G620" s="93">
        <v>0.08</v>
      </c>
      <c r="H620" s="93">
        <v>0.006963712</v>
      </c>
      <c r="I620" s="93">
        <v>0.669386816</v>
      </c>
    </row>
    <row r="621" spans="1:9">
      <c r="A621" s="90"/>
      <c r="B621" s="91" t="s">
        <v>1020</v>
      </c>
      <c r="C621" s="91" t="s">
        <v>1019</v>
      </c>
      <c r="D621" s="92" t="s">
        <v>1021</v>
      </c>
      <c r="E621" s="93" t="s">
        <v>839</v>
      </c>
      <c r="F621" s="93">
        <v>0.04444589184</v>
      </c>
      <c r="G621" s="93">
        <v>14.49</v>
      </c>
      <c r="H621" s="93">
        <v>0.6440209727616</v>
      </c>
      <c r="I621" s="93">
        <v>0.3417889082496</v>
      </c>
    </row>
    <row r="622" ht="25.5" spans="1:9">
      <c r="A622" s="90"/>
      <c r="B622" s="91" t="s">
        <v>1111</v>
      </c>
      <c r="C622" s="91" t="s">
        <v>1287</v>
      </c>
      <c r="D622" s="92" t="s">
        <v>1288</v>
      </c>
      <c r="E622" s="93" t="s">
        <v>839</v>
      </c>
      <c r="F622" s="93">
        <v>0.0435232</v>
      </c>
      <c r="G622" s="93">
        <v>0.89</v>
      </c>
      <c r="H622" s="93">
        <v>0.038735648</v>
      </c>
      <c r="I622" s="93">
        <v>0.334693408</v>
      </c>
    </row>
    <row r="623" ht="25.5" spans="1:9">
      <c r="A623" s="90"/>
      <c r="B623" s="91" t="s">
        <v>1111</v>
      </c>
      <c r="C623" s="91" t="s">
        <v>1110</v>
      </c>
      <c r="D623" s="92" t="s">
        <v>1112</v>
      </c>
      <c r="E623" s="93" t="s">
        <v>839</v>
      </c>
      <c r="F623" s="93">
        <v>0.0435232</v>
      </c>
      <c r="G623" s="93">
        <v>1.39</v>
      </c>
      <c r="H623" s="93">
        <v>0.060497248</v>
      </c>
      <c r="I623" s="93">
        <v>0.334693408</v>
      </c>
    </row>
    <row r="624" spans="1:9">
      <c r="A624" s="90"/>
      <c r="B624" s="91" t="s">
        <v>1007</v>
      </c>
      <c r="C624" s="91" t="s">
        <v>1050</v>
      </c>
      <c r="D624" s="92" t="s">
        <v>1051</v>
      </c>
      <c r="E624" s="93" t="s">
        <v>839</v>
      </c>
      <c r="F624" s="93">
        <v>0.0870464</v>
      </c>
      <c r="G624" s="93">
        <v>1.43</v>
      </c>
      <c r="H624" s="93">
        <v>0.124476352</v>
      </c>
      <c r="I624" s="93">
        <v>0.669386816</v>
      </c>
    </row>
    <row r="625" ht="25.5" spans="1:9">
      <c r="A625" s="90"/>
      <c r="B625" s="91" t="s">
        <v>1111</v>
      </c>
      <c r="C625" s="91" t="s">
        <v>1707</v>
      </c>
      <c r="D625" s="92" t="s">
        <v>1708</v>
      </c>
      <c r="E625" s="93" t="s">
        <v>839</v>
      </c>
      <c r="F625" s="93">
        <v>0.0435232</v>
      </c>
      <c r="G625" s="93">
        <v>0.01</v>
      </c>
      <c r="H625" s="93">
        <v>0.000435232</v>
      </c>
      <c r="I625" s="93">
        <v>0.334693408</v>
      </c>
    </row>
    <row r="626" ht="25.5" spans="1:9">
      <c r="A626" s="90"/>
      <c r="B626" s="91" t="s">
        <v>1111</v>
      </c>
      <c r="C626" s="91" t="s">
        <v>1195</v>
      </c>
      <c r="D626" s="92" t="s">
        <v>1196</v>
      </c>
      <c r="E626" s="93" t="s">
        <v>839</v>
      </c>
      <c r="F626" s="93">
        <v>0.0435232</v>
      </c>
      <c r="G626" s="93">
        <v>0.61</v>
      </c>
      <c r="H626" s="93">
        <v>0.026549152</v>
      </c>
      <c r="I626" s="93">
        <v>0.334693408</v>
      </c>
    </row>
    <row r="627" spans="1:9">
      <c r="A627" s="90"/>
      <c r="B627" s="91" t="s">
        <v>985</v>
      </c>
      <c r="C627" s="91" t="s">
        <v>984</v>
      </c>
      <c r="D627" s="92" t="s">
        <v>986</v>
      </c>
      <c r="E627" s="93" t="s">
        <v>215</v>
      </c>
      <c r="F627" s="93">
        <v>0.262204266</v>
      </c>
      <c r="G627" s="93">
        <v>5.93</v>
      </c>
      <c r="H627" s="93">
        <v>1.55487129738</v>
      </c>
      <c r="I627" s="93">
        <v>2.01635080554</v>
      </c>
    </row>
    <row r="628" ht="51" spans="1:9">
      <c r="A628" s="85" t="s">
        <v>2272</v>
      </c>
      <c r="B628" s="85" t="s">
        <v>780</v>
      </c>
      <c r="C628" s="85" t="s">
        <v>2273</v>
      </c>
      <c r="D628" s="87" t="s">
        <v>781</v>
      </c>
      <c r="E628" s="89" t="s">
        <v>476</v>
      </c>
      <c r="F628" s="89">
        <v>394.74</v>
      </c>
      <c r="G628" s="89">
        <v>7.46</v>
      </c>
      <c r="H628" s="89">
        <v>2944.76</v>
      </c>
      <c r="I628" s="89">
        <v>394.74</v>
      </c>
    </row>
    <row r="629" ht="25.5" spans="1:9">
      <c r="A629" s="90"/>
      <c r="B629" s="91" t="s">
        <v>1080</v>
      </c>
      <c r="C629" s="91" t="s">
        <v>1079</v>
      </c>
      <c r="D629" s="92" t="s">
        <v>1081</v>
      </c>
      <c r="E629" s="93" t="s">
        <v>494</v>
      </c>
      <c r="F629" s="93">
        <v>1</v>
      </c>
      <c r="G629" s="93">
        <v>961801.77</v>
      </c>
      <c r="H629" s="93">
        <v>3.77216422813894</v>
      </c>
      <c r="I629" s="93">
        <v>394.74</v>
      </c>
    </row>
    <row r="630" spans="1:9">
      <c r="A630" s="90"/>
      <c r="B630" s="91" t="s">
        <v>1007</v>
      </c>
      <c r="C630" s="91" t="s">
        <v>1048</v>
      </c>
      <c r="D630" s="92" t="s">
        <v>1049</v>
      </c>
      <c r="E630" s="93" t="s">
        <v>839</v>
      </c>
      <c r="F630" s="93">
        <v>1</v>
      </c>
      <c r="G630" s="93">
        <v>1.5</v>
      </c>
      <c r="H630" s="93">
        <v>0.1070055</v>
      </c>
      <c r="I630" s="93">
        <v>394.74</v>
      </c>
    </row>
    <row r="631" spans="1:9">
      <c r="A631" s="90"/>
      <c r="B631" s="91" t="s">
        <v>1007</v>
      </c>
      <c r="C631" s="91" t="s">
        <v>1006</v>
      </c>
      <c r="D631" s="92" t="s">
        <v>1008</v>
      </c>
      <c r="E631" s="93" t="s">
        <v>839</v>
      </c>
      <c r="F631" s="93">
        <v>0.071337</v>
      </c>
      <c r="G631" s="93">
        <v>3.95</v>
      </c>
      <c r="H631" s="93">
        <v>0.28178115</v>
      </c>
      <c r="I631" s="93">
        <v>28.15956738</v>
      </c>
    </row>
    <row r="632" spans="1:9">
      <c r="A632" s="90"/>
      <c r="B632" s="91" t="s">
        <v>1108</v>
      </c>
      <c r="C632" s="91" t="s">
        <v>1107</v>
      </c>
      <c r="D632" s="92" t="s">
        <v>1109</v>
      </c>
      <c r="E632" s="93" t="s">
        <v>839</v>
      </c>
      <c r="F632" s="93">
        <v>0.03608011449</v>
      </c>
      <c r="G632" s="93">
        <v>21.83</v>
      </c>
      <c r="H632" s="93">
        <v>0.7876288993167</v>
      </c>
      <c r="I632" s="93">
        <v>14.2422643937826</v>
      </c>
    </row>
    <row r="633" spans="1:9">
      <c r="A633" s="90"/>
      <c r="B633" s="91" t="s">
        <v>1007</v>
      </c>
      <c r="C633" s="91" t="s">
        <v>1378</v>
      </c>
      <c r="D633" s="92" t="s">
        <v>1379</v>
      </c>
      <c r="E633" s="93" t="s">
        <v>839</v>
      </c>
      <c r="F633" s="93">
        <v>0.071337</v>
      </c>
      <c r="G633" s="93">
        <v>0.08</v>
      </c>
      <c r="H633" s="93">
        <v>0.00570696</v>
      </c>
      <c r="I633" s="93">
        <v>28.15956738</v>
      </c>
    </row>
    <row r="634" spans="1:9">
      <c r="A634" s="90"/>
      <c r="B634" s="91" t="s">
        <v>1020</v>
      </c>
      <c r="C634" s="91" t="s">
        <v>1019</v>
      </c>
      <c r="D634" s="92" t="s">
        <v>1021</v>
      </c>
      <c r="E634" s="93" t="s">
        <v>839</v>
      </c>
      <c r="F634" s="93">
        <v>0.0364246722</v>
      </c>
      <c r="G634" s="93">
        <v>14.49</v>
      </c>
      <c r="H634" s="93">
        <v>0.527793500178</v>
      </c>
      <c r="I634" s="93">
        <v>14.378275104228</v>
      </c>
    </row>
    <row r="635" ht="25.5" spans="1:9">
      <c r="A635" s="90"/>
      <c r="B635" s="91" t="s">
        <v>1111</v>
      </c>
      <c r="C635" s="91" t="s">
        <v>1287</v>
      </c>
      <c r="D635" s="92" t="s">
        <v>1288</v>
      </c>
      <c r="E635" s="93" t="s">
        <v>839</v>
      </c>
      <c r="F635" s="93">
        <v>0.0356685</v>
      </c>
      <c r="G635" s="93">
        <v>0.89</v>
      </c>
      <c r="H635" s="93">
        <v>0.031744965</v>
      </c>
      <c r="I635" s="93">
        <v>14.07978369</v>
      </c>
    </row>
    <row r="636" ht="25.5" spans="1:9">
      <c r="A636" s="90"/>
      <c r="B636" s="91" t="s">
        <v>1111</v>
      </c>
      <c r="C636" s="91" t="s">
        <v>1110</v>
      </c>
      <c r="D636" s="92" t="s">
        <v>1112</v>
      </c>
      <c r="E636" s="93" t="s">
        <v>839</v>
      </c>
      <c r="F636" s="93">
        <v>0.0356685</v>
      </c>
      <c r="G636" s="93">
        <v>1.39</v>
      </c>
      <c r="H636" s="93">
        <v>0.049579215</v>
      </c>
      <c r="I636" s="93">
        <v>14.07978369</v>
      </c>
    </row>
    <row r="637" spans="1:9">
      <c r="A637" s="90"/>
      <c r="B637" s="91" t="s">
        <v>1007</v>
      </c>
      <c r="C637" s="91" t="s">
        <v>1050</v>
      </c>
      <c r="D637" s="92" t="s">
        <v>1051</v>
      </c>
      <c r="E637" s="93" t="s">
        <v>839</v>
      </c>
      <c r="F637" s="93">
        <v>0.071337</v>
      </c>
      <c r="G637" s="93">
        <v>1.43</v>
      </c>
      <c r="H637" s="93">
        <v>0.10201191</v>
      </c>
      <c r="I637" s="93">
        <v>28.15956738</v>
      </c>
    </row>
    <row r="638" ht="25.5" spans="1:9">
      <c r="A638" s="90"/>
      <c r="B638" s="91" t="s">
        <v>1111</v>
      </c>
      <c r="C638" s="91" t="s">
        <v>1707</v>
      </c>
      <c r="D638" s="92" t="s">
        <v>1708</v>
      </c>
      <c r="E638" s="93" t="s">
        <v>839</v>
      </c>
      <c r="F638" s="93">
        <v>0.0356685</v>
      </c>
      <c r="G638" s="93">
        <v>0.01</v>
      </c>
      <c r="H638" s="93">
        <v>0.000356685</v>
      </c>
      <c r="I638" s="93">
        <v>14.07978369</v>
      </c>
    </row>
    <row r="639" ht="25.5" spans="1:9">
      <c r="A639" s="90"/>
      <c r="B639" s="91" t="s">
        <v>1111</v>
      </c>
      <c r="C639" s="91" t="s">
        <v>1195</v>
      </c>
      <c r="D639" s="92" t="s">
        <v>1196</v>
      </c>
      <c r="E639" s="93" t="s">
        <v>839</v>
      </c>
      <c r="F639" s="93">
        <v>0.0356685</v>
      </c>
      <c r="G639" s="93">
        <v>0.61</v>
      </c>
      <c r="H639" s="93">
        <v>0.021757785</v>
      </c>
      <c r="I639" s="93">
        <v>14.07978369</v>
      </c>
    </row>
    <row r="640" spans="1:9">
      <c r="A640" s="90"/>
      <c r="B640" s="91" t="s">
        <v>985</v>
      </c>
      <c r="C640" s="91" t="s">
        <v>984</v>
      </c>
      <c r="D640" s="92" t="s">
        <v>986</v>
      </c>
      <c r="E640" s="93" t="s">
        <v>215</v>
      </c>
      <c r="F640" s="93">
        <v>0.299880063</v>
      </c>
      <c r="G640" s="93">
        <v>5.93</v>
      </c>
      <c r="H640" s="93">
        <v>1.77828877359</v>
      </c>
      <c r="I640" s="93">
        <v>118.37465606862</v>
      </c>
    </row>
    <row r="641" ht="51" spans="1:9">
      <c r="A641" s="85" t="s">
        <v>2274</v>
      </c>
      <c r="B641" s="85" t="s">
        <v>782</v>
      </c>
      <c r="C641" s="85" t="s">
        <v>2275</v>
      </c>
      <c r="D641" s="87" t="s">
        <v>783</v>
      </c>
      <c r="E641" s="89" t="s">
        <v>476</v>
      </c>
      <c r="F641" s="89">
        <v>4139.35</v>
      </c>
      <c r="G641" s="89">
        <v>5.7</v>
      </c>
      <c r="H641" s="89">
        <v>23594.29</v>
      </c>
      <c r="I641" s="89">
        <v>4139.35</v>
      </c>
    </row>
    <row r="642" ht="25.5" spans="1:9">
      <c r="A642" s="90"/>
      <c r="B642" s="91" t="s">
        <v>1080</v>
      </c>
      <c r="C642" s="91" t="s">
        <v>1079</v>
      </c>
      <c r="D642" s="92" t="s">
        <v>1081</v>
      </c>
      <c r="E642" s="93" t="s">
        <v>494</v>
      </c>
      <c r="F642" s="93">
        <v>1</v>
      </c>
      <c r="G642" s="93">
        <v>961801.77</v>
      </c>
      <c r="H642" s="93">
        <v>2.88345004394573</v>
      </c>
      <c r="I642" s="93">
        <v>4139.35</v>
      </c>
    </row>
    <row r="643" spans="1:9">
      <c r="A643" s="90"/>
      <c r="B643" s="91" t="s">
        <v>1007</v>
      </c>
      <c r="C643" s="91" t="s">
        <v>1048</v>
      </c>
      <c r="D643" s="92" t="s">
        <v>1049</v>
      </c>
      <c r="E643" s="93" t="s">
        <v>839</v>
      </c>
      <c r="F643" s="93">
        <v>1</v>
      </c>
      <c r="G643" s="93">
        <v>1.5</v>
      </c>
      <c r="H643" s="93">
        <v>0.0817953</v>
      </c>
      <c r="I643" s="93">
        <v>4139.35</v>
      </c>
    </row>
    <row r="644" spans="1:9">
      <c r="A644" s="90"/>
      <c r="B644" s="91" t="s">
        <v>1007</v>
      </c>
      <c r="C644" s="91" t="s">
        <v>1006</v>
      </c>
      <c r="D644" s="92" t="s">
        <v>1008</v>
      </c>
      <c r="E644" s="93" t="s">
        <v>839</v>
      </c>
      <c r="F644" s="93">
        <v>0.0545302</v>
      </c>
      <c r="G644" s="93">
        <v>3.95</v>
      </c>
      <c r="H644" s="93">
        <v>0.21539429</v>
      </c>
      <c r="I644" s="93">
        <v>225.71958337</v>
      </c>
    </row>
    <row r="645" spans="1:9">
      <c r="A645" s="90"/>
      <c r="B645" s="91" t="s">
        <v>1108</v>
      </c>
      <c r="C645" s="91" t="s">
        <v>1107</v>
      </c>
      <c r="D645" s="92" t="s">
        <v>1109</v>
      </c>
      <c r="E645" s="93" t="s">
        <v>839</v>
      </c>
      <c r="F645" s="93">
        <v>0.027579739254</v>
      </c>
      <c r="G645" s="93">
        <v>21.83</v>
      </c>
      <c r="H645" s="93">
        <v>0.60206570791482</v>
      </c>
      <c r="I645" s="93">
        <v>114.162193681045</v>
      </c>
    </row>
    <row r="646" spans="1:9">
      <c r="A646" s="90"/>
      <c r="B646" s="91" t="s">
        <v>1007</v>
      </c>
      <c r="C646" s="91" t="s">
        <v>1378</v>
      </c>
      <c r="D646" s="92" t="s">
        <v>1379</v>
      </c>
      <c r="E646" s="93" t="s">
        <v>839</v>
      </c>
      <c r="F646" s="93">
        <v>0.0545302</v>
      </c>
      <c r="G646" s="93">
        <v>0.08</v>
      </c>
      <c r="H646" s="93">
        <v>0.004362416</v>
      </c>
      <c r="I646" s="93">
        <v>225.71958337</v>
      </c>
    </row>
    <row r="647" spans="1:9">
      <c r="A647" s="90"/>
      <c r="B647" s="91" t="s">
        <v>1020</v>
      </c>
      <c r="C647" s="91" t="s">
        <v>1019</v>
      </c>
      <c r="D647" s="92" t="s">
        <v>1021</v>
      </c>
      <c r="E647" s="93" t="s">
        <v>839</v>
      </c>
      <c r="F647" s="93">
        <v>0.02784312012</v>
      </c>
      <c r="G647" s="93">
        <v>14.49</v>
      </c>
      <c r="H647" s="93">
        <v>0.4034468105388</v>
      </c>
      <c r="I647" s="93">
        <v>115.252419268722</v>
      </c>
    </row>
    <row r="648" ht="25.5" spans="1:9">
      <c r="A648" s="90"/>
      <c r="B648" s="91" t="s">
        <v>1111</v>
      </c>
      <c r="C648" s="91" t="s">
        <v>1287</v>
      </c>
      <c r="D648" s="92" t="s">
        <v>1288</v>
      </c>
      <c r="E648" s="93" t="s">
        <v>839</v>
      </c>
      <c r="F648" s="93">
        <v>0.0272651</v>
      </c>
      <c r="G648" s="93">
        <v>0.89</v>
      </c>
      <c r="H648" s="93">
        <v>0.024265939</v>
      </c>
      <c r="I648" s="93">
        <v>112.859791685</v>
      </c>
    </row>
    <row r="649" ht="25.5" spans="1:9">
      <c r="A649" s="90"/>
      <c r="B649" s="91" t="s">
        <v>1111</v>
      </c>
      <c r="C649" s="91" t="s">
        <v>1110</v>
      </c>
      <c r="D649" s="92" t="s">
        <v>1112</v>
      </c>
      <c r="E649" s="93" t="s">
        <v>839</v>
      </c>
      <c r="F649" s="93">
        <v>0.0272651</v>
      </c>
      <c r="G649" s="93">
        <v>1.39</v>
      </c>
      <c r="H649" s="93">
        <v>0.037898489</v>
      </c>
      <c r="I649" s="93">
        <v>112.859791685</v>
      </c>
    </row>
    <row r="650" spans="1:9">
      <c r="A650" s="90"/>
      <c r="B650" s="91" t="s">
        <v>1007</v>
      </c>
      <c r="C650" s="91" t="s">
        <v>1050</v>
      </c>
      <c r="D650" s="92" t="s">
        <v>1051</v>
      </c>
      <c r="E650" s="93" t="s">
        <v>839</v>
      </c>
      <c r="F650" s="93">
        <v>0.0545302</v>
      </c>
      <c r="G650" s="93">
        <v>1.43</v>
      </c>
      <c r="H650" s="93">
        <v>0.077978186</v>
      </c>
      <c r="I650" s="93">
        <v>225.71958337</v>
      </c>
    </row>
    <row r="651" ht="25.5" spans="1:9">
      <c r="A651" s="90"/>
      <c r="B651" s="91" t="s">
        <v>1111</v>
      </c>
      <c r="C651" s="91" t="s">
        <v>1707</v>
      </c>
      <c r="D651" s="92" t="s">
        <v>1708</v>
      </c>
      <c r="E651" s="93" t="s">
        <v>839</v>
      </c>
      <c r="F651" s="93">
        <v>0.0272651</v>
      </c>
      <c r="G651" s="93">
        <v>0.01</v>
      </c>
      <c r="H651" s="93">
        <v>0.000272651</v>
      </c>
      <c r="I651" s="93">
        <v>112.859791685</v>
      </c>
    </row>
    <row r="652" ht="25.5" spans="1:9">
      <c r="A652" s="90"/>
      <c r="B652" s="91" t="s">
        <v>1111</v>
      </c>
      <c r="C652" s="91" t="s">
        <v>1195</v>
      </c>
      <c r="D652" s="92" t="s">
        <v>1196</v>
      </c>
      <c r="E652" s="93" t="s">
        <v>839</v>
      </c>
      <c r="F652" s="93">
        <v>0.0272651</v>
      </c>
      <c r="G652" s="93">
        <v>0.61</v>
      </c>
      <c r="H652" s="93">
        <v>0.016631711</v>
      </c>
      <c r="I652" s="93">
        <v>112.859791685</v>
      </c>
    </row>
    <row r="653" spans="1:9">
      <c r="A653" s="90"/>
      <c r="B653" s="91" t="s">
        <v>985</v>
      </c>
      <c r="C653" s="91" t="s">
        <v>984</v>
      </c>
      <c r="D653" s="92" t="s">
        <v>986</v>
      </c>
      <c r="E653" s="93" t="s">
        <v>215</v>
      </c>
      <c r="F653" s="93">
        <v>0.229228542</v>
      </c>
      <c r="G653" s="93">
        <v>5.93</v>
      </c>
      <c r="H653" s="93">
        <v>1.35932525406</v>
      </c>
      <c r="I653" s="93">
        <v>948.8571653277</v>
      </c>
    </row>
    <row r="654" ht="51" spans="1:9">
      <c r="A654" s="85" t="s">
        <v>2276</v>
      </c>
      <c r="B654" s="85" t="s">
        <v>784</v>
      </c>
      <c r="C654" s="85" t="s">
        <v>2277</v>
      </c>
      <c r="D654" s="87" t="s">
        <v>785</v>
      </c>
      <c r="E654" s="89" t="s">
        <v>476</v>
      </c>
      <c r="F654" s="89">
        <v>822.53</v>
      </c>
      <c r="G654" s="89">
        <v>7.13</v>
      </c>
      <c r="H654" s="89">
        <v>5864.63</v>
      </c>
      <c r="I654" s="89">
        <v>822.53</v>
      </c>
    </row>
    <row r="655" ht="25.5" spans="1:9">
      <c r="A655" s="90"/>
      <c r="B655" s="91" t="s">
        <v>1080</v>
      </c>
      <c r="C655" s="91" t="s">
        <v>1079</v>
      </c>
      <c r="D655" s="92" t="s">
        <v>1081</v>
      </c>
      <c r="E655" s="93" t="s">
        <v>494</v>
      </c>
      <c r="F655" s="93">
        <v>1</v>
      </c>
      <c r="G655" s="93">
        <v>961801.77</v>
      </c>
      <c r="H655" s="93">
        <v>3.60431762362749</v>
      </c>
      <c r="I655" s="93">
        <v>822.53</v>
      </c>
    </row>
    <row r="656" spans="1:9">
      <c r="A656" s="90"/>
      <c r="B656" s="91" t="s">
        <v>1007</v>
      </c>
      <c r="C656" s="91" t="s">
        <v>1048</v>
      </c>
      <c r="D656" s="92" t="s">
        <v>1049</v>
      </c>
      <c r="E656" s="93" t="s">
        <v>839</v>
      </c>
      <c r="F656" s="93">
        <v>1</v>
      </c>
      <c r="G656" s="93">
        <v>1.5</v>
      </c>
      <c r="H656" s="93">
        <v>0.1022442</v>
      </c>
      <c r="I656" s="93">
        <v>822.53</v>
      </c>
    </row>
    <row r="657" spans="1:9">
      <c r="A657" s="90"/>
      <c r="B657" s="91" t="s">
        <v>1007</v>
      </c>
      <c r="C657" s="91" t="s">
        <v>1006</v>
      </c>
      <c r="D657" s="92" t="s">
        <v>1008</v>
      </c>
      <c r="E657" s="93" t="s">
        <v>839</v>
      </c>
      <c r="F657" s="93">
        <v>0.0681628</v>
      </c>
      <c r="G657" s="93">
        <v>3.95</v>
      </c>
      <c r="H657" s="93">
        <v>0.26924306</v>
      </c>
      <c r="I657" s="93">
        <v>56.065947884</v>
      </c>
    </row>
    <row r="658" spans="1:9">
      <c r="A658" s="90"/>
      <c r="B658" s="91" t="s">
        <v>1108</v>
      </c>
      <c r="C658" s="91" t="s">
        <v>1107</v>
      </c>
      <c r="D658" s="92" t="s">
        <v>1109</v>
      </c>
      <c r="E658" s="93" t="s">
        <v>839</v>
      </c>
      <c r="F658" s="93">
        <v>0.034474699356</v>
      </c>
      <c r="G658" s="93">
        <v>21.83</v>
      </c>
      <c r="H658" s="93">
        <v>0.75258268694148</v>
      </c>
      <c r="I658" s="93">
        <v>28.3564744612907</v>
      </c>
    </row>
    <row r="659" spans="1:9">
      <c r="A659" s="90"/>
      <c r="B659" s="91" t="s">
        <v>1007</v>
      </c>
      <c r="C659" s="91" t="s">
        <v>1378</v>
      </c>
      <c r="D659" s="92" t="s">
        <v>1379</v>
      </c>
      <c r="E659" s="93" t="s">
        <v>839</v>
      </c>
      <c r="F659" s="93">
        <v>0.0681628</v>
      </c>
      <c r="G659" s="93">
        <v>0.08</v>
      </c>
      <c r="H659" s="93">
        <v>0.005453024</v>
      </c>
      <c r="I659" s="93">
        <v>56.065947884</v>
      </c>
    </row>
    <row r="660" spans="1:9">
      <c r="A660" s="90"/>
      <c r="B660" s="91" t="s">
        <v>1020</v>
      </c>
      <c r="C660" s="91" t="s">
        <v>1019</v>
      </c>
      <c r="D660" s="92" t="s">
        <v>1021</v>
      </c>
      <c r="E660" s="93" t="s">
        <v>839</v>
      </c>
      <c r="F660" s="93">
        <v>0.03480392568</v>
      </c>
      <c r="G660" s="93">
        <v>14.49</v>
      </c>
      <c r="H660" s="93">
        <v>0.5043088831032</v>
      </c>
      <c r="I660" s="93">
        <v>28.6272729895704</v>
      </c>
    </row>
    <row r="661" ht="25.5" spans="1:9">
      <c r="A661" s="90"/>
      <c r="B661" s="91" t="s">
        <v>1111</v>
      </c>
      <c r="C661" s="91" t="s">
        <v>1287</v>
      </c>
      <c r="D661" s="92" t="s">
        <v>1288</v>
      </c>
      <c r="E661" s="93" t="s">
        <v>839</v>
      </c>
      <c r="F661" s="93">
        <v>0.0340814</v>
      </c>
      <c r="G661" s="93">
        <v>0.89</v>
      </c>
      <c r="H661" s="93">
        <v>0.030332446</v>
      </c>
      <c r="I661" s="93">
        <v>28.032973942</v>
      </c>
    </row>
    <row r="662" ht="25.5" spans="1:9">
      <c r="A662" s="90"/>
      <c r="B662" s="91" t="s">
        <v>1111</v>
      </c>
      <c r="C662" s="91" t="s">
        <v>1110</v>
      </c>
      <c r="D662" s="92" t="s">
        <v>1112</v>
      </c>
      <c r="E662" s="93" t="s">
        <v>839</v>
      </c>
      <c r="F662" s="93">
        <v>0.0340814</v>
      </c>
      <c r="G662" s="93">
        <v>1.39</v>
      </c>
      <c r="H662" s="93">
        <v>0.047373146</v>
      </c>
      <c r="I662" s="93">
        <v>28.032973942</v>
      </c>
    </row>
    <row r="663" spans="1:9">
      <c r="A663" s="90"/>
      <c r="B663" s="91" t="s">
        <v>1007</v>
      </c>
      <c r="C663" s="91" t="s">
        <v>1050</v>
      </c>
      <c r="D663" s="92" t="s">
        <v>1051</v>
      </c>
      <c r="E663" s="93" t="s">
        <v>839</v>
      </c>
      <c r="F663" s="93">
        <v>0.0681628</v>
      </c>
      <c r="G663" s="93">
        <v>1.43</v>
      </c>
      <c r="H663" s="93">
        <v>0.097472804</v>
      </c>
      <c r="I663" s="93">
        <v>56.065947884</v>
      </c>
    </row>
    <row r="664" ht="25.5" spans="1:9">
      <c r="A664" s="90"/>
      <c r="B664" s="91" t="s">
        <v>1111</v>
      </c>
      <c r="C664" s="91" t="s">
        <v>1707</v>
      </c>
      <c r="D664" s="92" t="s">
        <v>1708</v>
      </c>
      <c r="E664" s="93" t="s">
        <v>839</v>
      </c>
      <c r="F664" s="93">
        <v>0.0340814</v>
      </c>
      <c r="G664" s="93">
        <v>0.01</v>
      </c>
      <c r="H664" s="93">
        <v>0.000340814</v>
      </c>
      <c r="I664" s="93">
        <v>28.032973942</v>
      </c>
    </row>
    <row r="665" ht="25.5" spans="1:9">
      <c r="A665" s="90"/>
      <c r="B665" s="91" t="s">
        <v>1111</v>
      </c>
      <c r="C665" s="91" t="s">
        <v>1195</v>
      </c>
      <c r="D665" s="92" t="s">
        <v>1196</v>
      </c>
      <c r="E665" s="93" t="s">
        <v>839</v>
      </c>
      <c r="F665" s="93">
        <v>0.0340814</v>
      </c>
      <c r="G665" s="93">
        <v>0.61</v>
      </c>
      <c r="H665" s="93">
        <v>0.020789654</v>
      </c>
      <c r="I665" s="93">
        <v>28.032973942</v>
      </c>
    </row>
    <row r="666" spans="1:9">
      <c r="A666" s="90"/>
      <c r="B666" s="91" t="s">
        <v>985</v>
      </c>
      <c r="C666" s="91" t="s">
        <v>984</v>
      </c>
      <c r="D666" s="92" t="s">
        <v>986</v>
      </c>
      <c r="E666" s="93" t="s">
        <v>215</v>
      </c>
      <c r="F666" s="93">
        <v>0.286536429</v>
      </c>
      <c r="G666" s="93">
        <v>5.93</v>
      </c>
      <c r="H666" s="93">
        <v>1.69916102397</v>
      </c>
      <c r="I666" s="93">
        <v>235.68480894537</v>
      </c>
    </row>
    <row r="667" ht="51" spans="1:9">
      <c r="A667" s="85" t="s">
        <v>2278</v>
      </c>
      <c r="B667" s="85" t="s">
        <v>786</v>
      </c>
      <c r="C667" s="85" t="s">
        <v>2279</v>
      </c>
      <c r="D667" s="87" t="s">
        <v>787</v>
      </c>
      <c r="E667" s="89" t="s">
        <v>476</v>
      </c>
      <c r="F667" s="89">
        <v>285.82</v>
      </c>
      <c r="G667" s="89">
        <v>5.48</v>
      </c>
      <c r="H667" s="89">
        <v>1566.29</v>
      </c>
      <c r="I667" s="89">
        <v>285.82</v>
      </c>
    </row>
    <row r="668" ht="25.5" spans="1:9">
      <c r="A668" s="90"/>
      <c r="B668" s="91" t="s">
        <v>1080</v>
      </c>
      <c r="C668" s="91" t="s">
        <v>1079</v>
      </c>
      <c r="D668" s="92" t="s">
        <v>1081</v>
      </c>
      <c r="E668" s="93" t="s">
        <v>494</v>
      </c>
      <c r="F668" s="93">
        <v>1</v>
      </c>
      <c r="G668" s="93">
        <v>961801.77</v>
      </c>
      <c r="H668" s="93">
        <v>2.77280921580585</v>
      </c>
      <c r="I668" s="93">
        <v>285.82</v>
      </c>
    </row>
    <row r="669" spans="1:9">
      <c r="A669" s="90"/>
      <c r="B669" s="91" t="s">
        <v>1007</v>
      </c>
      <c r="C669" s="91" t="s">
        <v>1048</v>
      </c>
      <c r="D669" s="92" t="s">
        <v>1049</v>
      </c>
      <c r="E669" s="93" t="s">
        <v>839</v>
      </c>
      <c r="F669" s="93">
        <v>1</v>
      </c>
      <c r="G669" s="93">
        <v>1.5</v>
      </c>
      <c r="H669" s="93">
        <v>0.0786567</v>
      </c>
      <c r="I669" s="93">
        <v>285.82</v>
      </c>
    </row>
    <row r="670" spans="1:9">
      <c r="A670" s="90"/>
      <c r="B670" s="91" t="s">
        <v>1007</v>
      </c>
      <c r="C670" s="91" t="s">
        <v>1006</v>
      </c>
      <c r="D670" s="92" t="s">
        <v>1008</v>
      </c>
      <c r="E670" s="93" t="s">
        <v>839</v>
      </c>
      <c r="F670" s="93">
        <v>0.0524378</v>
      </c>
      <c r="G670" s="93">
        <v>3.95</v>
      </c>
      <c r="H670" s="93">
        <v>0.20712931</v>
      </c>
      <c r="I670" s="93">
        <v>14.987771996</v>
      </c>
    </row>
    <row r="671" spans="1:9">
      <c r="A671" s="90"/>
      <c r="B671" s="91" t="s">
        <v>1108</v>
      </c>
      <c r="C671" s="91" t="s">
        <v>1107</v>
      </c>
      <c r="D671" s="92" t="s">
        <v>1109</v>
      </c>
      <c r="E671" s="93" t="s">
        <v>839</v>
      </c>
      <c r="F671" s="93">
        <v>0.026521466106</v>
      </c>
      <c r="G671" s="93">
        <v>21.83</v>
      </c>
      <c r="H671" s="93">
        <v>0.57896360509398</v>
      </c>
      <c r="I671" s="93">
        <v>7.58036544241692</v>
      </c>
    </row>
    <row r="672" spans="1:9">
      <c r="A672" s="90"/>
      <c r="B672" s="91" t="s">
        <v>1007</v>
      </c>
      <c r="C672" s="91" t="s">
        <v>1378</v>
      </c>
      <c r="D672" s="92" t="s">
        <v>1379</v>
      </c>
      <c r="E672" s="93" t="s">
        <v>839</v>
      </c>
      <c r="F672" s="93">
        <v>0.0524378</v>
      </c>
      <c r="G672" s="93">
        <v>0.08</v>
      </c>
      <c r="H672" s="93">
        <v>0.004195024</v>
      </c>
      <c r="I672" s="93">
        <v>14.987771996</v>
      </c>
    </row>
    <row r="673" spans="1:9">
      <c r="A673" s="90"/>
      <c r="B673" s="91" t="s">
        <v>1020</v>
      </c>
      <c r="C673" s="91" t="s">
        <v>1019</v>
      </c>
      <c r="D673" s="92" t="s">
        <v>1021</v>
      </c>
      <c r="E673" s="93" t="s">
        <v>839</v>
      </c>
      <c r="F673" s="93">
        <v>0.02677474068</v>
      </c>
      <c r="G673" s="93">
        <v>14.49</v>
      </c>
      <c r="H673" s="93">
        <v>0.3879659924532</v>
      </c>
      <c r="I673" s="93">
        <v>7.6527563811576</v>
      </c>
    </row>
    <row r="674" ht="25.5" spans="1:9">
      <c r="A674" s="90"/>
      <c r="B674" s="91" t="s">
        <v>1111</v>
      </c>
      <c r="C674" s="91" t="s">
        <v>1287</v>
      </c>
      <c r="D674" s="92" t="s">
        <v>1288</v>
      </c>
      <c r="E674" s="93" t="s">
        <v>839</v>
      </c>
      <c r="F674" s="93">
        <v>0.0262189</v>
      </c>
      <c r="G674" s="93">
        <v>0.89</v>
      </c>
      <c r="H674" s="93">
        <v>0.023334821</v>
      </c>
      <c r="I674" s="93">
        <v>7.493885998</v>
      </c>
    </row>
    <row r="675" ht="25.5" spans="1:9">
      <c r="A675" s="90"/>
      <c r="B675" s="91" t="s">
        <v>1111</v>
      </c>
      <c r="C675" s="91" t="s">
        <v>1110</v>
      </c>
      <c r="D675" s="92" t="s">
        <v>1112</v>
      </c>
      <c r="E675" s="93" t="s">
        <v>839</v>
      </c>
      <c r="F675" s="93">
        <v>0.0262189</v>
      </c>
      <c r="G675" s="93">
        <v>1.39</v>
      </c>
      <c r="H675" s="93">
        <v>0.036444271</v>
      </c>
      <c r="I675" s="93">
        <v>7.493885998</v>
      </c>
    </row>
    <row r="676" spans="1:9">
      <c r="A676" s="90"/>
      <c r="B676" s="91" t="s">
        <v>1007</v>
      </c>
      <c r="C676" s="91" t="s">
        <v>1050</v>
      </c>
      <c r="D676" s="92" t="s">
        <v>1051</v>
      </c>
      <c r="E676" s="93" t="s">
        <v>839</v>
      </c>
      <c r="F676" s="93">
        <v>0.0524378</v>
      </c>
      <c r="G676" s="93">
        <v>1.43</v>
      </c>
      <c r="H676" s="93">
        <v>0.074986054</v>
      </c>
      <c r="I676" s="93">
        <v>14.987771996</v>
      </c>
    </row>
    <row r="677" ht="25.5" spans="1:9">
      <c r="A677" s="90"/>
      <c r="B677" s="91" t="s">
        <v>1111</v>
      </c>
      <c r="C677" s="91" t="s">
        <v>1707</v>
      </c>
      <c r="D677" s="92" t="s">
        <v>1708</v>
      </c>
      <c r="E677" s="93" t="s">
        <v>839</v>
      </c>
      <c r="F677" s="93">
        <v>0.0262189</v>
      </c>
      <c r="G677" s="93">
        <v>0.01</v>
      </c>
      <c r="H677" s="93">
        <v>0.000262189</v>
      </c>
      <c r="I677" s="93">
        <v>7.493885998</v>
      </c>
    </row>
    <row r="678" ht="25.5" spans="1:9">
      <c r="A678" s="90"/>
      <c r="B678" s="91" t="s">
        <v>1111</v>
      </c>
      <c r="C678" s="91" t="s">
        <v>1195</v>
      </c>
      <c r="D678" s="92" t="s">
        <v>1196</v>
      </c>
      <c r="E678" s="93" t="s">
        <v>839</v>
      </c>
      <c r="F678" s="93">
        <v>0.0262189</v>
      </c>
      <c r="G678" s="93">
        <v>0.61</v>
      </c>
      <c r="H678" s="93">
        <v>0.015993529</v>
      </c>
      <c r="I678" s="93">
        <v>7.493885998</v>
      </c>
    </row>
    <row r="679" spans="1:9">
      <c r="A679" s="90"/>
      <c r="B679" s="91" t="s">
        <v>985</v>
      </c>
      <c r="C679" s="91" t="s">
        <v>984</v>
      </c>
      <c r="D679" s="92" t="s">
        <v>986</v>
      </c>
      <c r="E679" s="93" t="s">
        <v>215</v>
      </c>
      <c r="F679" s="93">
        <v>0.220432986</v>
      </c>
      <c r="G679" s="93">
        <v>5.93</v>
      </c>
      <c r="H679" s="93">
        <v>1.30716760698</v>
      </c>
      <c r="I679" s="93">
        <v>63.00415605852</v>
      </c>
    </row>
    <row r="680" ht="51" spans="1:9">
      <c r="A680" s="85" t="s">
        <v>2280</v>
      </c>
      <c r="B680" s="85" t="s">
        <v>788</v>
      </c>
      <c r="C680" s="85" t="s">
        <v>2281</v>
      </c>
      <c r="D680" s="87" t="s">
        <v>789</v>
      </c>
      <c r="E680" s="89" t="s">
        <v>476</v>
      </c>
      <c r="F680" s="89">
        <v>82.48</v>
      </c>
      <c r="G680" s="89">
        <v>6.85</v>
      </c>
      <c r="H680" s="89">
        <v>564.98</v>
      </c>
      <c r="I680" s="89">
        <v>82.48</v>
      </c>
    </row>
    <row r="681" ht="25.5" spans="1:9">
      <c r="A681" s="90"/>
      <c r="B681" s="91" t="s">
        <v>1080</v>
      </c>
      <c r="C681" s="91" t="s">
        <v>1079</v>
      </c>
      <c r="D681" s="92" t="s">
        <v>1081</v>
      </c>
      <c r="E681" s="93" t="s">
        <v>494</v>
      </c>
      <c r="F681" s="93">
        <v>1</v>
      </c>
      <c r="G681" s="93">
        <v>961801.77</v>
      </c>
      <c r="H681" s="93">
        <v>3.46600645106199</v>
      </c>
      <c r="I681" s="93">
        <v>82.48</v>
      </c>
    </row>
    <row r="682" spans="1:9">
      <c r="A682" s="90"/>
      <c r="B682" s="91" t="s">
        <v>1007</v>
      </c>
      <c r="C682" s="91" t="s">
        <v>1048</v>
      </c>
      <c r="D682" s="92" t="s">
        <v>1049</v>
      </c>
      <c r="E682" s="93" t="s">
        <v>839</v>
      </c>
      <c r="F682" s="93">
        <v>1</v>
      </c>
      <c r="G682" s="93">
        <v>1.5</v>
      </c>
      <c r="H682" s="93">
        <v>0.0983208</v>
      </c>
      <c r="I682" s="93">
        <v>82.48</v>
      </c>
    </row>
    <row r="683" spans="1:9">
      <c r="A683" s="90"/>
      <c r="B683" s="91" t="s">
        <v>1007</v>
      </c>
      <c r="C683" s="91" t="s">
        <v>1006</v>
      </c>
      <c r="D683" s="92" t="s">
        <v>1008</v>
      </c>
      <c r="E683" s="93" t="s">
        <v>839</v>
      </c>
      <c r="F683" s="93">
        <v>0.0655472</v>
      </c>
      <c r="G683" s="93">
        <v>3.95</v>
      </c>
      <c r="H683" s="93">
        <v>0.25891144</v>
      </c>
      <c r="I683" s="93">
        <v>5.406333056</v>
      </c>
    </row>
    <row r="684" spans="1:9">
      <c r="A684" s="90"/>
      <c r="B684" s="91" t="s">
        <v>1108</v>
      </c>
      <c r="C684" s="91" t="s">
        <v>1107</v>
      </c>
      <c r="D684" s="92" t="s">
        <v>1109</v>
      </c>
      <c r="E684" s="93" t="s">
        <v>839</v>
      </c>
      <c r="F684" s="93">
        <v>0.033151807344</v>
      </c>
      <c r="G684" s="93">
        <v>21.83</v>
      </c>
      <c r="H684" s="93">
        <v>0.72370395431952</v>
      </c>
      <c r="I684" s="93">
        <v>2.73436106973312</v>
      </c>
    </row>
    <row r="685" spans="1:9">
      <c r="A685" s="90"/>
      <c r="B685" s="91" t="s">
        <v>1007</v>
      </c>
      <c r="C685" s="91" t="s">
        <v>1378</v>
      </c>
      <c r="D685" s="92" t="s">
        <v>1379</v>
      </c>
      <c r="E685" s="93" t="s">
        <v>839</v>
      </c>
      <c r="F685" s="93">
        <v>0.0655472</v>
      </c>
      <c r="G685" s="93">
        <v>0.08</v>
      </c>
      <c r="H685" s="93">
        <v>0.005243776</v>
      </c>
      <c r="I685" s="93">
        <v>5.406333056</v>
      </c>
    </row>
    <row r="686" spans="1:9">
      <c r="A686" s="90"/>
      <c r="B686" s="91" t="s">
        <v>1020</v>
      </c>
      <c r="C686" s="91" t="s">
        <v>1019</v>
      </c>
      <c r="D686" s="92" t="s">
        <v>1021</v>
      </c>
      <c r="E686" s="93" t="s">
        <v>839</v>
      </c>
      <c r="F686" s="93">
        <v>0.03346840032</v>
      </c>
      <c r="G686" s="93">
        <v>14.49</v>
      </c>
      <c r="H686" s="93">
        <v>0.4849571206368</v>
      </c>
      <c r="I686" s="93">
        <v>2.7604736583936</v>
      </c>
    </row>
    <row r="687" ht="25.5" spans="1:9">
      <c r="A687" s="90"/>
      <c r="B687" s="91" t="s">
        <v>1111</v>
      </c>
      <c r="C687" s="91" t="s">
        <v>1287</v>
      </c>
      <c r="D687" s="92" t="s">
        <v>1288</v>
      </c>
      <c r="E687" s="93" t="s">
        <v>839</v>
      </c>
      <c r="F687" s="93">
        <v>0.0327736</v>
      </c>
      <c r="G687" s="93">
        <v>0.89</v>
      </c>
      <c r="H687" s="93">
        <v>0.029168504</v>
      </c>
      <c r="I687" s="93">
        <v>2.703166528</v>
      </c>
    </row>
    <row r="688" ht="25.5" spans="1:9">
      <c r="A688" s="90"/>
      <c r="B688" s="91" t="s">
        <v>1111</v>
      </c>
      <c r="C688" s="91" t="s">
        <v>1110</v>
      </c>
      <c r="D688" s="92" t="s">
        <v>1112</v>
      </c>
      <c r="E688" s="93" t="s">
        <v>839</v>
      </c>
      <c r="F688" s="93">
        <v>0.0327736</v>
      </c>
      <c r="G688" s="93">
        <v>1.39</v>
      </c>
      <c r="H688" s="93">
        <v>0.045555304</v>
      </c>
      <c r="I688" s="93">
        <v>2.703166528</v>
      </c>
    </row>
    <row r="689" spans="1:9">
      <c r="A689" s="90"/>
      <c r="B689" s="91" t="s">
        <v>1007</v>
      </c>
      <c r="C689" s="91" t="s">
        <v>1050</v>
      </c>
      <c r="D689" s="92" t="s">
        <v>1051</v>
      </c>
      <c r="E689" s="93" t="s">
        <v>839</v>
      </c>
      <c r="F689" s="93">
        <v>0.0655472</v>
      </c>
      <c r="G689" s="93">
        <v>1.43</v>
      </c>
      <c r="H689" s="93">
        <v>0.093732496</v>
      </c>
      <c r="I689" s="93">
        <v>5.406333056</v>
      </c>
    </row>
    <row r="690" ht="25.5" spans="1:9">
      <c r="A690" s="90"/>
      <c r="B690" s="91" t="s">
        <v>1111</v>
      </c>
      <c r="C690" s="91" t="s">
        <v>1707</v>
      </c>
      <c r="D690" s="92" t="s">
        <v>1708</v>
      </c>
      <c r="E690" s="93" t="s">
        <v>839</v>
      </c>
      <c r="F690" s="93">
        <v>0.0327736</v>
      </c>
      <c r="G690" s="93">
        <v>0.01</v>
      </c>
      <c r="H690" s="93">
        <v>0.000327736</v>
      </c>
      <c r="I690" s="93">
        <v>2.703166528</v>
      </c>
    </row>
    <row r="691" ht="25.5" spans="1:9">
      <c r="A691" s="90"/>
      <c r="B691" s="91" t="s">
        <v>1111</v>
      </c>
      <c r="C691" s="91" t="s">
        <v>1195</v>
      </c>
      <c r="D691" s="92" t="s">
        <v>1196</v>
      </c>
      <c r="E691" s="93" t="s">
        <v>839</v>
      </c>
      <c r="F691" s="93">
        <v>0.0327736</v>
      </c>
      <c r="G691" s="93">
        <v>0.61</v>
      </c>
      <c r="H691" s="93">
        <v>0.019991896</v>
      </c>
      <c r="I691" s="93">
        <v>2.703166528</v>
      </c>
    </row>
    <row r="692" spans="1:9">
      <c r="A692" s="90"/>
      <c r="B692" s="91" t="s">
        <v>985</v>
      </c>
      <c r="C692" s="91" t="s">
        <v>984</v>
      </c>
      <c r="D692" s="92" t="s">
        <v>986</v>
      </c>
      <c r="E692" s="93" t="s">
        <v>215</v>
      </c>
      <c r="F692" s="93">
        <v>0.275540481</v>
      </c>
      <c r="G692" s="93">
        <v>5.93</v>
      </c>
      <c r="H692" s="93">
        <v>1.63395505233</v>
      </c>
      <c r="I692" s="93">
        <v>22.72657887288</v>
      </c>
    </row>
    <row r="693" ht="51" spans="1:9">
      <c r="A693" s="85" t="s">
        <v>2282</v>
      </c>
      <c r="B693" s="85" t="s">
        <v>790</v>
      </c>
      <c r="C693" s="85" t="s">
        <v>2283</v>
      </c>
      <c r="D693" s="87" t="s">
        <v>791</v>
      </c>
      <c r="E693" s="89" t="s">
        <v>476</v>
      </c>
      <c r="F693" s="89">
        <v>101.22</v>
      </c>
      <c r="G693" s="89">
        <v>7.17</v>
      </c>
      <c r="H693" s="89">
        <v>725.74</v>
      </c>
      <c r="I693" s="89">
        <v>101.22</v>
      </c>
    </row>
    <row r="694" ht="25.5" spans="1:9">
      <c r="A694" s="90"/>
      <c r="B694" s="91" t="s">
        <v>1080</v>
      </c>
      <c r="C694" s="91" t="s">
        <v>1079</v>
      </c>
      <c r="D694" s="92" t="s">
        <v>1081</v>
      </c>
      <c r="E694" s="93" t="s">
        <v>494</v>
      </c>
      <c r="F694" s="93">
        <v>1</v>
      </c>
      <c r="G694" s="93">
        <v>961801.77</v>
      </c>
      <c r="H694" s="93">
        <v>3.62740340526417</v>
      </c>
      <c r="I694" s="93">
        <v>101.22</v>
      </c>
    </row>
    <row r="695" spans="1:9">
      <c r="A695" s="90"/>
      <c r="B695" s="91" t="s">
        <v>1007</v>
      </c>
      <c r="C695" s="91" t="s">
        <v>1048</v>
      </c>
      <c r="D695" s="92" t="s">
        <v>1049</v>
      </c>
      <c r="E695" s="93" t="s">
        <v>839</v>
      </c>
      <c r="F695" s="93">
        <v>1</v>
      </c>
      <c r="G695" s="93">
        <v>1.5</v>
      </c>
      <c r="H695" s="93">
        <v>0.10289925</v>
      </c>
      <c r="I695" s="93">
        <v>101.22</v>
      </c>
    </row>
    <row r="696" spans="1:9">
      <c r="A696" s="90"/>
      <c r="B696" s="91" t="s">
        <v>1007</v>
      </c>
      <c r="C696" s="91" t="s">
        <v>1006</v>
      </c>
      <c r="D696" s="92" t="s">
        <v>1008</v>
      </c>
      <c r="E696" s="93" t="s">
        <v>839</v>
      </c>
      <c r="F696" s="93">
        <v>0.0685995</v>
      </c>
      <c r="G696" s="93">
        <v>3.95</v>
      </c>
      <c r="H696" s="93">
        <v>0.270968025</v>
      </c>
      <c r="I696" s="93">
        <v>6.94364139</v>
      </c>
    </row>
    <row r="697" spans="1:9">
      <c r="A697" s="90"/>
      <c r="B697" s="91" t="s">
        <v>1108</v>
      </c>
      <c r="C697" s="91" t="s">
        <v>1107</v>
      </c>
      <c r="D697" s="92" t="s">
        <v>1109</v>
      </c>
      <c r="E697" s="93" t="s">
        <v>839</v>
      </c>
      <c r="F697" s="93">
        <v>0.034695518538</v>
      </c>
      <c r="G697" s="93">
        <v>21.83</v>
      </c>
      <c r="H697" s="93">
        <v>0.75740316968454</v>
      </c>
      <c r="I697" s="93">
        <v>3.51188038641636</v>
      </c>
    </row>
    <row r="698" spans="1:9">
      <c r="A698" s="90"/>
      <c r="B698" s="91" t="s">
        <v>1007</v>
      </c>
      <c r="C698" s="91" t="s">
        <v>1378</v>
      </c>
      <c r="D698" s="92" t="s">
        <v>1379</v>
      </c>
      <c r="E698" s="93" t="s">
        <v>839</v>
      </c>
      <c r="F698" s="93">
        <v>0.0685995</v>
      </c>
      <c r="G698" s="93">
        <v>0.08</v>
      </c>
      <c r="H698" s="93">
        <v>0.00548796</v>
      </c>
      <c r="I698" s="93">
        <v>6.94364139</v>
      </c>
    </row>
    <row r="699" spans="1:9">
      <c r="A699" s="90"/>
      <c r="B699" s="91" t="s">
        <v>1020</v>
      </c>
      <c r="C699" s="91" t="s">
        <v>1019</v>
      </c>
      <c r="D699" s="92" t="s">
        <v>1021</v>
      </c>
      <c r="E699" s="93" t="s">
        <v>839</v>
      </c>
      <c r="F699" s="93">
        <v>0.03502695576</v>
      </c>
      <c r="G699" s="93">
        <v>14.49</v>
      </c>
      <c r="H699" s="93">
        <v>0.5075405889624</v>
      </c>
      <c r="I699" s="93">
        <v>3.5454284620272</v>
      </c>
    </row>
    <row r="700" ht="25.5" spans="1:9">
      <c r="A700" s="90"/>
      <c r="B700" s="91" t="s">
        <v>1111</v>
      </c>
      <c r="C700" s="91" t="s">
        <v>1287</v>
      </c>
      <c r="D700" s="92" t="s">
        <v>1288</v>
      </c>
      <c r="E700" s="93" t="s">
        <v>839</v>
      </c>
      <c r="F700" s="93">
        <v>0.0342997</v>
      </c>
      <c r="G700" s="93">
        <v>0.89</v>
      </c>
      <c r="H700" s="93">
        <v>0.030526733</v>
      </c>
      <c r="I700" s="93">
        <v>3.471815634</v>
      </c>
    </row>
    <row r="701" ht="25.5" spans="1:9">
      <c r="A701" s="90"/>
      <c r="B701" s="91" t="s">
        <v>1111</v>
      </c>
      <c r="C701" s="91" t="s">
        <v>1110</v>
      </c>
      <c r="D701" s="92" t="s">
        <v>1112</v>
      </c>
      <c r="E701" s="93" t="s">
        <v>839</v>
      </c>
      <c r="F701" s="93">
        <v>0.0342998</v>
      </c>
      <c r="G701" s="93">
        <v>1.39</v>
      </c>
      <c r="H701" s="93">
        <v>0.047676722</v>
      </c>
      <c r="I701" s="93">
        <v>3.471825756</v>
      </c>
    </row>
    <row r="702" spans="1:9">
      <c r="A702" s="90"/>
      <c r="B702" s="91" t="s">
        <v>1007</v>
      </c>
      <c r="C702" s="91" t="s">
        <v>1050</v>
      </c>
      <c r="D702" s="92" t="s">
        <v>1051</v>
      </c>
      <c r="E702" s="93" t="s">
        <v>839</v>
      </c>
      <c r="F702" s="93">
        <v>0.0685995</v>
      </c>
      <c r="G702" s="93">
        <v>1.43</v>
      </c>
      <c r="H702" s="93">
        <v>0.098097285</v>
      </c>
      <c r="I702" s="93">
        <v>6.94364139</v>
      </c>
    </row>
    <row r="703" ht="25.5" spans="1:9">
      <c r="A703" s="90"/>
      <c r="B703" s="91" t="s">
        <v>1111</v>
      </c>
      <c r="C703" s="91" t="s">
        <v>1707</v>
      </c>
      <c r="D703" s="92" t="s">
        <v>1708</v>
      </c>
      <c r="E703" s="93" t="s">
        <v>839</v>
      </c>
      <c r="F703" s="93">
        <v>0.0342997</v>
      </c>
      <c r="G703" s="93">
        <v>0.01</v>
      </c>
      <c r="H703" s="93">
        <v>0.000342997</v>
      </c>
      <c r="I703" s="93">
        <v>3.471815634</v>
      </c>
    </row>
    <row r="704" ht="25.5" spans="1:9">
      <c r="A704" s="90"/>
      <c r="B704" s="91" t="s">
        <v>1111</v>
      </c>
      <c r="C704" s="91" t="s">
        <v>1195</v>
      </c>
      <c r="D704" s="92" t="s">
        <v>1196</v>
      </c>
      <c r="E704" s="93" t="s">
        <v>839</v>
      </c>
      <c r="F704" s="93">
        <v>0.0342998</v>
      </c>
      <c r="G704" s="93">
        <v>0.61</v>
      </c>
      <c r="H704" s="93">
        <v>0.020922878</v>
      </c>
      <c r="I704" s="93">
        <v>3.471825756</v>
      </c>
    </row>
    <row r="705" spans="1:9">
      <c r="A705" s="90"/>
      <c r="B705" s="91" t="s">
        <v>985</v>
      </c>
      <c r="C705" s="91" t="s">
        <v>984</v>
      </c>
      <c r="D705" s="92" t="s">
        <v>986</v>
      </c>
      <c r="E705" s="93" t="s">
        <v>215</v>
      </c>
      <c r="F705" s="93">
        <v>0.288371592</v>
      </c>
      <c r="G705" s="93">
        <v>5.93</v>
      </c>
      <c r="H705" s="93">
        <v>1.71004354056</v>
      </c>
      <c r="I705" s="93">
        <v>29.18897254224</v>
      </c>
    </row>
    <row r="706" ht="25.5" spans="1:9">
      <c r="A706" s="85" t="s">
        <v>2284</v>
      </c>
      <c r="B706" s="85" t="s">
        <v>792</v>
      </c>
      <c r="C706" s="85" t="s">
        <v>2285</v>
      </c>
      <c r="D706" s="87" t="s">
        <v>793</v>
      </c>
      <c r="E706" s="89" t="s">
        <v>476</v>
      </c>
      <c r="F706" s="89">
        <v>6.45</v>
      </c>
      <c r="G706" s="89">
        <v>27.18</v>
      </c>
      <c r="H706" s="89">
        <v>175.31</v>
      </c>
      <c r="I706" s="89">
        <v>6.45</v>
      </c>
    </row>
    <row r="707" ht="38.25" spans="1:9">
      <c r="A707" s="90"/>
      <c r="B707" s="91" t="s">
        <v>1002</v>
      </c>
      <c r="C707" s="91" t="s">
        <v>1297</v>
      </c>
      <c r="D707" s="92" t="s">
        <v>1298</v>
      </c>
      <c r="E707" s="93" t="s">
        <v>494</v>
      </c>
      <c r="F707" s="93">
        <v>1</v>
      </c>
      <c r="G707" s="93">
        <v>717852.52</v>
      </c>
      <c r="H707" s="93">
        <v>0.4822676799864</v>
      </c>
      <c r="I707" s="93">
        <v>6.45</v>
      </c>
    </row>
    <row r="708" ht="25.5" spans="1:9">
      <c r="A708" s="90"/>
      <c r="B708" s="91" t="s">
        <v>1421</v>
      </c>
      <c r="C708" s="91" t="s">
        <v>1420</v>
      </c>
      <c r="D708" s="92" t="s">
        <v>1422</v>
      </c>
      <c r="E708" s="93" t="s">
        <v>494</v>
      </c>
      <c r="F708" s="93">
        <v>1</v>
      </c>
      <c r="G708" s="93">
        <v>15839.74</v>
      </c>
      <c r="H708" s="93">
        <v>0.4173717634884</v>
      </c>
      <c r="I708" s="93">
        <v>6.45</v>
      </c>
    </row>
    <row r="709" spans="1:9">
      <c r="A709" s="90"/>
      <c r="B709" s="91" t="s">
        <v>1007</v>
      </c>
      <c r="C709" s="91" t="s">
        <v>1048</v>
      </c>
      <c r="D709" s="92" t="s">
        <v>1049</v>
      </c>
      <c r="E709" s="93" t="s">
        <v>839</v>
      </c>
      <c r="F709" s="93">
        <v>1</v>
      </c>
      <c r="G709" s="93">
        <v>1.5</v>
      </c>
      <c r="H709" s="93">
        <v>1.4832</v>
      </c>
      <c r="I709" s="93">
        <v>6.45</v>
      </c>
    </row>
    <row r="710" spans="1:9">
      <c r="A710" s="90"/>
      <c r="B710" s="91" t="s">
        <v>1007</v>
      </c>
      <c r="C710" s="91" t="s">
        <v>1006</v>
      </c>
      <c r="D710" s="92" t="s">
        <v>1008</v>
      </c>
      <c r="E710" s="93" t="s">
        <v>839</v>
      </c>
      <c r="F710" s="93">
        <v>0.9888</v>
      </c>
      <c r="G710" s="93">
        <v>3.95</v>
      </c>
      <c r="H710" s="93">
        <v>3.90576</v>
      </c>
      <c r="I710" s="93">
        <v>6.37776</v>
      </c>
    </row>
    <row r="711" spans="1:9">
      <c r="A711" s="90"/>
      <c r="B711" s="91" t="s">
        <v>1023</v>
      </c>
      <c r="C711" s="91" t="s">
        <v>1436</v>
      </c>
      <c r="D711" s="92" t="s">
        <v>1437</v>
      </c>
      <c r="E711" s="93" t="s">
        <v>839</v>
      </c>
      <c r="F711" s="93">
        <v>0.00603054</v>
      </c>
      <c r="G711" s="93">
        <v>21.83</v>
      </c>
      <c r="H711" s="93">
        <v>0.1316466882</v>
      </c>
      <c r="I711" s="93">
        <v>0.038896983</v>
      </c>
    </row>
    <row r="712" spans="1:9">
      <c r="A712" s="90"/>
      <c r="B712" s="91" t="s">
        <v>1108</v>
      </c>
      <c r="C712" s="91" t="s">
        <v>1127</v>
      </c>
      <c r="D712" s="92" t="s">
        <v>1128</v>
      </c>
      <c r="E712" s="93" t="s">
        <v>839</v>
      </c>
      <c r="F712" s="93">
        <v>0.198464148</v>
      </c>
      <c r="G712" s="93">
        <v>18</v>
      </c>
      <c r="H712" s="93">
        <v>3.572354664</v>
      </c>
      <c r="I712" s="93">
        <v>1.2800937546</v>
      </c>
    </row>
    <row r="713" spans="1:9">
      <c r="A713" s="90"/>
      <c r="B713" s="91" t="s">
        <v>1007</v>
      </c>
      <c r="C713" s="91" t="s">
        <v>1378</v>
      </c>
      <c r="D713" s="92" t="s">
        <v>1379</v>
      </c>
      <c r="E713" s="93" t="s">
        <v>839</v>
      </c>
      <c r="F713" s="93">
        <v>0.9888</v>
      </c>
      <c r="G713" s="93">
        <v>0.08</v>
      </c>
      <c r="H713" s="93">
        <v>0.079104</v>
      </c>
      <c r="I713" s="93">
        <v>6.37776</v>
      </c>
    </row>
    <row r="714" spans="1:9">
      <c r="A714" s="90"/>
      <c r="B714" s="91" t="s">
        <v>1020</v>
      </c>
      <c r="C714" s="91" t="s">
        <v>1019</v>
      </c>
      <c r="D714" s="92" t="s">
        <v>1021</v>
      </c>
      <c r="E714" s="93" t="s">
        <v>839</v>
      </c>
      <c r="F714" s="93">
        <v>0.80327592</v>
      </c>
      <c r="G714" s="93">
        <v>14.49</v>
      </c>
      <c r="H714" s="93">
        <v>11.6394680808</v>
      </c>
      <c r="I714" s="93">
        <v>5.181129684</v>
      </c>
    </row>
    <row r="715" ht="25.5" spans="1:9">
      <c r="A715" s="90"/>
      <c r="B715" s="91" t="s">
        <v>1111</v>
      </c>
      <c r="C715" s="91" t="s">
        <v>1287</v>
      </c>
      <c r="D715" s="92" t="s">
        <v>1288</v>
      </c>
      <c r="E715" s="93" t="s">
        <v>839</v>
      </c>
      <c r="F715" s="93">
        <v>0.2022</v>
      </c>
      <c r="G715" s="93">
        <v>0.89</v>
      </c>
      <c r="H715" s="93">
        <v>0.179958</v>
      </c>
      <c r="I715" s="93">
        <v>1.30419</v>
      </c>
    </row>
    <row r="716" ht="25.5" spans="1:9">
      <c r="A716" s="90"/>
      <c r="B716" s="91" t="s">
        <v>1111</v>
      </c>
      <c r="C716" s="91" t="s">
        <v>1110</v>
      </c>
      <c r="D716" s="92" t="s">
        <v>1112</v>
      </c>
      <c r="E716" s="93" t="s">
        <v>839</v>
      </c>
      <c r="F716" s="93">
        <v>0.7866</v>
      </c>
      <c r="G716" s="93">
        <v>1.39</v>
      </c>
      <c r="H716" s="93">
        <v>1.093374</v>
      </c>
      <c r="I716" s="93">
        <v>5.07357</v>
      </c>
    </row>
    <row r="717" spans="1:9">
      <c r="A717" s="90"/>
      <c r="B717" s="91" t="s">
        <v>1007</v>
      </c>
      <c r="C717" s="91" t="s">
        <v>1050</v>
      </c>
      <c r="D717" s="92" t="s">
        <v>1051</v>
      </c>
      <c r="E717" s="93" t="s">
        <v>839</v>
      </c>
      <c r="F717" s="93">
        <v>0.9888</v>
      </c>
      <c r="G717" s="93">
        <v>1.43</v>
      </c>
      <c r="H717" s="93">
        <v>1.413984</v>
      </c>
      <c r="I717" s="93">
        <v>6.37776</v>
      </c>
    </row>
    <row r="718" ht="25.5" spans="1:9">
      <c r="A718" s="90"/>
      <c r="B718" s="91" t="s">
        <v>1111</v>
      </c>
      <c r="C718" s="91" t="s">
        <v>1707</v>
      </c>
      <c r="D718" s="92" t="s">
        <v>1708</v>
      </c>
      <c r="E718" s="93" t="s">
        <v>839</v>
      </c>
      <c r="F718" s="93">
        <v>0.2022</v>
      </c>
      <c r="G718" s="93">
        <v>0.01</v>
      </c>
      <c r="H718" s="93">
        <v>0.002022</v>
      </c>
      <c r="I718" s="93">
        <v>1.30419</v>
      </c>
    </row>
    <row r="719" ht="25.5" spans="1:9">
      <c r="A719" s="90"/>
      <c r="B719" s="91" t="s">
        <v>1111</v>
      </c>
      <c r="C719" s="91" t="s">
        <v>1195</v>
      </c>
      <c r="D719" s="92" t="s">
        <v>1196</v>
      </c>
      <c r="E719" s="93" t="s">
        <v>839</v>
      </c>
      <c r="F719" s="93">
        <v>0.7866</v>
      </c>
      <c r="G719" s="93">
        <v>0.61</v>
      </c>
      <c r="H719" s="93">
        <v>0.479826</v>
      </c>
      <c r="I719" s="93">
        <v>5.07357</v>
      </c>
    </row>
    <row r="720" spans="1:9">
      <c r="A720" s="90"/>
      <c r="B720" s="91" t="s">
        <v>985</v>
      </c>
      <c r="C720" s="91" t="s">
        <v>1227</v>
      </c>
      <c r="D720" s="92" t="s">
        <v>1228</v>
      </c>
      <c r="E720" s="93" t="s">
        <v>215</v>
      </c>
      <c r="F720" s="93">
        <v>0.202086</v>
      </c>
      <c r="G720" s="93">
        <v>5.96</v>
      </c>
      <c r="H720" s="93">
        <v>1.20443256</v>
      </c>
      <c r="I720" s="93">
        <v>1.3034547</v>
      </c>
    </row>
    <row r="721" spans="1:9">
      <c r="A721" s="90"/>
      <c r="B721" s="91" t="s">
        <v>985</v>
      </c>
      <c r="C721" s="91" t="s">
        <v>984</v>
      </c>
      <c r="D721" s="92" t="s">
        <v>986</v>
      </c>
      <c r="E721" s="93" t="s">
        <v>215</v>
      </c>
      <c r="F721" s="93">
        <v>0.173664</v>
      </c>
      <c r="G721" s="93">
        <v>5.93</v>
      </c>
      <c r="H721" s="93">
        <v>1.02982752</v>
      </c>
      <c r="I721" s="93">
        <v>1.1201328</v>
      </c>
    </row>
    <row r="722" ht="38.25" spans="1:9">
      <c r="A722" s="90"/>
      <c r="B722" s="91" t="s">
        <v>1002</v>
      </c>
      <c r="C722" s="91" t="s">
        <v>1514</v>
      </c>
      <c r="D722" s="92" t="s">
        <v>1515</v>
      </c>
      <c r="E722" s="93" t="s">
        <v>494</v>
      </c>
      <c r="F722" s="93">
        <v>8.2386e-7</v>
      </c>
      <c r="G722" s="93">
        <v>85950</v>
      </c>
      <c r="H722" s="93">
        <v>0.070810767</v>
      </c>
      <c r="I722" s="93">
        <v>5.313897e-6</v>
      </c>
    </row>
    <row r="723" ht="51" spans="1:9">
      <c r="A723" s="85" t="s">
        <v>2286</v>
      </c>
      <c r="B723" s="85" t="s">
        <v>794</v>
      </c>
      <c r="C723" s="85" t="s">
        <v>2287</v>
      </c>
      <c r="D723" s="87" t="s">
        <v>2288</v>
      </c>
      <c r="E723" s="89" t="s">
        <v>476</v>
      </c>
      <c r="F723" s="89">
        <v>177.96</v>
      </c>
      <c r="G723" s="89">
        <v>13.55</v>
      </c>
      <c r="H723" s="89">
        <v>2411.35</v>
      </c>
      <c r="I723" s="89">
        <v>177.96</v>
      </c>
    </row>
    <row r="724" spans="1:9">
      <c r="A724" s="86"/>
      <c r="B724" s="86"/>
      <c r="C724" s="86"/>
      <c r="D724" s="87" t="s">
        <v>2289</v>
      </c>
      <c r="E724" s="88"/>
      <c r="F724" s="88"/>
      <c r="G724" s="88"/>
      <c r="H724" s="88"/>
      <c r="I724" s="88"/>
    </row>
    <row r="725" ht="38.25" spans="1:9">
      <c r="A725" s="90"/>
      <c r="B725" s="91" t="s">
        <v>1002</v>
      </c>
      <c r="C725" s="91" t="s">
        <v>1297</v>
      </c>
      <c r="D725" s="92" t="s">
        <v>1298</v>
      </c>
      <c r="E725" s="93" t="s">
        <v>494</v>
      </c>
      <c r="F725" s="93">
        <v>1</v>
      </c>
      <c r="G725" s="93">
        <v>717852.52</v>
      </c>
      <c r="H725" s="93">
        <v>0.4822676799864</v>
      </c>
      <c r="I725" s="93">
        <v>177.96</v>
      </c>
    </row>
    <row r="726" ht="25.5" spans="1:9">
      <c r="A726" s="90"/>
      <c r="B726" s="91" t="s">
        <v>1421</v>
      </c>
      <c r="C726" s="91" t="s">
        <v>1420</v>
      </c>
      <c r="D726" s="92" t="s">
        <v>1422</v>
      </c>
      <c r="E726" s="93" t="s">
        <v>494</v>
      </c>
      <c r="F726" s="93">
        <v>1</v>
      </c>
      <c r="G726" s="93">
        <v>15839.74</v>
      </c>
      <c r="H726" s="93">
        <v>0.2644205412926</v>
      </c>
      <c r="I726" s="93">
        <v>177.96</v>
      </c>
    </row>
    <row r="727" ht="25.5" spans="1:9">
      <c r="A727" s="90"/>
      <c r="B727" s="91" t="s">
        <v>1103</v>
      </c>
      <c r="C727" s="91" t="s">
        <v>1102</v>
      </c>
      <c r="D727" s="92" t="s">
        <v>1104</v>
      </c>
      <c r="E727" s="93" t="s">
        <v>494</v>
      </c>
      <c r="F727" s="93">
        <v>1</v>
      </c>
      <c r="G727" s="93">
        <v>850000</v>
      </c>
      <c r="H727" s="93">
        <v>4.132802</v>
      </c>
      <c r="I727" s="93">
        <v>177.96</v>
      </c>
    </row>
    <row r="728" spans="1:9">
      <c r="A728" s="90"/>
      <c r="B728" s="91" t="s">
        <v>1007</v>
      </c>
      <c r="C728" s="91" t="s">
        <v>1048</v>
      </c>
      <c r="D728" s="92" t="s">
        <v>1049</v>
      </c>
      <c r="E728" s="93" t="s">
        <v>839</v>
      </c>
      <c r="F728" s="93">
        <v>1</v>
      </c>
      <c r="G728" s="93">
        <v>1.5</v>
      </c>
      <c r="H728" s="93">
        <v>0.30975</v>
      </c>
      <c r="I728" s="93">
        <v>177.96</v>
      </c>
    </row>
    <row r="729" spans="1:9">
      <c r="A729" s="90"/>
      <c r="B729" s="91" t="s">
        <v>1007</v>
      </c>
      <c r="C729" s="91" t="s">
        <v>1006</v>
      </c>
      <c r="D729" s="92" t="s">
        <v>1008</v>
      </c>
      <c r="E729" s="93" t="s">
        <v>839</v>
      </c>
      <c r="F729" s="93">
        <v>0.2065</v>
      </c>
      <c r="G729" s="93">
        <v>3.95</v>
      </c>
      <c r="H729" s="93">
        <v>0.815675</v>
      </c>
      <c r="I729" s="93">
        <v>36.74874</v>
      </c>
    </row>
    <row r="730" spans="1:9">
      <c r="A730" s="90"/>
      <c r="B730" s="91" t="s">
        <v>1023</v>
      </c>
      <c r="C730" s="91" t="s">
        <v>1436</v>
      </c>
      <c r="D730" s="92" t="s">
        <v>1437</v>
      </c>
      <c r="E730" s="93" t="s">
        <v>839</v>
      </c>
      <c r="F730" s="93">
        <v>0.00603054</v>
      </c>
      <c r="G730" s="93">
        <v>21.83</v>
      </c>
      <c r="H730" s="93">
        <v>0.1316466882</v>
      </c>
      <c r="I730" s="93">
        <v>1.0731948984</v>
      </c>
    </row>
    <row r="731" spans="1:9">
      <c r="A731" s="90"/>
      <c r="B731" s="91" t="s">
        <v>1108</v>
      </c>
      <c r="C731" s="91" t="s">
        <v>1107</v>
      </c>
      <c r="D731" s="92" t="s">
        <v>1109</v>
      </c>
      <c r="E731" s="93" t="s">
        <v>839</v>
      </c>
      <c r="F731" s="93">
        <v>0.049464306</v>
      </c>
      <c r="G731" s="93">
        <v>21.83</v>
      </c>
      <c r="H731" s="93">
        <v>1.07980579998</v>
      </c>
      <c r="I731" s="93">
        <v>8.80266789576</v>
      </c>
    </row>
    <row r="732" spans="1:9">
      <c r="A732" s="90"/>
      <c r="B732" s="91" t="s">
        <v>1108</v>
      </c>
      <c r="C732" s="91" t="s">
        <v>1127</v>
      </c>
      <c r="D732" s="92" t="s">
        <v>1128</v>
      </c>
      <c r="E732" s="93" t="s">
        <v>839</v>
      </c>
      <c r="F732" s="93">
        <v>0.125734422</v>
      </c>
      <c r="G732" s="93">
        <v>18</v>
      </c>
      <c r="H732" s="93">
        <v>2.263219596</v>
      </c>
      <c r="I732" s="93">
        <v>22.37569773912</v>
      </c>
    </row>
    <row r="733" spans="1:9">
      <c r="A733" s="90"/>
      <c r="B733" s="91" t="s">
        <v>1007</v>
      </c>
      <c r="C733" s="91" t="s">
        <v>1378</v>
      </c>
      <c r="D733" s="92" t="s">
        <v>1379</v>
      </c>
      <c r="E733" s="93" t="s">
        <v>839</v>
      </c>
      <c r="F733" s="93">
        <v>0.2065</v>
      </c>
      <c r="G733" s="93">
        <v>0.08</v>
      </c>
      <c r="H733" s="93">
        <v>0.01652</v>
      </c>
      <c r="I733" s="93">
        <v>36.74874</v>
      </c>
    </row>
    <row r="734" spans="1:9">
      <c r="A734" s="90"/>
      <c r="B734" s="91" t="s">
        <v>1020</v>
      </c>
      <c r="C734" s="91" t="s">
        <v>1019</v>
      </c>
      <c r="D734" s="92" t="s">
        <v>1021</v>
      </c>
      <c r="E734" s="93" t="s">
        <v>839</v>
      </c>
      <c r="F734" s="93">
        <v>0.02787876</v>
      </c>
      <c r="G734" s="93">
        <v>14.49</v>
      </c>
      <c r="H734" s="93">
        <v>0.4039632324</v>
      </c>
      <c r="I734" s="93">
        <v>4.9613041296</v>
      </c>
    </row>
    <row r="735" ht="25.5" spans="1:9">
      <c r="A735" s="90"/>
      <c r="B735" s="91" t="s">
        <v>1111</v>
      </c>
      <c r="C735" s="91" t="s">
        <v>1287</v>
      </c>
      <c r="D735" s="92" t="s">
        <v>1288</v>
      </c>
      <c r="E735" s="93" t="s">
        <v>839</v>
      </c>
      <c r="F735" s="93">
        <v>0.1792</v>
      </c>
      <c r="G735" s="93">
        <v>0.89</v>
      </c>
      <c r="H735" s="93">
        <v>0.159488</v>
      </c>
      <c r="I735" s="93">
        <v>31.890432</v>
      </c>
    </row>
    <row r="736" ht="25.5" spans="1:9">
      <c r="A736" s="90"/>
      <c r="B736" s="91" t="s">
        <v>1111</v>
      </c>
      <c r="C736" s="91" t="s">
        <v>1110</v>
      </c>
      <c r="D736" s="92" t="s">
        <v>1112</v>
      </c>
      <c r="E736" s="93" t="s">
        <v>839</v>
      </c>
      <c r="F736" s="93">
        <v>0.0273</v>
      </c>
      <c r="G736" s="93">
        <v>1.39</v>
      </c>
      <c r="H736" s="93">
        <v>0.037947</v>
      </c>
      <c r="I736" s="93">
        <v>4.858308</v>
      </c>
    </row>
    <row r="737" spans="1:9">
      <c r="A737" s="90"/>
      <c r="B737" s="91" t="s">
        <v>1007</v>
      </c>
      <c r="C737" s="91" t="s">
        <v>1050</v>
      </c>
      <c r="D737" s="92" t="s">
        <v>1051</v>
      </c>
      <c r="E737" s="93" t="s">
        <v>839</v>
      </c>
      <c r="F737" s="93">
        <v>0.2065</v>
      </c>
      <c r="G737" s="93">
        <v>1.43</v>
      </c>
      <c r="H737" s="93">
        <v>0.295295</v>
      </c>
      <c r="I737" s="93">
        <v>36.74874</v>
      </c>
    </row>
    <row r="738" ht="25.5" spans="1:9">
      <c r="A738" s="90"/>
      <c r="B738" s="91" t="s">
        <v>1111</v>
      </c>
      <c r="C738" s="91" t="s">
        <v>1707</v>
      </c>
      <c r="D738" s="92" t="s">
        <v>1708</v>
      </c>
      <c r="E738" s="93" t="s">
        <v>839</v>
      </c>
      <c r="F738" s="93">
        <v>0.1792</v>
      </c>
      <c r="G738" s="93">
        <v>0.01</v>
      </c>
      <c r="H738" s="93">
        <v>0.001792</v>
      </c>
      <c r="I738" s="93">
        <v>31.890432</v>
      </c>
    </row>
    <row r="739" ht="25.5" spans="1:9">
      <c r="A739" s="90"/>
      <c r="B739" s="91" t="s">
        <v>1111</v>
      </c>
      <c r="C739" s="91" t="s">
        <v>1195</v>
      </c>
      <c r="D739" s="92" t="s">
        <v>1196</v>
      </c>
      <c r="E739" s="93" t="s">
        <v>839</v>
      </c>
      <c r="F739" s="93">
        <v>0.0273</v>
      </c>
      <c r="G739" s="93">
        <v>0.61</v>
      </c>
      <c r="H739" s="93">
        <v>0.016653</v>
      </c>
      <c r="I739" s="93">
        <v>4.858308</v>
      </c>
    </row>
    <row r="740" spans="1:9">
      <c r="A740" s="90"/>
      <c r="B740" s="91" t="s">
        <v>985</v>
      </c>
      <c r="C740" s="91" t="s">
        <v>1227</v>
      </c>
      <c r="D740" s="92" t="s">
        <v>1228</v>
      </c>
      <c r="E740" s="93" t="s">
        <v>215</v>
      </c>
      <c r="F740" s="93">
        <v>0.128029</v>
      </c>
      <c r="G740" s="93">
        <v>5.96</v>
      </c>
      <c r="H740" s="93">
        <v>0.76305284</v>
      </c>
      <c r="I740" s="93">
        <v>22.78404084</v>
      </c>
    </row>
    <row r="741" spans="1:9">
      <c r="A741" s="90"/>
      <c r="B741" s="91" t="s">
        <v>985</v>
      </c>
      <c r="C741" s="91" t="s">
        <v>984</v>
      </c>
      <c r="D741" s="92" t="s">
        <v>986</v>
      </c>
      <c r="E741" s="93" t="s">
        <v>215</v>
      </c>
      <c r="F741" s="93">
        <v>0.389064</v>
      </c>
      <c r="G741" s="93">
        <v>5.93</v>
      </c>
      <c r="H741" s="93">
        <v>2.30714952</v>
      </c>
      <c r="I741" s="93">
        <v>69.23782944</v>
      </c>
    </row>
    <row r="742" ht="38.25" spans="1:9">
      <c r="A742" s="90"/>
      <c r="B742" s="91" t="s">
        <v>1002</v>
      </c>
      <c r="C742" s="91" t="s">
        <v>1514</v>
      </c>
      <c r="D742" s="92" t="s">
        <v>1515</v>
      </c>
      <c r="E742" s="93" t="s">
        <v>494</v>
      </c>
      <c r="F742" s="93">
        <v>8.2386e-7</v>
      </c>
      <c r="G742" s="93">
        <v>85950</v>
      </c>
      <c r="H742" s="93">
        <v>0.070810767</v>
      </c>
      <c r="I742" s="93">
        <v>0.0001466141256</v>
      </c>
    </row>
    <row r="743" ht="63.75" spans="1:9">
      <c r="A743" s="85" t="s">
        <v>2290</v>
      </c>
      <c r="B743" s="85" t="s">
        <v>796</v>
      </c>
      <c r="C743" s="85" t="s">
        <v>2291</v>
      </c>
      <c r="D743" s="87" t="s">
        <v>797</v>
      </c>
      <c r="E743" s="89" t="s">
        <v>476</v>
      </c>
      <c r="F743" s="89">
        <v>152.38</v>
      </c>
      <c r="G743" s="89">
        <v>20.15</v>
      </c>
      <c r="H743" s="89">
        <v>3070.45</v>
      </c>
      <c r="I743" s="89">
        <v>152.38</v>
      </c>
    </row>
    <row r="744" ht="38.25" spans="1:9">
      <c r="A744" s="90"/>
      <c r="B744" s="91" t="s">
        <v>1002</v>
      </c>
      <c r="C744" s="91" t="s">
        <v>1297</v>
      </c>
      <c r="D744" s="92" t="s">
        <v>1298</v>
      </c>
      <c r="E744" s="93" t="s">
        <v>494</v>
      </c>
      <c r="F744" s="93">
        <v>1</v>
      </c>
      <c r="G744" s="93">
        <v>717852.52</v>
      </c>
      <c r="H744" s="93">
        <v>0.4822676799864</v>
      </c>
      <c r="I744" s="93">
        <v>152.38</v>
      </c>
    </row>
    <row r="745" ht="25.5" spans="1:9">
      <c r="A745" s="90"/>
      <c r="B745" s="91" t="s">
        <v>1421</v>
      </c>
      <c r="C745" s="91" t="s">
        <v>1420</v>
      </c>
      <c r="D745" s="92" t="s">
        <v>1422</v>
      </c>
      <c r="E745" s="93" t="s">
        <v>494</v>
      </c>
      <c r="F745" s="93">
        <v>1</v>
      </c>
      <c r="G745" s="93">
        <v>15839.74</v>
      </c>
      <c r="H745" s="93">
        <v>0.273355105037</v>
      </c>
      <c r="I745" s="93">
        <v>152.38</v>
      </c>
    </row>
    <row r="746" ht="25.5" spans="1:9">
      <c r="A746" s="90"/>
      <c r="B746" s="91" t="s">
        <v>1103</v>
      </c>
      <c r="C746" s="91" t="s">
        <v>1102</v>
      </c>
      <c r="D746" s="92" t="s">
        <v>1104</v>
      </c>
      <c r="E746" s="93" t="s">
        <v>494</v>
      </c>
      <c r="F746" s="93">
        <v>1</v>
      </c>
      <c r="G746" s="93">
        <v>850000</v>
      </c>
      <c r="H746" s="93">
        <v>7.683762</v>
      </c>
      <c r="I746" s="93">
        <v>152.38</v>
      </c>
    </row>
    <row r="747" spans="1:9">
      <c r="A747" s="90"/>
      <c r="B747" s="91" t="s">
        <v>1007</v>
      </c>
      <c r="C747" s="91" t="s">
        <v>1048</v>
      </c>
      <c r="D747" s="92" t="s">
        <v>1049</v>
      </c>
      <c r="E747" s="93" t="s">
        <v>839</v>
      </c>
      <c r="F747" s="93">
        <v>1</v>
      </c>
      <c r="G747" s="93">
        <v>1.5</v>
      </c>
      <c r="H747" s="93">
        <v>0.41415</v>
      </c>
      <c r="I747" s="93">
        <v>152.38</v>
      </c>
    </row>
    <row r="748" spans="1:9">
      <c r="A748" s="90"/>
      <c r="B748" s="91" t="s">
        <v>1007</v>
      </c>
      <c r="C748" s="91" t="s">
        <v>1006</v>
      </c>
      <c r="D748" s="92" t="s">
        <v>1008</v>
      </c>
      <c r="E748" s="93" t="s">
        <v>839</v>
      </c>
      <c r="F748" s="93">
        <v>0.2761</v>
      </c>
      <c r="G748" s="93">
        <v>3.95</v>
      </c>
      <c r="H748" s="93">
        <v>1.090595</v>
      </c>
      <c r="I748" s="93">
        <v>42.072118</v>
      </c>
    </row>
    <row r="749" spans="1:9">
      <c r="A749" s="90"/>
      <c r="B749" s="91" t="s">
        <v>1023</v>
      </c>
      <c r="C749" s="91" t="s">
        <v>1436</v>
      </c>
      <c r="D749" s="92" t="s">
        <v>1437</v>
      </c>
      <c r="E749" s="93" t="s">
        <v>839</v>
      </c>
      <c r="F749" s="93">
        <v>0.00603054</v>
      </c>
      <c r="G749" s="93">
        <v>21.83</v>
      </c>
      <c r="H749" s="93">
        <v>0.1316466882</v>
      </c>
      <c r="I749" s="93">
        <v>0.9189336852</v>
      </c>
    </row>
    <row r="750" spans="1:9">
      <c r="A750" s="90"/>
      <c r="B750" s="91" t="s">
        <v>1108</v>
      </c>
      <c r="C750" s="91" t="s">
        <v>1107</v>
      </c>
      <c r="D750" s="92" t="s">
        <v>1109</v>
      </c>
      <c r="E750" s="93" t="s">
        <v>839</v>
      </c>
      <c r="F750" s="93">
        <v>0.091948986</v>
      </c>
      <c r="G750" s="93">
        <v>21.83</v>
      </c>
      <c r="H750" s="93">
        <v>2.00724636438</v>
      </c>
      <c r="I750" s="93">
        <v>14.01118648668</v>
      </c>
    </row>
    <row r="751" spans="1:9">
      <c r="A751" s="90"/>
      <c r="B751" s="91" t="s">
        <v>1108</v>
      </c>
      <c r="C751" s="91" t="s">
        <v>1127</v>
      </c>
      <c r="D751" s="92" t="s">
        <v>1128</v>
      </c>
      <c r="E751" s="93" t="s">
        <v>839</v>
      </c>
      <c r="F751" s="93">
        <v>0.12998289</v>
      </c>
      <c r="G751" s="93">
        <v>18</v>
      </c>
      <c r="H751" s="93">
        <v>2.33969202</v>
      </c>
      <c r="I751" s="93">
        <v>19.8067927782</v>
      </c>
    </row>
    <row r="752" spans="1:9">
      <c r="A752" s="90"/>
      <c r="B752" s="91" t="s">
        <v>1007</v>
      </c>
      <c r="C752" s="91" t="s">
        <v>1378</v>
      </c>
      <c r="D752" s="92" t="s">
        <v>1379</v>
      </c>
      <c r="E752" s="93" t="s">
        <v>839</v>
      </c>
      <c r="F752" s="93">
        <v>0.2761</v>
      </c>
      <c r="G752" s="93">
        <v>0.08</v>
      </c>
      <c r="H752" s="93">
        <v>0.022088</v>
      </c>
      <c r="I752" s="93">
        <v>42.072118</v>
      </c>
    </row>
    <row r="753" spans="1:9">
      <c r="A753" s="90"/>
      <c r="B753" s="91" t="s">
        <v>1020</v>
      </c>
      <c r="C753" s="91" t="s">
        <v>1019</v>
      </c>
      <c r="D753" s="92" t="s">
        <v>1021</v>
      </c>
      <c r="E753" s="93" t="s">
        <v>839</v>
      </c>
      <c r="F753" s="93">
        <v>0.05177484</v>
      </c>
      <c r="G753" s="93">
        <v>14.49</v>
      </c>
      <c r="H753" s="93">
        <v>0.7502174316</v>
      </c>
      <c r="I753" s="93">
        <v>7.8894501192</v>
      </c>
    </row>
    <row r="754" ht="25.5" spans="1:9">
      <c r="A754" s="90"/>
      <c r="B754" s="91" t="s">
        <v>1111</v>
      </c>
      <c r="C754" s="91" t="s">
        <v>1287</v>
      </c>
      <c r="D754" s="92" t="s">
        <v>1288</v>
      </c>
      <c r="E754" s="93" t="s">
        <v>839</v>
      </c>
      <c r="F754" s="93">
        <v>0.2254</v>
      </c>
      <c r="G754" s="93">
        <v>0.89</v>
      </c>
      <c r="H754" s="93">
        <v>0.200606</v>
      </c>
      <c r="I754" s="93">
        <v>34.346452</v>
      </c>
    </row>
    <row r="755" ht="25.5" spans="1:9">
      <c r="A755" s="90"/>
      <c r="B755" s="91" t="s">
        <v>1111</v>
      </c>
      <c r="C755" s="91" t="s">
        <v>1110</v>
      </c>
      <c r="D755" s="92" t="s">
        <v>1112</v>
      </c>
      <c r="E755" s="93" t="s">
        <v>839</v>
      </c>
      <c r="F755" s="93">
        <v>0.0507</v>
      </c>
      <c r="G755" s="93">
        <v>1.39</v>
      </c>
      <c r="H755" s="93">
        <v>0.070473</v>
      </c>
      <c r="I755" s="93">
        <v>7.725666</v>
      </c>
    </row>
    <row r="756" spans="1:9">
      <c r="A756" s="90"/>
      <c r="B756" s="91" t="s">
        <v>1007</v>
      </c>
      <c r="C756" s="91" t="s">
        <v>1050</v>
      </c>
      <c r="D756" s="92" t="s">
        <v>1051</v>
      </c>
      <c r="E756" s="93" t="s">
        <v>839</v>
      </c>
      <c r="F756" s="93">
        <v>0.2761</v>
      </c>
      <c r="G756" s="93">
        <v>1.43</v>
      </c>
      <c r="H756" s="93">
        <v>0.394823</v>
      </c>
      <c r="I756" s="93">
        <v>42.072118</v>
      </c>
    </row>
    <row r="757" ht="25.5" spans="1:9">
      <c r="A757" s="90"/>
      <c r="B757" s="91" t="s">
        <v>1111</v>
      </c>
      <c r="C757" s="91" t="s">
        <v>1707</v>
      </c>
      <c r="D757" s="92" t="s">
        <v>1708</v>
      </c>
      <c r="E757" s="93" t="s">
        <v>839</v>
      </c>
      <c r="F757" s="93">
        <v>0.2254</v>
      </c>
      <c r="G757" s="93">
        <v>0.01</v>
      </c>
      <c r="H757" s="93">
        <v>0.002254</v>
      </c>
      <c r="I757" s="93">
        <v>34.346452</v>
      </c>
    </row>
    <row r="758" ht="25.5" spans="1:9">
      <c r="A758" s="90"/>
      <c r="B758" s="91" t="s">
        <v>1111</v>
      </c>
      <c r="C758" s="91" t="s">
        <v>1195</v>
      </c>
      <c r="D758" s="92" t="s">
        <v>1196</v>
      </c>
      <c r="E758" s="93" t="s">
        <v>839</v>
      </c>
      <c r="F758" s="93">
        <v>0.0507</v>
      </c>
      <c r="G758" s="93">
        <v>0.61</v>
      </c>
      <c r="H758" s="93">
        <v>0.030927</v>
      </c>
      <c r="I758" s="93">
        <v>7.725666</v>
      </c>
    </row>
    <row r="759" spans="1:9">
      <c r="A759" s="90"/>
      <c r="B759" s="91" t="s">
        <v>985</v>
      </c>
      <c r="C759" s="91" t="s">
        <v>1227</v>
      </c>
      <c r="D759" s="92" t="s">
        <v>1228</v>
      </c>
      <c r="E759" s="93" t="s">
        <v>215</v>
      </c>
      <c r="F759" s="93">
        <v>0.132355</v>
      </c>
      <c r="G759" s="93">
        <v>5.96</v>
      </c>
      <c r="H759" s="93">
        <v>0.7888358</v>
      </c>
      <c r="I759" s="93">
        <v>20.1682549</v>
      </c>
    </row>
    <row r="760" spans="1:9">
      <c r="A760" s="90"/>
      <c r="B760" s="91" t="s">
        <v>985</v>
      </c>
      <c r="C760" s="91" t="s">
        <v>984</v>
      </c>
      <c r="D760" s="92" t="s">
        <v>986</v>
      </c>
      <c r="E760" s="93" t="s">
        <v>215</v>
      </c>
      <c r="F760" s="93">
        <v>0.574308</v>
      </c>
      <c r="G760" s="93">
        <v>5.93</v>
      </c>
      <c r="H760" s="93">
        <v>3.40564644</v>
      </c>
      <c r="I760" s="93">
        <v>87.51305304</v>
      </c>
    </row>
    <row r="761" ht="38.25" spans="1:9">
      <c r="A761" s="90"/>
      <c r="B761" s="91" t="s">
        <v>1002</v>
      </c>
      <c r="C761" s="91" t="s">
        <v>1514</v>
      </c>
      <c r="D761" s="92" t="s">
        <v>1515</v>
      </c>
      <c r="E761" s="93" t="s">
        <v>494</v>
      </c>
      <c r="F761" s="93">
        <v>8.2386e-7</v>
      </c>
      <c r="G761" s="93">
        <v>85950</v>
      </c>
      <c r="H761" s="93">
        <v>0.070810767</v>
      </c>
      <c r="I761" s="93">
        <v>0.0001255397868</v>
      </c>
    </row>
    <row r="762" ht="63.75" spans="1:9">
      <c r="A762" s="85" t="s">
        <v>2292</v>
      </c>
      <c r="B762" s="85" t="s">
        <v>798</v>
      </c>
      <c r="C762" s="85" t="s">
        <v>2293</v>
      </c>
      <c r="D762" s="87" t="s">
        <v>799</v>
      </c>
      <c r="E762" s="89" t="s">
        <v>476</v>
      </c>
      <c r="F762" s="89">
        <v>158.19</v>
      </c>
      <c r="G762" s="89">
        <v>15.86</v>
      </c>
      <c r="H762" s="89">
        <v>2508.89</v>
      </c>
      <c r="I762" s="89">
        <v>158.19</v>
      </c>
    </row>
    <row r="763" ht="38.25" spans="1:9">
      <c r="A763" s="90"/>
      <c r="B763" s="91" t="s">
        <v>1002</v>
      </c>
      <c r="C763" s="91" t="s">
        <v>1297</v>
      </c>
      <c r="D763" s="92" t="s">
        <v>1298</v>
      </c>
      <c r="E763" s="93" t="s">
        <v>494</v>
      </c>
      <c r="F763" s="93">
        <v>1</v>
      </c>
      <c r="G763" s="93">
        <v>717852.52</v>
      </c>
      <c r="H763" s="93">
        <v>0.4822676799864</v>
      </c>
      <c r="I763" s="93">
        <v>158.19</v>
      </c>
    </row>
    <row r="764" ht="25.5" spans="1:9">
      <c r="A764" s="90"/>
      <c r="B764" s="91" t="s">
        <v>1421</v>
      </c>
      <c r="C764" s="91" t="s">
        <v>1420</v>
      </c>
      <c r="D764" s="92" t="s">
        <v>1422</v>
      </c>
      <c r="E764" s="93" t="s">
        <v>494</v>
      </c>
      <c r="F764" s="93">
        <v>1</v>
      </c>
      <c r="G764" s="93">
        <v>15839.74</v>
      </c>
      <c r="H764" s="93">
        <v>0.2656969075418</v>
      </c>
      <c r="I764" s="93">
        <v>158.19</v>
      </c>
    </row>
    <row r="765" ht="25.5" spans="1:9">
      <c r="A765" s="90"/>
      <c r="B765" s="91" t="s">
        <v>1103</v>
      </c>
      <c r="C765" s="91" t="s">
        <v>1102</v>
      </c>
      <c r="D765" s="92" t="s">
        <v>1104</v>
      </c>
      <c r="E765" s="93" t="s">
        <v>494</v>
      </c>
      <c r="F765" s="93">
        <v>1</v>
      </c>
      <c r="G765" s="93">
        <v>850000</v>
      </c>
      <c r="H765" s="93">
        <v>5.392434</v>
      </c>
      <c r="I765" s="93">
        <v>158.19</v>
      </c>
    </row>
    <row r="766" spans="1:9">
      <c r="A766" s="90"/>
      <c r="B766" s="91" t="s">
        <v>1007</v>
      </c>
      <c r="C766" s="91" t="s">
        <v>1048</v>
      </c>
      <c r="D766" s="92" t="s">
        <v>1049</v>
      </c>
      <c r="E766" s="93" t="s">
        <v>839</v>
      </c>
      <c r="F766" s="93">
        <v>1</v>
      </c>
      <c r="G766" s="93">
        <v>1.5</v>
      </c>
      <c r="H766" s="93">
        <v>0.34545</v>
      </c>
      <c r="I766" s="93">
        <v>158.19</v>
      </c>
    </row>
    <row r="767" spans="1:9">
      <c r="A767" s="90"/>
      <c r="B767" s="91" t="s">
        <v>1007</v>
      </c>
      <c r="C767" s="91" t="s">
        <v>1006</v>
      </c>
      <c r="D767" s="92" t="s">
        <v>1008</v>
      </c>
      <c r="E767" s="93" t="s">
        <v>839</v>
      </c>
      <c r="F767" s="93">
        <v>0.2303</v>
      </c>
      <c r="G767" s="93">
        <v>3.95</v>
      </c>
      <c r="H767" s="93">
        <v>0.909685</v>
      </c>
      <c r="I767" s="93">
        <v>36.431157</v>
      </c>
    </row>
    <row r="768" spans="1:9">
      <c r="A768" s="90"/>
      <c r="B768" s="91" t="s">
        <v>1023</v>
      </c>
      <c r="C768" s="91" t="s">
        <v>1436</v>
      </c>
      <c r="D768" s="92" t="s">
        <v>1437</v>
      </c>
      <c r="E768" s="93" t="s">
        <v>839</v>
      </c>
      <c r="F768" s="93">
        <v>0.00603054</v>
      </c>
      <c r="G768" s="93">
        <v>21.83</v>
      </c>
      <c r="H768" s="93">
        <v>0.1316466882</v>
      </c>
      <c r="I768" s="93">
        <v>0.9539711226</v>
      </c>
    </row>
    <row r="769" spans="1:9">
      <c r="A769" s="90"/>
      <c r="B769" s="91" t="s">
        <v>1108</v>
      </c>
      <c r="C769" s="91" t="s">
        <v>1107</v>
      </c>
      <c r="D769" s="92" t="s">
        <v>1109</v>
      </c>
      <c r="E769" s="93" t="s">
        <v>839</v>
      </c>
      <c r="F769" s="93">
        <v>0.064536252</v>
      </c>
      <c r="G769" s="93">
        <v>21.83</v>
      </c>
      <c r="H769" s="93">
        <v>1.40882638116</v>
      </c>
      <c r="I769" s="93">
        <v>10.20898970388</v>
      </c>
    </row>
    <row r="770" spans="1:9">
      <c r="A770" s="90"/>
      <c r="B770" s="91" t="s">
        <v>1108</v>
      </c>
      <c r="C770" s="91" t="s">
        <v>1127</v>
      </c>
      <c r="D770" s="92" t="s">
        <v>1128</v>
      </c>
      <c r="E770" s="93" t="s">
        <v>839</v>
      </c>
      <c r="F770" s="93">
        <v>0.126341346</v>
      </c>
      <c r="G770" s="93">
        <v>18</v>
      </c>
      <c r="H770" s="93">
        <v>2.274144228</v>
      </c>
      <c r="I770" s="93">
        <v>19.98593752374</v>
      </c>
    </row>
    <row r="771" spans="1:9">
      <c r="A771" s="90"/>
      <c r="B771" s="91" t="s">
        <v>1007</v>
      </c>
      <c r="C771" s="91" t="s">
        <v>1378</v>
      </c>
      <c r="D771" s="92" t="s">
        <v>1379</v>
      </c>
      <c r="E771" s="93" t="s">
        <v>839</v>
      </c>
      <c r="F771" s="93">
        <v>0.2303</v>
      </c>
      <c r="G771" s="93">
        <v>0.08</v>
      </c>
      <c r="H771" s="93">
        <v>0.018424</v>
      </c>
      <c r="I771" s="93">
        <v>36.431157</v>
      </c>
    </row>
    <row r="772" spans="1:9">
      <c r="A772" s="90"/>
      <c r="B772" s="91" t="s">
        <v>1020</v>
      </c>
      <c r="C772" s="91" t="s">
        <v>1019</v>
      </c>
      <c r="D772" s="92" t="s">
        <v>1021</v>
      </c>
      <c r="E772" s="93" t="s">
        <v>839</v>
      </c>
      <c r="F772" s="93">
        <v>0.03635472</v>
      </c>
      <c r="G772" s="93">
        <v>14.49</v>
      </c>
      <c r="H772" s="93">
        <v>0.5267798928</v>
      </c>
      <c r="I772" s="93">
        <v>5.7509531568</v>
      </c>
    </row>
    <row r="773" ht="25.5" spans="1:9">
      <c r="A773" s="90"/>
      <c r="B773" s="91" t="s">
        <v>1111</v>
      </c>
      <c r="C773" s="91" t="s">
        <v>1287</v>
      </c>
      <c r="D773" s="92" t="s">
        <v>1288</v>
      </c>
      <c r="E773" s="93" t="s">
        <v>839</v>
      </c>
      <c r="F773" s="93">
        <v>0.1947</v>
      </c>
      <c r="G773" s="93">
        <v>0.89</v>
      </c>
      <c r="H773" s="93">
        <v>0.173283</v>
      </c>
      <c r="I773" s="93">
        <v>30.799593</v>
      </c>
    </row>
    <row r="774" ht="25.5" spans="1:9">
      <c r="A774" s="90"/>
      <c r="B774" s="91" t="s">
        <v>1111</v>
      </c>
      <c r="C774" s="91" t="s">
        <v>1110</v>
      </c>
      <c r="D774" s="92" t="s">
        <v>1112</v>
      </c>
      <c r="E774" s="93" t="s">
        <v>839</v>
      </c>
      <c r="F774" s="93">
        <v>0.0356</v>
      </c>
      <c r="G774" s="93">
        <v>1.39</v>
      </c>
      <c r="H774" s="93">
        <v>0.049484</v>
      </c>
      <c r="I774" s="93">
        <v>5.631564</v>
      </c>
    </row>
    <row r="775" spans="1:9">
      <c r="A775" s="90"/>
      <c r="B775" s="91" t="s">
        <v>1007</v>
      </c>
      <c r="C775" s="91" t="s">
        <v>1050</v>
      </c>
      <c r="D775" s="92" t="s">
        <v>1051</v>
      </c>
      <c r="E775" s="93" t="s">
        <v>839</v>
      </c>
      <c r="F775" s="93">
        <v>0.2303</v>
      </c>
      <c r="G775" s="93">
        <v>1.43</v>
      </c>
      <c r="H775" s="93">
        <v>0.329329</v>
      </c>
      <c r="I775" s="93">
        <v>36.431157</v>
      </c>
    </row>
    <row r="776" ht="25.5" spans="1:9">
      <c r="A776" s="90"/>
      <c r="B776" s="91" t="s">
        <v>1111</v>
      </c>
      <c r="C776" s="91" t="s">
        <v>1707</v>
      </c>
      <c r="D776" s="92" t="s">
        <v>1708</v>
      </c>
      <c r="E776" s="93" t="s">
        <v>839</v>
      </c>
      <c r="F776" s="93">
        <v>0.1947</v>
      </c>
      <c r="G776" s="93">
        <v>0.01</v>
      </c>
      <c r="H776" s="93">
        <v>0.001947</v>
      </c>
      <c r="I776" s="93">
        <v>30.799593</v>
      </c>
    </row>
    <row r="777" ht="25.5" spans="1:9">
      <c r="A777" s="90"/>
      <c r="B777" s="91" t="s">
        <v>1111</v>
      </c>
      <c r="C777" s="91" t="s">
        <v>1195</v>
      </c>
      <c r="D777" s="92" t="s">
        <v>1196</v>
      </c>
      <c r="E777" s="93" t="s">
        <v>839</v>
      </c>
      <c r="F777" s="93">
        <v>0.0356</v>
      </c>
      <c r="G777" s="93">
        <v>0.61</v>
      </c>
      <c r="H777" s="93">
        <v>0.021716</v>
      </c>
      <c r="I777" s="93">
        <v>5.631564</v>
      </c>
    </row>
    <row r="778" spans="1:9">
      <c r="A778" s="90"/>
      <c r="B778" s="91" t="s">
        <v>985</v>
      </c>
      <c r="C778" s="91" t="s">
        <v>1227</v>
      </c>
      <c r="D778" s="92" t="s">
        <v>1228</v>
      </c>
      <c r="E778" s="93" t="s">
        <v>215</v>
      </c>
      <c r="F778" s="93">
        <v>0.128647</v>
      </c>
      <c r="G778" s="93">
        <v>5.96</v>
      </c>
      <c r="H778" s="93">
        <v>0.76673612</v>
      </c>
      <c r="I778" s="93">
        <v>20.35066893</v>
      </c>
    </row>
    <row r="779" spans="1:9">
      <c r="A779" s="90"/>
      <c r="B779" s="91" t="s">
        <v>985</v>
      </c>
      <c r="C779" s="91" t="s">
        <v>984</v>
      </c>
      <c r="D779" s="92" t="s">
        <v>986</v>
      </c>
      <c r="E779" s="93" t="s">
        <v>215</v>
      </c>
      <c r="F779" s="93">
        <v>0.454761</v>
      </c>
      <c r="G779" s="93">
        <v>5.93</v>
      </c>
      <c r="H779" s="93">
        <v>2.69673273</v>
      </c>
      <c r="I779" s="93">
        <v>71.93864259</v>
      </c>
    </row>
    <row r="780" ht="38.25" spans="1:9">
      <c r="A780" s="90"/>
      <c r="B780" s="91" t="s">
        <v>1002</v>
      </c>
      <c r="C780" s="91" t="s">
        <v>1514</v>
      </c>
      <c r="D780" s="92" t="s">
        <v>1515</v>
      </c>
      <c r="E780" s="93" t="s">
        <v>494</v>
      </c>
      <c r="F780" s="93">
        <v>8.2386e-7</v>
      </c>
      <c r="G780" s="93">
        <v>85950</v>
      </c>
      <c r="H780" s="93">
        <v>0.070810767</v>
      </c>
      <c r="I780" s="93">
        <v>0.0001303264134</v>
      </c>
    </row>
    <row r="781" ht="63.75" spans="1:9">
      <c r="A781" s="85" t="s">
        <v>2294</v>
      </c>
      <c r="B781" s="85" t="s">
        <v>800</v>
      </c>
      <c r="C781" s="85" t="s">
        <v>2295</v>
      </c>
      <c r="D781" s="87" t="s">
        <v>801</v>
      </c>
      <c r="E781" s="89" t="s">
        <v>476</v>
      </c>
      <c r="F781" s="89">
        <v>14.68</v>
      </c>
      <c r="G781" s="89">
        <v>23.05</v>
      </c>
      <c r="H781" s="89">
        <v>338.37</v>
      </c>
      <c r="I781" s="89">
        <v>14.68</v>
      </c>
    </row>
    <row r="782" ht="38.25" spans="1:9">
      <c r="A782" s="90"/>
      <c r="B782" s="91" t="s">
        <v>1002</v>
      </c>
      <c r="C782" s="91" t="s">
        <v>1297</v>
      </c>
      <c r="D782" s="92" t="s">
        <v>1298</v>
      </c>
      <c r="E782" s="93" t="s">
        <v>494</v>
      </c>
      <c r="F782" s="93">
        <v>1</v>
      </c>
      <c r="G782" s="93">
        <v>717852.52</v>
      </c>
      <c r="H782" s="93">
        <v>0.4822676799864</v>
      </c>
      <c r="I782" s="93">
        <v>14.68</v>
      </c>
    </row>
    <row r="783" ht="25.5" spans="1:9">
      <c r="A783" s="90"/>
      <c r="B783" s="91" t="s">
        <v>1421</v>
      </c>
      <c r="C783" s="91" t="s">
        <v>1420</v>
      </c>
      <c r="D783" s="92" t="s">
        <v>1422</v>
      </c>
      <c r="E783" s="93" t="s">
        <v>494</v>
      </c>
      <c r="F783" s="93">
        <v>1</v>
      </c>
      <c r="G783" s="93">
        <v>15839.74</v>
      </c>
      <c r="H783" s="93">
        <v>0.2848424012798</v>
      </c>
      <c r="I783" s="93">
        <v>14.68</v>
      </c>
    </row>
    <row r="784" ht="25.5" spans="1:9">
      <c r="A784" s="90"/>
      <c r="B784" s="91" t="s">
        <v>1103</v>
      </c>
      <c r="C784" s="91" t="s">
        <v>1102</v>
      </c>
      <c r="D784" s="92" t="s">
        <v>1104</v>
      </c>
      <c r="E784" s="93" t="s">
        <v>494</v>
      </c>
      <c r="F784" s="93">
        <v>1</v>
      </c>
      <c r="G784" s="93">
        <v>850000</v>
      </c>
      <c r="H784" s="93">
        <v>9.17133</v>
      </c>
      <c r="I784" s="93">
        <v>14.68</v>
      </c>
    </row>
    <row r="785" spans="1:9">
      <c r="A785" s="90"/>
      <c r="B785" s="91" t="s">
        <v>1007</v>
      </c>
      <c r="C785" s="91" t="s">
        <v>1048</v>
      </c>
      <c r="D785" s="92" t="s">
        <v>1049</v>
      </c>
      <c r="E785" s="93" t="s">
        <v>839</v>
      </c>
      <c r="F785" s="93">
        <v>1</v>
      </c>
      <c r="G785" s="93">
        <v>1.5</v>
      </c>
      <c r="H785" s="93">
        <v>0.46335</v>
      </c>
      <c r="I785" s="93">
        <v>14.68</v>
      </c>
    </row>
    <row r="786" spans="1:9">
      <c r="A786" s="90"/>
      <c r="B786" s="91" t="s">
        <v>1007</v>
      </c>
      <c r="C786" s="91" t="s">
        <v>1006</v>
      </c>
      <c r="D786" s="92" t="s">
        <v>1008</v>
      </c>
      <c r="E786" s="93" t="s">
        <v>839</v>
      </c>
      <c r="F786" s="93">
        <v>0.3089</v>
      </c>
      <c r="G786" s="93">
        <v>3.95</v>
      </c>
      <c r="H786" s="93">
        <v>1.220155</v>
      </c>
      <c r="I786" s="93">
        <v>4.534652</v>
      </c>
    </row>
    <row r="787" spans="1:9">
      <c r="A787" s="90"/>
      <c r="B787" s="91" t="s">
        <v>1023</v>
      </c>
      <c r="C787" s="91" t="s">
        <v>1436</v>
      </c>
      <c r="D787" s="92" t="s">
        <v>1437</v>
      </c>
      <c r="E787" s="93" t="s">
        <v>839</v>
      </c>
      <c r="F787" s="93">
        <v>0.00603054</v>
      </c>
      <c r="G787" s="93">
        <v>21.83</v>
      </c>
      <c r="H787" s="93">
        <v>0.1316466882</v>
      </c>
      <c r="I787" s="93">
        <v>0.0885283272</v>
      </c>
    </row>
    <row r="788" spans="1:9">
      <c r="A788" s="90"/>
      <c r="B788" s="91" t="s">
        <v>1108</v>
      </c>
      <c r="C788" s="91" t="s">
        <v>1107</v>
      </c>
      <c r="D788" s="92" t="s">
        <v>1109</v>
      </c>
      <c r="E788" s="93" t="s">
        <v>839</v>
      </c>
      <c r="F788" s="93">
        <v>0.10975209</v>
      </c>
      <c r="G788" s="93">
        <v>21.83</v>
      </c>
      <c r="H788" s="93">
        <v>2.3958881247</v>
      </c>
      <c r="I788" s="93">
        <v>1.6111606812</v>
      </c>
    </row>
    <row r="789" spans="1:9">
      <c r="A789" s="90"/>
      <c r="B789" s="91" t="s">
        <v>1108</v>
      </c>
      <c r="C789" s="91" t="s">
        <v>1127</v>
      </c>
      <c r="D789" s="92" t="s">
        <v>1128</v>
      </c>
      <c r="E789" s="93" t="s">
        <v>839</v>
      </c>
      <c r="F789" s="93">
        <v>0.135445206</v>
      </c>
      <c r="G789" s="93">
        <v>18</v>
      </c>
      <c r="H789" s="93">
        <v>2.438013708</v>
      </c>
      <c r="I789" s="93">
        <v>1.98833562408</v>
      </c>
    </row>
    <row r="790" spans="1:9">
      <c r="A790" s="90"/>
      <c r="B790" s="91" t="s">
        <v>1007</v>
      </c>
      <c r="C790" s="91" t="s">
        <v>1378</v>
      </c>
      <c r="D790" s="92" t="s">
        <v>1379</v>
      </c>
      <c r="E790" s="93" t="s">
        <v>839</v>
      </c>
      <c r="F790" s="93">
        <v>0.3089</v>
      </c>
      <c r="G790" s="93">
        <v>0.08</v>
      </c>
      <c r="H790" s="93">
        <v>0.024712</v>
      </c>
      <c r="I790" s="93">
        <v>4.534652</v>
      </c>
    </row>
    <row r="791" spans="1:9">
      <c r="A791" s="90"/>
      <c r="B791" s="91" t="s">
        <v>1020</v>
      </c>
      <c r="C791" s="91" t="s">
        <v>1019</v>
      </c>
      <c r="D791" s="92" t="s">
        <v>1021</v>
      </c>
      <c r="E791" s="93" t="s">
        <v>839</v>
      </c>
      <c r="F791" s="93">
        <v>0.0617826</v>
      </c>
      <c r="G791" s="93">
        <v>14.49</v>
      </c>
      <c r="H791" s="93">
        <v>0.895229874</v>
      </c>
      <c r="I791" s="93">
        <v>0.906968568</v>
      </c>
    </row>
    <row r="792" ht="25.5" spans="1:9">
      <c r="A792" s="90"/>
      <c r="B792" s="91" t="s">
        <v>1111</v>
      </c>
      <c r="C792" s="91" t="s">
        <v>1287</v>
      </c>
      <c r="D792" s="92" t="s">
        <v>1288</v>
      </c>
      <c r="E792" s="93" t="s">
        <v>839</v>
      </c>
      <c r="F792" s="93">
        <v>0.2484</v>
      </c>
      <c r="G792" s="93">
        <v>0.89</v>
      </c>
      <c r="H792" s="93">
        <v>0.221076</v>
      </c>
      <c r="I792" s="93">
        <v>3.646512</v>
      </c>
    </row>
    <row r="793" ht="25.5" spans="1:9">
      <c r="A793" s="90"/>
      <c r="B793" s="91" t="s">
        <v>1111</v>
      </c>
      <c r="C793" s="91" t="s">
        <v>1110</v>
      </c>
      <c r="D793" s="92" t="s">
        <v>1112</v>
      </c>
      <c r="E793" s="93" t="s">
        <v>839</v>
      </c>
      <c r="F793" s="93">
        <v>0.0605</v>
      </c>
      <c r="G793" s="93">
        <v>1.39</v>
      </c>
      <c r="H793" s="93">
        <v>0.084095</v>
      </c>
      <c r="I793" s="93">
        <v>0.88814</v>
      </c>
    </row>
    <row r="794" spans="1:9">
      <c r="A794" s="90"/>
      <c r="B794" s="91" t="s">
        <v>1007</v>
      </c>
      <c r="C794" s="91" t="s">
        <v>1050</v>
      </c>
      <c r="D794" s="92" t="s">
        <v>1051</v>
      </c>
      <c r="E794" s="93" t="s">
        <v>839</v>
      </c>
      <c r="F794" s="93">
        <v>0.3089</v>
      </c>
      <c r="G794" s="93">
        <v>1.43</v>
      </c>
      <c r="H794" s="93">
        <v>0.441727</v>
      </c>
      <c r="I794" s="93">
        <v>4.534652</v>
      </c>
    </row>
    <row r="795" ht="25.5" spans="1:9">
      <c r="A795" s="90"/>
      <c r="B795" s="91" t="s">
        <v>1111</v>
      </c>
      <c r="C795" s="91" t="s">
        <v>1707</v>
      </c>
      <c r="D795" s="92" t="s">
        <v>1708</v>
      </c>
      <c r="E795" s="93" t="s">
        <v>839</v>
      </c>
      <c r="F795" s="93">
        <v>0.2484</v>
      </c>
      <c r="G795" s="93">
        <v>0.01</v>
      </c>
      <c r="H795" s="93">
        <v>0.002484</v>
      </c>
      <c r="I795" s="93">
        <v>3.646512</v>
      </c>
    </row>
    <row r="796" ht="25.5" spans="1:9">
      <c r="A796" s="90"/>
      <c r="B796" s="91" t="s">
        <v>1111</v>
      </c>
      <c r="C796" s="91" t="s">
        <v>1195</v>
      </c>
      <c r="D796" s="92" t="s">
        <v>1196</v>
      </c>
      <c r="E796" s="93" t="s">
        <v>839</v>
      </c>
      <c r="F796" s="93">
        <v>0.0605</v>
      </c>
      <c r="G796" s="93">
        <v>0.61</v>
      </c>
      <c r="H796" s="93">
        <v>0.036905</v>
      </c>
      <c r="I796" s="93">
        <v>0.88814</v>
      </c>
    </row>
    <row r="797" spans="1:9">
      <c r="A797" s="90"/>
      <c r="B797" s="91" t="s">
        <v>985</v>
      </c>
      <c r="C797" s="91" t="s">
        <v>1227</v>
      </c>
      <c r="D797" s="92" t="s">
        <v>1228</v>
      </c>
      <c r="E797" s="93" t="s">
        <v>215</v>
      </c>
      <c r="F797" s="93">
        <v>0.137917</v>
      </c>
      <c r="G797" s="93">
        <v>5.96</v>
      </c>
      <c r="H797" s="93">
        <v>0.82198532</v>
      </c>
      <c r="I797" s="93">
        <v>2.02462156</v>
      </c>
    </row>
    <row r="798" spans="1:9">
      <c r="A798" s="90"/>
      <c r="B798" s="91" t="s">
        <v>985</v>
      </c>
      <c r="C798" s="91" t="s">
        <v>984</v>
      </c>
      <c r="D798" s="92" t="s">
        <v>986</v>
      </c>
      <c r="E798" s="93" t="s">
        <v>215</v>
      </c>
      <c r="F798" s="93">
        <v>0.651852</v>
      </c>
      <c r="G798" s="93">
        <v>5.93</v>
      </c>
      <c r="H798" s="93">
        <v>3.86548236</v>
      </c>
      <c r="I798" s="93">
        <v>9.56918736</v>
      </c>
    </row>
    <row r="799" ht="38.25" spans="1:9">
      <c r="A799" s="90"/>
      <c r="B799" s="91" t="s">
        <v>1002</v>
      </c>
      <c r="C799" s="91" t="s">
        <v>1514</v>
      </c>
      <c r="D799" s="92" t="s">
        <v>1515</v>
      </c>
      <c r="E799" s="93" t="s">
        <v>494</v>
      </c>
      <c r="F799" s="93">
        <v>8.2386e-7</v>
      </c>
      <c r="G799" s="93">
        <v>85950</v>
      </c>
      <c r="H799" s="93">
        <v>0.070810767</v>
      </c>
      <c r="I799" s="93">
        <v>1.20942648e-5</v>
      </c>
    </row>
    <row r="800" ht="63.75" spans="1:9">
      <c r="A800" s="85" t="s">
        <v>2296</v>
      </c>
      <c r="B800" s="85" t="s">
        <v>802</v>
      </c>
      <c r="C800" s="85" t="s">
        <v>2297</v>
      </c>
      <c r="D800" s="87" t="s">
        <v>803</v>
      </c>
      <c r="E800" s="89" t="s">
        <v>476</v>
      </c>
      <c r="F800" s="89">
        <v>3043.27</v>
      </c>
      <c r="G800" s="89">
        <v>12.16</v>
      </c>
      <c r="H800" s="89">
        <v>37006.16</v>
      </c>
      <c r="I800" s="89">
        <v>3043.27</v>
      </c>
    </row>
    <row r="801" ht="38.25" spans="1:9">
      <c r="A801" s="90"/>
      <c r="B801" s="91" t="s">
        <v>1002</v>
      </c>
      <c r="C801" s="91" t="s">
        <v>1297</v>
      </c>
      <c r="D801" s="92" t="s">
        <v>1298</v>
      </c>
      <c r="E801" s="93" t="s">
        <v>494</v>
      </c>
      <c r="F801" s="93">
        <v>1</v>
      </c>
      <c r="G801" s="93">
        <v>717852.52</v>
      </c>
      <c r="H801" s="93">
        <v>0.4822676799864</v>
      </c>
      <c r="I801" s="93">
        <v>3043.27</v>
      </c>
    </row>
    <row r="802" ht="25.5" spans="1:9">
      <c r="A802" s="90"/>
      <c r="B802" s="91" t="s">
        <v>1421</v>
      </c>
      <c r="C802" s="91" t="s">
        <v>1420</v>
      </c>
      <c r="D802" s="92" t="s">
        <v>1422</v>
      </c>
      <c r="E802" s="93" t="s">
        <v>494</v>
      </c>
      <c r="F802" s="93">
        <v>1</v>
      </c>
      <c r="G802" s="93">
        <v>15839.74</v>
      </c>
      <c r="H802" s="93">
        <v>0.273355105037</v>
      </c>
      <c r="I802" s="93">
        <v>3043.27</v>
      </c>
    </row>
    <row r="803" spans="1:9">
      <c r="A803" s="90"/>
      <c r="B803" s="91" t="s">
        <v>1007</v>
      </c>
      <c r="C803" s="91" t="s">
        <v>1048</v>
      </c>
      <c r="D803" s="92" t="s">
        <v>1049</v>
      </c>
      <c r="E803" s="93" t="s">
        <v>839</v>
      </c>
      <c r="F803" s="93">
        <v>1</v>
      </c>
      <c r="G803" s="93">
        <v>1.5</v>
      </c>
      <c r="H803" s="93">
        <v>0.32865</v>
      </c>
      <c r="I803" s="93">
        <v>3043.27</v>
      </c>
    </row>
    <row r="804" spans="1:9">
      <c r="A804" s="90"/>
      <c r="B804" s="91" t="s">
        <v>1007</v>
      </c>
      <c r="C804" s="91" t="s">
        <v>1006</v>
      </c>
      <c r="D804" s="92" t="s">
        <v>1008</v>
      </c>
      <c r="E804" s="93" t="s">
        <v>839</v>
      </c>
      <c r="F804" s="93">
        <v>0.2191</v>
      </c>
      <c r="G804" s="93">
        <v>3.95</v>
      </c>
      <c r="H804" s="93">
        <v>0.865445</v>
      </c>
      <c r="I804" s="93">
        <v>666.780457</v>
      </c>
    </row>
    <row r="805" spans="1:9">
      <c r="A805" s="90"/>
      <c r="B805" s="91" t="s">
        <v>1023</v>
      </c>
      <c r="C805" s="91" t="s">
        <v>1436</v>
      </c>
      <c r="D805" s="92" t="s">
        <v>1437</v>
      </c>
      <c r="E805" s="93" t="s">
        <v>839</v>
      </c>
      <c r="F805" s="93">
        <v>0.00603054</v>
      </c>
      <c r="G805" s="93">
        <v>21.83</v>
      </c>
      <c r="H805" s="93">
        <v>0.1316466882</v>
      </c>
      <c r="I805" s="93">
        <v>18.3525614658</v>
      </c>
    </row>
    <row r="806" spans="1:9">
      <c r="A806" s="90"/>
      <c r="B806" s="91" t="s">
        <v>1108</v>
      </c>
      <c r="C806" s="91" t="s">
        <v>1107</v>
      </c>
      <c r="D806" s="92" t="s">
        <v>1109</v>
      </c>
      <c r="E806" s="93" t="s">
        <v>839</v>
      </c>
      <c r="F806" s="93">
        <v>0.054926622</v>
      </c>
      <c r="G806" s="93">
        <v>21.83</v>
      </c>
      <c r="H806" s="93">
        <v>1.19904815826</v>
      </c>
      <c r="I806" s="93">
        <v>167.15654093394</v>
      </c>
    </row>
    <row r="807" spans="1:9">
      <c r="A807" s="90"/>
      <c r="B807" s="91" t="s">
        <v>1108</v>
      </c>
      <c r="C807" s="91" t="s">
        <v>1127</v>
      </c>
      <c r="D807" s="92" t="s">
        <v>1128</v>
      </c>
      <c r="E807" s="93" t="s">
        <v>839</v>
      </c>
      <c r="F807" s="93">
        <v>0.12998289</v>
      </c>
      <c r="G807" s="93">
        <v>18</v>
      </c>
      <c r="H807" s="93">
        <v>2.33969202</v>
      </c>
      <c r="I807" s="93">
        <v>395.5730296503</v>
      </c>
    </row>
    <row r="808" spans="1:9">
      <c r="A808" s="90"/>
      <c r="B808" s="91" t="s">
        <v>1007</v>
      </c>
      <c r="C808" s="91" t="s">
        <v>1378</v>
      </c>
      <c r="D808" s="92" t="s">
        <v>1379</v>
      </c>
      <c r="E808" s="93" t="s">
        <v>839</v>
      </c>
      <c r="F808" s="93">
        <v>0.2191</v>
      </c>
      <c r="G808" s="93">
        <v>0.08</v>
      </c>
      <c r="H808" s="93">
        <v>0.017528</v>
      </c>
      <c r="I808" s="93">
        <v>666.780457</v>
      </c>
    </row>
    <row r="809" spans="1:9">
      <c r="A809" s="90"/>
      <c r="B809" s="91" t="s">
        <v>1020</v>
      </c>
      <c r="C809" s="91" t="s">
        <v>1019</v>
      </c>
      <c r="D809" s="92" t="s">
        <v>1021</v>
      </c>
      <c r="E809" s="93" t="s">
        <v>839</v>
      </c>
      <c r="F809" s="93">
        <v>0.03094236</v>
      </c>
      <c r="G809" s="93">
        <v>14.49</v>
      </c>
      <c r="H809" s="93">
        <v>0.4483547964</v>
      </c>
      <c r="I809" s="93">
        <v>94.1659559172</v>
      </c>
    </row>
    <row r="810" ht="25.5" spans="1:9">
      <c r="A810" s="90"/>
      <c r="B810" s="91" t="s">
        <v>1111</v>
      </c>
      <c r="C810" s="91" t="s">
        <v>1287</v>
      </c>
      <c r="D810" s="92" t="s">
        <v>1288</v>
      </c>
      <c r="E810" s="93" t="s">
        <v>839</v>
      </c>
      <c r="F810" s="93">
        <v>0.1888</v>
      </c>
      <c r="G810" s="93">
        <v>0.89</v>
      </c>
      <c r="H810" s="93">
        <v>0.168032</v>
      </c>
      <c r="I810" s="93">
        <v>574.569376</v>
      </c>
    </row>
    <row r="811" ht="25.5" spans="1:9">
      <c r="A811" s="90"/>
      <c r="B811" s="91" t="s">
        <v>1111</v>
      </c>
      <c r="C811" s="91" t="s">
        <v>1110</v>
      </c>
      <c r="D811" s="92" t="s">
        <v>1112</v>
      </c>
      <c r="E811" s="93" t="s">
        <v>839</v>
      </c>
      <c r="F811" s="93">
        <v>0.0303</v>
      </c>
      <c r="G811" s="93">
        <v>1.39</v>
      </c>
      <c r="H811" s="93">
        <v>0.042117</v>
      </c>
      <c r="I811" s="93">
        <v>92.211081</v>
      </c>
    </row>
    <row r="812" spans="1:9">
      <c r="A812" s="90"/>
      <c r="B812" s="91" t="s">
        <v>1007</v>
      </c>
      <c r="C812" s="91" t="s">
        <v>1050</v>
      </c>
      <c r="D812" s="92" t="s">
        <v>1051</v>
      </c>
      <c r="E812" s="93" t="s">
        <v>839</v>
      </c>
      <c r="F812" s="93">
        <v>0.2191</v>
      </c>
      <c r="G812" s="93">
        <v>1.43</v>
      </c>
      <c r="H812" s="93">
        <v>0.313313</v>
      </c>
      <c r="I812" s="93">
        <v>666.780457</v>
      </c>
    </row>
    <row r="813" ht="25.5" spans="1:9">
      <c r="A813" s="90"/>
      <c r="B813" s="91" t="s">
        <v>1111</v>
      </c>
      <c r="C813" s="91" t="s">
        <v>1707</v>
      </c>
      <c r="D813" s="92" t="s">
        <v>1708</v>
      </c>
      <c r="E813" s="93" t="s">
        <v>839</v>
      </c>
      <c r="F813" s="93">
        <v>0.1888</v>
      </c>
      <c r="G813" s="93">
        <v>0.01</v>
      </c>
      <c r="H813" s="93">
        <v>0.001888</v>
      </c>
      <c r="I813" s="93">
        <v>574.569376</v>
      </c>
    </row>
    <row r="814" ht="25.5" spans="1:9">
      <c r="A814" s="90"/>
      <c r="B814" s="91" t="s">
        <v>1111</v>
      </c>
      <c r="C814" s="91" t="s">
        <v>1195</v>
      </c>
      <c r="D814" s="92" t="s">
        <v>1196</v>
      </c>
      <c r="E814" s="93" t="s">
        <v>839</v>
      </c>
      <c r="F814" s="93">
        <v>0.0303</v>
      </c>
      <c r="G814" s="93">
        <v>0.61</v>
      </c>
      <c r="H814" s="93">
        <v>0.018483</v>
      </c>
      <c r="I814" s="93">
        <v>92.211081</v>
      </c>
    </row>
    <row r="815" spans="1:9">
      <c r="A815" s="90"/>
      <c r="B815" s="91" t="s">
        <v>985</v>
      </c>
      <c r="C815" s="91" t="s">
        <v>1227</v>
      </c>
      <c r="D815" s="92" t="s">
        <v>1228</v>
      </c>
      <c r="E815" s="93" t="s">
        <v>215</v>
      </c>
      <c r="F815" s="93">
        <v>0.132355</v>
      </c>
      <c r="G815" s="93">
        <v>5.96</v>
      </c>
      <c r="H815" s="93">
        <v>0.7888358</v>
      </c>
      <c r="I815" s="93">
        <v>402.79200085</v>
      </c>
    </row>
    <row r="816" spans="1:9">
      <c r="A816" s="90"/>
      <c r="B816" s="91" t="s">
        <v>985</v>
      </c>
      <c r="C816" s="91" t="s">
        <v>984</v>
      </c>
      <c r="D816" s="92" t="s">
        <v>986</v>
      </c>
      <c r="E816" s="93" t="s">
        <v>215</v>
      </c>
      <c r="F816" s="93">
        <v>0.36303</v>
      </c>
      <c r="G816" s="93">
        <v>5.93</v>
      </c>
      <c r="H816" s="93">
        <v>2.1527679</v>
      </c>
      <c r="I816" s="93">
        <v>1104.7983081</v>
      </c>
    </row>
    <row r="817" ht="51" spans="1:9">
      <c r="A817" s="90"/>
      <c r="B817" s="91" t="s">
        <v>1136</v>
      </c>
      <c r="C817" s="91" t="s">
        <v>1135</v>
      </c>
      <c r="D817" s="92" t="s">
        <v>1137</v>
      </c>
      <c r="E817" s="93" t="s">
        <v>494</v>
      </c>
      <c r="F817" s="93">
        <v>5.39844e-6</v>
      </c>
      <c r="G817" s="93">
        <v>466463.38</v>
      </c>
      <c r="H817" s="93">
        <v>2.5181745691272</v>
      </c>
      <c r="I817" s="93">
        <v>0.0164289104988</v>
      </c>
    </row>
    <row r="818" ht="38.25" spans="1:9">
      <c r="A818" s="90"/>
      <c r="B818" s="91" t="s">
        <v>1002</v>
      </c>
      <c r="C818" s="91" t="s">
        <v>1514</v>
      </c>
      <c r="D818" s="92" t="s">
        <v>1515</v>
      </c>
      <c r="E818" s="93" t="s">
        <v>494</v>
      </c>
      <c r="F818" s="93">
        <v>8.2386e-7</v>
      </c>
      <c r="G818" s="93">
        <v>85950</v>
      </c>
      <c r="H818" s="93">
        <v>0.070810767</v>
      </c>
      <c r="I818" s="93">
        <v>0.0025072284222</v>
      </c>
    </row>
    <row r="819" ht="38.25" spans="1:9">
      <c r="A819" s="85" t="s">
        <v>2298</v>
      </c>
      <c r="B819" s="85" t="s">
        <v>804</v>
      </c>
      <c r="C819" s="85" t="s">
        <v>2299</v>
      </c>
      <c r="D819" s="87" t="s">
        <v>805</v>
      </c>
      <c r="E819" s="89" t="s">
        <v>412</v>
      </c>
      <c r="F819" s="89">
        <v>23273.88</v>
      </c>
      <c r="G819" s="89">
        <v>0.89</v>
      </c>
      <c r="H819" s="89">
        <v>20713.75</v>
      </c>
      <c r="I819" s="89">
        <v>23273.88</v>
      </c>
    </row>
    <row r="820" spans="1:9">
      <c r="A820" s="90"/>
      <c r="B820" s="91" t="s">
        <v>1007</v>
      </c>
      <c r="C820" s="91" t="s">
        <v>1048</v>
      </c>
      <c r="D820" s="92" t="s">
        <v>1049</v>
      </c>
      <c r="E820" s="93" t="s">
        <v>839</v>
      </c>
      <c r="F820" s="93">
        <v>1</v>
      </c>
      <c r="G820" s="93">
        <v>1.5</v>
      </c>
      <c r="H820" s="93">
        <v>0.0051</v>
      </c>
      <c r="I820" s="93">
        <v>23273.88</v>
      </c>
    </row>
    <row r="821" spans="1:9">
      <c r="A821" s="90"/>
      <c r="B821" s="91" t="s">
        <v>1007</v>
      </c>
      <c r="C821" s="91" t="s">
        <v>1006</v>
      </c>
      <c r="D821" s="92" t="s">
        <v>1008</v>
      </c>
      <c r="E821" s="93" t="s">
        <v>839</v>
      </c>
      <c r="F821" s="93">
        <v>0.0034</v>
      </c>
      <c r="G821" s="93">
        <v>3.95</v>
      </c>
      <c r="H821" s="93">
        <v>0.01343</v>
      </c>
      <c r="I821" s="93">
        <v>79.131192</v>
      </c>
    </row>
    <row r="822" spans="1:9">
      <c r="A822" s="90"/>
      <c r="B822" s="91" t="s">
        <v>1053</v>
      </c>
      <c r="C822" s="91" t="s">
        <v>1052</v>
      </c>
      <c r="D822" s="92" t="s">
        <v>1054</v>
      </c>
      <c r="E822" s="93" t="s">
        <v>839</v>
      </c>
      <c r="F822" s="93">
        <v>0.003417306</v>
      </c>
      <c r="G822" s="93">
        <v>22.67</v>
      </c>
      <c r="H822" s="93">
        <v>0.07747032702</v>
      </c>
      <c r="I822" s="93">
        <v>79.53396976728</v>
      </c>
    </row>
    <row r="823" spans="1:9">
      <c r="A823" s="90"/>
      <c r="B823" s="91" t="s">
        <v>1007</v>
      </c>
      <c r="C823" s="91" t="s">
        <v>1378</v>
      </c>
      <c r="D823" s="92" t="s">
        <v>1379</v>
      </c>
      <c r="E823" s="93" t="s">
        <v>839</v>
      </c>
      <c r="F823" s="93">
        <v>0.0034</v>
      </c>
      <c r="G823" s="93">
        <v>0.08</v>
      </c>
      <c r="H823" s="93">
        <v>0.000272</v>
      </c>
      <c r="I823" s="93">
        <v>79.131192</v>
      </c>
    </row>
    <row r="824" ht="38.25" spans="1:9">
      <c r="A824" s="90"/>
      <c r="B824" s="91" t="s">
        <v>1002</v>
      </c>
      <c r="C824" s="91" t="s">
        <v>1001</v>
      </c>
      <c r="D824" s="92" t="s">
        <v>1003</v>
      </c>
      <c r="E824" s="93" t="s">
        <v>494</v>
      </c>
      <c r="F824" s="93">
        <v>3.3768e-7</v>
      </c>
      <c r="G824" s="93">
        <v>755977.34</v>
      </c>
      <c r="H824" s="93">
        <v>0.2552784281712</v>
      </c>
      <c r="I824" s="93">
        <v>0.0078591237984</v>
      </c>
    </row>
    <row r="825" ht="25.5" spans="1:9">
      <c r="A825" s="90"/>
      <c r="B825" s="91" t="s">
        <v>1111</v>
      </c>
      <c r="C825" s="91" t="s">
        <v>1287</v>
      </c>
      <c r="D825" s="92" t="s">
        <v>1288</v>
      </c>
      <c r="E825" s="93" t="s">
        <v>839</v>
      </c>
      <c r="F825" s="93">
        <v>0.0034</v>
      </c>
      <c r="G825" s="93">
        <v>0.89</v>
      </c>
      <c r="H825" s="93">
        <v>0.003026</v>
      </c>
      <c r="I825" s="93">
        <v>79.131192</v>
      </c>
    </row>
    <row r="826" spans="1:9">
      <c r="A826" s="90"/>
      <c r="B826" s="91" t="s">
        <v>1007</v>
      </c>
      <c r="C826" s="91" t="s">
        <v>1050</v>
      </c>
      <c r="D826" s="92" t="s">
        <v>1051</v>
      </c>
      <c r="E826" s="93" t="s">
        <v>839</v>
      </c>
      <c r="F826" s="93">
        <v>0.0034</v>
      </c>
      <c r="G826" s="93">
        <v>1.43</v>
      </c>
      <c r="H826" s="93">
        <v>0.004862</v>
      </c>
      <c r="I826" s="93">
        <v>79.131192</v>
      </c>
    </row>
    <row r="827" ht="25.5" spans="1:9">
      <c r="A827" s="90"/>
      <c r="B827" s="91" t="s">
        <v>1111</v>
      </c>
      <c r="C827" s="91" t="s">
        <v>1707</v>
      </c>
      <c r="D827" s="92" t="s">
        <v>1708</v>
      </c>
      <c r="E827" s="93" t="s">
        <v>839</v>
      </c>
      <c r="F827" s="93">
        <v>0.0034</v>
      </c>
      <c r="G827" s="93">
        <v>0.01</v>
      </c>
      <c r="H827" s="93">
        <v>3.4e-5</v>
      </c>
      <c r="I827" s="93">
        <v>79.131192</v>
      </c>
    </row>
    <row r="828" spans="1:9">
      <c r="A828" s="90"/>
      <c r="B828" s="91" t="s">
        <v>985</v>
      </c>
      <c r="C828" s="91" t="s">
        <v>984</v>
      </c>
      <c r="D828" s="92" t="s">
        <v>986</v>
      </c>
      <c r="E828" s="93" t="s">
        <v>215</v>
      </c>
      <c r="F828" s="93">
        <v>0.070728</v>
      </c>
      <c r="G828" s="93">
        <v>5.93</v>
      </c>
      <c r="H828" s="93">
        <v>0.41941704</v>
      </c>
      <c r="I828" s="93">
        <v>1646.11498464</v>
      </c>
    </row>
    <row r="829" ht="25.5" spans="1:9">
      <c r="A829" s="90"/>
      <c r="B829" s="91" t="s">
        <v>1002</v>
      </c>
      <c r="C829" s="91" t="s">
        <v>1044</v>
      </c>
      <c r="D829" s="92" t="s">
        <v>1045</v>
      </c>
      <c r="E829" s="93" t="s">
        <v>494</v>
      </c>
      <c r="F829" s="93">
        <v>4.7848e-7</v>
      </c>
      <c r="G829" s="93">
        <v>237841.37</v>
      </c>
      <c r="H829" s="93">
        <v>0.1138023387176</v>
      </c>
      <c r="I829" s="93">
        <v>0.0111360861024</v>
      </c>
    </row>
    <row r="830" ht="38.25" spans="1:9">
      <c r="A830" s="85" t="s">
        <v>2300</v>
      </c>
      <c r="B830" s="85" t="s">
        <v>806</v>
      </c>
      <c r="C830" s="85" t="s">
        <v>2301</v>
      </c>
      <c r="D830" s="87" t="s">
        <v>807</v>
      </c>
      <c r="E830" s="89" t="s">
        <v>412</v>
      </c>
      <c r="F830" s="89">
        <v>148832.34</v>
      </c>
      <c r="G830" s="89">
        <v>2.19</v>
      </c>
      <c r="H830" s="89">
        <v>325942.82</v>
      </c>
      <c r="I830" s="89">
        <v>148832.34</v>
      </c>
    </row>
    <row r="831" spans="1:9">
      <c r="A831" s="90"/>
      <c r="B831" s="91" t="s">
        <v>1007</v>
      </c>
      <c r="C831" s="91" t="s">
        <v>1048</v>
      </c>
      <c r="D831" s="92" t="s">
        <v>1049</v>
      </c>
      <c r="E831" s="93" t="s">
        <v>839</v>
      </c>
      <c r="F831" s="93">
        <v>1</v>
      </c>
      <c r="G831" s="93">
        <v>1.5</v>
      </c>
      <c r="H831" s="93">
        <v>0.0126</v>
      </c>
      <c r="I831" s="93">
        <v>148832.34</v>
      </c>
    </row>
    <row r="832" spans="1:9">
      <c r="A832" s="90"/>
      <c r="B832" s="91" t="s">
        <v>1007</v>
      </c>
      <c r="C832" s="91" t="s">
        <v>1006</v>
      </c>
      <c r="D832" s="92" t="s">
        <v>1008</v>
      </c>
      <c r="E832" s="93" t="s">
        <v>839</v>
      </c>
      <c r="F832" s="93">
        <v>0.0084</v>
      </c>
      <c r="G832" s="93">
        <v>3.95</v>
      </c>
      <c r="H832" s="93">
        <v>0.03318</v>
      </c>
      <c r="I832" s="93">
        <v>1250.191656</v>
      </c>
    </row>
    <row r="833" spans="1:9">
      <c r="A833" s="90"/>
      <c r="B833" s="91" t="s">
        <v>1053</v>
      </c>
      <c r="C833" s="91" t="s">
        <v>1052</v>
      </c>
      <c r="D833" s="92" t="s">
        <v>1054</v>
      </c>
      <c r="E833" s="93" t="s">
        <v>839</v>
      </c>
      <c r="F833" s="93">
        <v>0.008442756</v>
      </c>
      <c r="G833" s="93">
        <v>22.67</v>
      </c>
      <c r="H833" s="93">
        <v>0.19139727852</v>
      </c>
      <c r="I833" s="93">
        <v>1256.55513152904</v>
      </c>
    </row>
    <row r="834" spans="1:9">
      <c r="A834" s="90"/>
      <c r="B834" s="91" t="s">
        <v>1007</v>
      </c>
      <c r="C834" s="91" t="s">
        <v>1378</v>
      </c>
      <c r="D834" s="92" t="s">
        <v>1379</v>
      </c>
      <c r="E834" s="93" t="s">
        <v>839</v>
      </c>
      <c r="F834" s="93">
        <v>0.0084</v>
      </c>
      <c r="G834" s="93">
        <v>0.08</v>
      </c>
      <c r="H834" s="93">
        <v>0.000672</v>
      </c>
      <c r="I834" s="93">
        <v>1250.191656</v>
      </c>
    </row>
    <row r="835" ht="38.25" spans="1:9">
      <c r="A835" s="90"/>
      <c r="B835" s="91" t="s">
        <v>1002</v>
      </c>
      <c r="C835" s="91" t="s">
        <v>1001</v>
      </c>
      <c r="D835" s="92" t="s">
        <v>1003</v>
      </c>
      <c r="E835" s="93" t="s">
        <v>494</v>
      </c>
      <c r="F835" s="93">
        <v>8.3238e-7</v>
      </c>
      <c r="G835" s="93">
        <v>755977.34</v>
      </c>
      <c r="H835" s="93">
        <v>0.6292604182692</v>
      </c>
      <c r="I835" s="93">
        <v>0.1238850631692</v>
      </c>
    </row>
    <row r="836" ht="25.5" spans="1:9">
      <c r="A836" s="90"/>
      <c r="B836" s="91" t="s">
        <v>1111</v>
      </c>
      <c r="C836" s="91" t="s">
        <v>1287</v>
      </c>
      <c r="D836" s="92" t="s">
        <v>1288</v>
      </c>
      <c r="E836" s="93" t="s">
        <v>839</v>
      </c>
      <c r="F836" s="93">
        <v>0.0084</v>
      </c>
      <c r="G836" s="93">
        <v>0.89</v>
      </c>
      <c r="H836" s="93">
        <v>0.007476</v>
      </c>
      <c r="I836" s="93">
        <v>1250.191656</v>
      </c>
    </row>
    <row r="837" spans="1:9">
      <c r="A837" s="90"/>
      <c r="B837" s="91" t="s">
        <v>1007</v>
      </c>
      <c r="C837" s="91" t="s">
        <v>1050</v>
      </c>
      <c r="D837" s="92" t="s">
        <v>1051</v>
      </c>
      <c r="E837" s="93" t="s">
        <v>839</v>
      </c>
      <c r="F837" s="93">
        <v>0.0084</v>
      </c>
      <c r="G837" s="93">
        <v>1.43</v>
      </c>
      <c r="H837" s="93">
        <v>0.012012</v>
      </c>
      <c r="I837" s="93">
        <v>1250.191656</v>
      </c>
    </row>
    <row r="838" ht="25.5" spans="1:9">
      <c r="A838" s="90"/>
      <c r="B838" s="91" t="s">
        <v>1111</v>
      </c>
      <c r="C838" s="91" t="s">
        <v>1707</v>
      </c>
      <c r="D838" s="92" t="s">
        <v>1708</v>
      </c>
      <c r="E838" s="93" t="s">
        <v>839</v>
      </c>
      <c r="F838" s="93">
        <v>0.0084</v>
      </c>
      <c r="G838" s="93">
        <v>0.01</v>
      </c>
      <c r="H838" s="93">
        <v>8.4e-5</v>
      </c>
      <c r="I838" s="93">
        <v>1250.191656</v>
      </c>
    </row>
    <row r="839" spans="1:9">
      <c r="A839" s="90"/>
      <c r="B839" s="91" t="s">
        <v>985</v>
      </c>
      <c r="C839" s="91" t="s">
        <v>984</v>
      </c>
      <c r="D839" s="92" t="s">
        <v>986</v>
      </c>
      <c r="E839" s="93" t="s">
        <v>215</v>
      </c>
      <c r="F839" s="93">
        <v>0.173873</v>
      </c>
      <c r="G839" s="93">
        <v>5.93</v>
      </c>
      <c r="H839" s="93">
        <v>1.03106689</v>
      </c>
      <c r="I839" s="93">
        <v>25877.92545282</v>
      </c>
    </row>
    <row r="840" ht="25.5" spans="1:9">
      <c r="A840" s="90"/>
      <c r="B840" s="91" t="s">
        <v>1002</v>
      </c>
      <c r="C840" s="91" t="s">
        <v>1044</v>
      </c>
      <c r="D840" s="92" t="s">
        <v>1045</v>
      </c>
      <c r="E840" s="93" t="s">
        <v>494</v>
      </c>
      <c r="F840" s="93">
        <v>1.17963e-6</v>
      </c>
      <c r="G840" s="93">
        <v>237841.37</v>
      </c>
      <c r="H840" s="93">
        <v>0.2805648152931</v>
      </c>
      <c r="I840" s="93">
        <v>0.1755670932342</v>
      </c>
    </row>
    <row r="841" ht="38.25" spans="1:9">
      <c r="A841" s="85" t="s">
        <v>2302</v>
      </c>
      <c r="B841" s="85" t="s">
        <v>808</v>
      </c>
      <c r="C841" s="85" t="s">
        <v>2303</v>
      </c>
      <c r="D841" s="87" t="s">
        <v>809</v>
      </c>
      <c r="E841" s="89" t="s">
        <v>412</v>
      </c>
      <c r="F841" s="89">
        <v>73.41</v>
      </c>
      <c r="G841" s="89">
        <v>1.21</v>
      </c>
      <c r="H841" s="89">
        <v>88.82</v>
      </c>
      <c r="I841" s="89">
        <v>73.41</v>
      </c>
    </row>
    <row r="842" ht="38.25" spans="1:9">
      <c r="A842" s="90"/>
      <c r="B842" s="91" t="s">
        <v>1002</v>
      </c>
      <c r="C842" s="91" t="s">
        <v>1068</v>
      </c>
      <c r="D842" s="92" t="s">
        <v>1069</v>
      </c>
      <c r="E842" s="93" t="s">
        <v>494</v>
      </c>
      <c r="F842" s="93">
        <v>1</v>
      </c>
      <c r="G842" s="93">
        <v>569580.71</v>
      </c>
      <c r="H842" s="93">
        <v>0.4508345235792</v>
      </c>
      <c r="I842" s="93">
        <v>73.41</v>
      </c>
    </row>
    <row r="843" spans="1:9">
      <c r="A843" s="90"/>
      <c r="B843" s="91" t="s">
        <v>1007</v>
      </c>
      <c r="C843" s="91" t="s">
        <v>1048</v>
      </c>
      <c r="D843" s="92" t="s">
        <v>1049</v>
      </c>
      <c r="E843" s="93" t="s">
        <v>839</v>
      </c>
      <c r="F843" s="93">
        <v>1</v>
      </c>
      <c r="G843" s="93">
        <v>1.5</v>
      </c>
      <c r="H843" s="93">
        <v>0.012</v>
      </c>
      <c r="I843" s="93">
        <v>73.41</v>
      </c>
    </row>
    <row r="844" spans="1:9">
      <c r="A844" s="90"/>
      <c r="B844" s="91" t="s">
        <v>1007</v>
      </c>
      <c r="C844" s="91" t="s">
        <v>1006</v>
      </c>
      <c r="D844" s="92" t="s">
        <v>1008</v>
      </c>
      <c r="E844" s="93" t="s">
        <v>839</v>
      </c>
      <c r="F844" s="93">
        <v>0.008</v>
      </c>
      <c r="G844" s="93">
        <v>3.95</v>
      </c>
      <c r="H844" s="93">
        <v>0.0316</v>
      </c>
      <c r="I844" s="93">
        <v>0.58728</v>
      </c>
    </row>
    <row r="845" spans="1:9">
      <c r="A845" s="90"/>
      <c r="B845" s="91" t="s">
        <v>1053</v>
      </c>
      <c r="C845" s="91" t="s">
        <v>1052</v>
      </c>
      <c r="D845" s="92" t="s">
        <v>1054</v>
      </c>
      <c r="E845" s="93" t="s">
        <v>839</v>
      </c>
      <c r="F845" s="93">
        <v>0.00804072</v>
      </c>
      <c r="G845" s="93">
        <v>22.67</v>
      </c>
      <c r="H845" s="93">
        <v>0.1822831224</v>
      </c>
      <c r="I845" s="93">
        <v>0.5902692552</v>
      </c>
    </row>
    <row r="846" spans="1:9">
      <c r="A846" s="90"/>
      <c r="B846" s="91" t="s">
        <v>1007</v>
      </c>
      <c r="C846" s="91" t="s">
        <v>1378</v>
      </c>
      <c r="D846" s="92" t="s">
        <v>1379</v>
      </c>
      <c r="E846" s="93" t="s">
        <v>839</v>
      </c>
      <c r="F846" s="93">
        <v>0.008</v>
      </c>
      <c r="G846" s="93">
        <v>0.08</v>
      </c>
      <c r="H846" s="93">
        <v>0.00064</v>
      </c>
      <c r="I846" s="93">
        <v>0.58728</v>
      </c>
    </row>
    <row r="847" ht="25.5" spans="1:9">
      <c r="A847" s="90"/>
      <c r="B847" s="91" t="s">
        <v>1002</v>
      </c>
      <c r="C847" s="91" t="s">
        <v>1434</v>
      </c>
      <c r="D847" s="92" t="s">
        <v>1435</v>
      </c>
      <c r="E847" s="93" t="s">
        <v>494</v>
      </c>
      <c r="F847" s="93">
        <v>1.12184e-6</v>
      </c>
      <c r="G847" s="93">
        <v>61258.13</v>
      </c>
      <c r="H847" s="93">
        <v>0.0687218205592</v>
      </c>
      <c r="I847" s="93">
        <v>8.23542744e-5</v>
      </c>
    </row>
    <row r="848" ht="25.5" spans="1:9">
      <c r="A848" s="90"/>
      <c r="B848" s="91" t="s">
        <v>1111</v>
      </c>
      <c r="C848" s="91" t="s">
        <v>1287</v>
      </c>
      <c r="D848" s="92" t="s">
        <v>1288</v>
      </c>
      <c r="E848" s="93" t="s">
        <v>839</v>
      </c>
      <c r="F848" s="93">
        <v>0.008</v>
      </c>
      <c r="G848" s="93">
        <v>0.89</v>
      </c>
      <c r="H848" s="93">
        <v>0.00712</v>
      </c>
      <c r="I848" s="93">
        <v>0.58728</v>
      </c>
    </row>
    <row r="849" spans="1:9">
      <c r="A849" s="90"/>
      <c r="B849" s="91" t="s">
        <v>1007</v>
      </c>
      <c r="C849" s="91" t="s">
        <v>1050</v>
      </c>
      <c r="D849" s="92" t="s">
        <v>1051</v>
      </c>
      <c r="E849" s="93" t="s">
        <v>839</v>
      </c>
      <c r="F849" s="93">
        <v>0.008</v>
      </c>
      <c r="G849" s="93">
        <v>1.43</v>
      </c>
      <c r="H849" s="93">
        <v>0.01144</v>
      </c>
      <c r="I849" s="93">
        <v>0.58728</v>
      </c>
    </row>
    <row r="850" ht="25.5" spans="1:9">
      <c r="A850" s="90"/>
      <c r="B850" s="91" t="s">
        <v>1111</v>
      </c>
      <c r="C850" s="91" t="s">
        <v>1707</v>
      </c>
      <c r="D850" s="92" t="s">
        <v>1708</v>
      </c>
      <c r="E850" s="93" t="s">
        <v>839</v>
      </c>
      <c r="F850" s="93">
        <v>0.008</v>
      </c>
      <c r="G850" s="93">
        <v>0.01</v>
      </c>
      <c r="H850" s="93">
        <v>8e-5</v>
      </c>
      <c r="I850" s="93">
        <v>0.58728</v>
      </c>
    </row>
    <row r="851" spans="1:9">
      <c r="A851" s="90"/>
      <c r="B851" s="91" t="s">
        <v>985</v>
      </c>
      <c r="C851" s="91" t="s">
        <v>984</v>
      </c>
      <c r="D851" s="92" t="s">
        <v>986</v>
      </c>
      <c r="E851" s="93" t="s">
        <v>215</v>
      </c>
      <c r="F851" s="93">
        <v>0.076272</v>
      </c>
      <c r="G851" s="93">
        <v>5.93</v>
      </c>
      <c r="H851" s="93">
        <v>0.45229296</v>
      </c>
      <c r="I851" s="93">
        <v>5.59912752</v>
      </c>
    </row>
    <row r="852" ht="38.25" spans="1:9">
      <c r="A852" s="85" t="s">
        <v>2304</v>
      </c>
      <c r="B852" s="85" t="s">
        <v>810</v>
      </c>
      <c r="C852" s="85" t="s">
        <v>2305</v>
      </c>
      <c r="D852" s="87" t="s">
        <v>811</v>
      </c>
      <c r="E852" s="89" t="s">
        <v>412</v>
      </c>
      <c r="F852" s="89">
        <v>3503.15</v>
      </c>
      <c r="G852" s="89">
        <v>3.02</v>
      </c>
      <c r="H852" s="89">
        <v>10579.51</v>
      </c>
      <c r="I852" s="89">
        <v>3503.15</v>
      </c>
    </row>
    <row r="853" ht="38.25" spans="1:9">
      <c r="A853" s="90"/>
      <c r="B853" s="91" t="s">
        <v>1002</v>
      </c>
      <c r="C853" s="91" t="s">
        <v>1068</v>
      </c>
      <c r="D853" s="92" t="s">
        <v>1069</v>
      </c>
      <c r="E853" s="93" t="s">
        <v>494</v>
      </c>
      <c r="F853" s="93">
        <v>1</v>
      </c>
      <c r="G853" s="93">
        <v>569580.71</v>
      </c>
      <c r="H853" s="93">
        <v>1.1203538649558</v>
      </c>
      <c r="I853" s="93">
        <v>3503.15</v>
      </c>
    </row>
    <row r="854" spans="1:9">
      <c r="A854" s="90"/>
      <c r="B854" s="91" t="s">
        <v>1007</v>
      </c>
      <c r="C854" s="91" t="s">
        <v>1048</v>
      </c>
      <c r="D854" s="92" t="s">
        <v>1049</v>
      </c>
      <c r="E854" s="93" t="s">
        <v>839</v>
      </c>
      <c r="F854" s="93">
        <v>1</v>
      </c>
      <c r="G854" s="93">
        <v>1.5</v>
      </c>
      <c r="H854" s="93">
        <v>0.02985</v>
      </c>
      <c r="I854" s="93">
        <v>3503.15</v>
      </c>
    </row>
    <row r="855" spans="1:9">
      <c r="A855" s="90"/>
      <c r="B855" s="91" t="s">
        <v>1007</v>
      </c>
      <c r="C855" s="91" t="s">
        <v>1006</v>
      </c>
      <c r="D855" s="92" t="s">
        <v>1008</v>
      </c>
      <c r="E855" s="93" t="s">
        <v>839</v>
      </c>
      <c r="F855" s="93">
        <v>0.0199</v>
      </c>
      <c r="G855" s="93">
        <v>3.95</v>
      </c>
      <c r="H855" s="93">
        <v>0.078605</v>
      </c>
      <c r="I855" s="93">
        <v>69.712685</v>
      </c>
    </row>
    <row r="856" spans="1:9">
      <c r="A856" s="90"/>
      <c r="B856" s="91" t="s">
        <v>1053</v>
      </c>
      <c r="C856" s="91" t="s">
        <v>1052</v>
      </c>
      <c r="D856" s="92" t="s">
        <v>1054</v>
      </c>
      <c r="E856" s="93" t="s">
        <v>839</v>
      </c>
      <c r="F856" s="93">
        <v>0.020001291</v>
      </c>
      <c r="G856" s="93">
        <v>22.67</v>
      </c>
      <c r="H856" s="93">
        <v>0.45342926697</v>
      </c>
      <c r="I856" s="93">
        <v>70.06752256665</v>
      </c>
    </row>
    <row r="857" spans="1:9">
      <c r="A857" s="90"/>
      <c r="B857" s="91" t="s">
        <v>1007</v>
      </c>
      <c r="C857" s="91" t="s">
        <v>1378</v>
      </c>
      <c r="D857" s="92" t="s">
        <v>1379</v>
      </c>
      <c r="E857" s="93" t="s">
        <v>839</v>
      </c>
      <c r="F857" s="93">
        <v>0.0199</v>
      </c>
      <c r="G857" s="93">
        <v>0.08</v>
      </c>
      <c r="H857" s="93">
        <v>0.001592</v>
      </c>
      <c r="I857" s="93">
        <v>69.712685</v>
      </c>
    </row>
    <row r="858" ht="25.5" spans="1:9">
      <c r="A858" s="90"/>
      <c r="B858" s="91" t="s">
        <v>1002</v>
      </c>
      <c r="C858" s="91" t="s">
        <v>1434</v>
      </c>
      <c r="D858" s="92" t="s">
        <v>1435</v>
      </c>
      <c r="E858" s="93" t="s">
        <v>494</v>
      </c>
      <c r="F858" s="93">
        <v>2.78803e-6</v>
      </c>
      <c r="G858" s="93">
        <v>61258.13</v>
      </c>
      <c r="H858" s="93">
        <v>0.1707895041839</v>
      </c>
      <c r="I858" s="93">
        <v>0.0097668872945</v>
      </c>
    </row>
    <row r="859" ht="25.5" spans="1:9">
      <c r="A859" s="90"/>
      <c r="B859" s="91" t="s">
        <v>1111</v>
      </c>
      <c r="C859" s="91" t="s">
        <v>1287</v>
      </c>
      <c r="D859" s="92" t="s">
        <v>1288</v>
      </c>
      <c r="E859" s="93" t="s">
        <v>839</v>
      </c>
      <c r="F859" s="93">
        <v>0.0199</v>
      </c>
      <c r="G859" s="93">
        <v>0.89</v>
      </c>
      <c r="H859" s="93">
        <v>0.017711</v>
      </c>
      <c r="I859" s="93">
        <v>69.712685</v>
      </c>
    </row>
    <row r="860" spans="1:9">
      <c r="A860" s="90"/>
      <c r="B860" s="91" t="s">
        <v>1007</v>
      </c>
      <c r="C860" s="91" t="s">
        <v>1050</v>
      </c>
      <c r="D860" s="92" t="s">
        <v>1051</v>
      </c>
      <c r="E860" s="93" t="s">
        <v>839</v>
      </c>
      <c r="F860" s="93">
        <v>0.0199</v>
      </c>
      <c r="G860" s="93">
        <v>1.43</v>
      </c>
      <c r="H860" s="93">
        <v>0.028457</v>
      </c>
      <c r="I860" s="93">
        <v>69.712685</v>
      </c>
    </row>
    <row r="861" ht="25.5" spans="1:9">
      <c r="A861" s="90"/>
      <c r="B861" s="91" t="s">
        <v>1111</v>
      </c>
      <c r="C861" s="91" t="s">
        <v>1707</v>
      </c>
      <c r="D861" s="92" t="s">
        <v>1708</v>
      </c>
      <c r="E861" s="93" t="s">
        <v>839</v>
      </c>
      <c r="F861" s="93">
        <v>0.0199</v>
      </c>
      <c r="G861" s="93">
        <v>0.01</v>
      </c>
      <c r="H861" s="93">
        <v>0.000199</v>
      </c>
      <c r="I861" s="93">
        <v>69.712685</v>
      </c>
    </row>
    <row r="862" spans="1:9">
      <c r="A862" s="90"/>
      <c r="B862" s="91" t="s">
        <v>985</v>
      </c>
      <c r="C862" s="91" t="s">
        <v>984</v>
      </c>
      <c r="D862" s="92" t="s">
        <v>986</v>
      </c>
      <c r="E862" s="93" t="s">
        <v>215</v>
      </c>
      <c r="F862" s="93">
        <v>0.189318</v>
      </c>
      <c r="G862" s="93">
        <v>5.93</v>
      </c>
      <c r="H862" s="93">
        <v>1.12265574</v>
      </c>
      <c r="I862" s="93">
        <v>663.2093517</v>
      </c>
    </row>
    <row r="863" ht="38.25" spans="1:9">
      <c r="A863" s="85" t="s">
        <v>2306</v>
      </c>
      <c r="B863" s="85" t="s">
        <v>812</v>
      </c>
      <c r="C863" s="85" t="s">
        <v>2307</v>
      </c>
      <c r="D863" s="87" t="s">
        <v>813</v>
      </c>
      <c r="E863" s="89" t="s">
        <v>814</v>
      </c>
      <c r="F863" s="89">
        <v>179.73</v>
      </c>
      <c r="G863" s="89">
        <v>2.85</v>
      </c>
      <c r="H863" s="89">
        <v>512.23</v>
      </c>
      <c r="I863" s="89">
        <v>179.73</v>
      </c>
    </row>
    <row r="864" ht="38.25" spans="1:9">
      <c r="A864" s="90"/>
      <c r="B864" s="91" t="s">
        <v>1002</v>
      </c>
      <c r="C864" s="91" t="s">
        <v>1068</v>
      </c>
      <c r="D864" s="92" t="s">
        <v>1069</v>
      </c>
      <c r="E864" s="93" t="s">
        <v>494</v>
      </c>
      <c r="F864" s="93">
        <v>1</v>
      </c>
      <c r="G864" s="93">
        <v>569580.71</v>
      </c>
      <c r="H864" s="93">
        <v>0.7504339770392</v>
      </c>
      <c r="I864" s="93">
        <v>179.73</v>
      </c>
    </row>
    <row r="865" ht="51" spans="1:9">
      <c r="A865" s="90"/>
      <c r="B865" s="91" t="s">
        <v>1210</v>
      </c>
      <c r="C865" s="91" t="s">
        <v>1209</v>
      </c>
      <c r="D865" s="92" t="s">
        <v>1211</v>
      </c>
      <c r="E865" s="93" t="s">
        <v>494</v>
      </c>
      <c r="F865" s="93">
        <v>1</v>
      </c>
      <c r="G865" s="93">
        <v>143450</v>
      </c>
      <c r="H865" s="93">
        <v>0.235582197</v>
      </c>
      <c r="I865" s="93">
        <v>179.73</v>
      </c>
    </row>
    <row r="866" spans="1:9">
      <c r="A866" s="90"/>
      <c r="B866" s="91" t="s">
        <v>1007</v>
      </c>
      <c r="C866" s="91" t="s">
        <v>1048</v>
      </c>
      <c r="D866" s="92" t="s">
        <v>1049</v>
      </c>
      <c r="E866" s="93" t="s">
        <v>839</v>
      </c>
      <c r="F866" s="93">
        <v>1</v>
      </c>
      <c r="G866" s="93">
        <v>1.5</v>
      </c>
      <c r="H866" s="93">
        <v>0.01995</v>
      </c>
      <c r="I866" s="93">
        <v>179.73</v>
      </c>
    </row>
    <row r="867" spans="1:9">
      <c r="A867" s="90"/>
      <c r="B867" s="91" t="s">
        <v>1007</v>
      </c>
      <c r="C867" s="91" t="s">
        <v>1006</v>
      </c>
      <c r="D867" s="92" t="s">
        <v>1008</v>
      </c>
      <c r="E867" s="93" t="s">
        <v>839</v>
      </c>
      <c r="F867" s="93">
        <v>0.0133</v>
      </c>
      <c r="G867" s="93">
        <v>3.95</v>
      </c>
      <c r="H867" s="93">
        <v>0.052535</v>
      </c>
      <c r="I867" s="93">
        <v>2.390409</v>
      </c>
    </row>
    <row r="868" spans="1:9">
      <c r="A868" s="90"/>
      <c r="B868" s="91" t="s">
        <v>1023</v>
      </c>
      <c r="C868" s="91" t="s">
        <v>1147</v>
      </c>
      <c r="D868" s="92" t="s">
        <v>1148</v>
      </c>
      <c r="E868" s="93" t="s">
        <v>839</v>
      </c>
      <c r="F868" s="93">
        <v>0.013517721</v>
      </c>
      <c r="G868" s="93">
        <v>23.07</v>
      </c>
      <c r="H868" s="93">
        <v>0.31185382347</v>
      </c>
      <c r="I868" s="93">
        <v>2.42953999533</v>
      </c>
    </row>
    <row r="869" spans="1:9">
      <c r="A869" s="90"/>
      <c r="B869" s="91" t="s">
        <v>1007</v>
      </c>
      <c r="C869" s="91" t="s">
        <v>1378</v>
      </c>
      <c r="D869" s="92" t="s">
        <v>1379</v>
      </c>
      <c r="E869" s="93" t="s">
        <v>839</v>
      </c>
      <c r="F869" s="93">
        <v>0.0133</v>
      </c>
      <c r="G869" s="93">
        <v>0.08</v>
      </c>
      <c r="H869" s="93">
        <v>0.001064</v>
      </c>
      <c r="I869" s="93">
        <v>2.390409</v>
      </c>
    </row>
    <row r="870" ht="25.5" spans="1:9">
      <c r="A870" s="90"/>
      <c r="B870" s="91" t="s">
        <v>1111</v>
      </c>
      <c r="C870" s="91" t="s">
        <v>1287</v>
      </c>
      <c r="D870" s="92" t="s">
        <v>1288</v>
      </c>
      <c r="E870" s="93" t="s">
        <v>839</v>
      </c>
      <c r="F870" s="93">
        <v>0.0133</v>
      </c>
      <c r="G870" s="93">
        <v>0.89</v>
      </c>
      <c r="H870" s="93">
        <v>0.011837</v>
      </c>
      <c r="I870" s="93">
        <v>2.390409</v>
      </c>
    </row>
    <row r="871" spans="1:9">
      <c r="A871" s="90"/>
      <c r="B871" s="91" t="s">
        <v>1007</v>
      </c>
      <c r="C871" s="91" t="s">
        <v>1050</v>
      </c>
      <c r="D871" s="92" t="s">
        <v>1051</v>
      </c>
      <c r="E871" s="93" t="s">
        <v>839</v>
      </c>
      <c r="F871" s="93">
        <v>0.0133</v>
      </c>
      <c r="G871" s="93">
        <v>1.43</v>
      </c>
      <c r="H871" s="93">
        <v>0.019019</v>
      </c>
      <c r="I871" s="93">
        <v>2.390409</v>
      </c>
    </row>
    <row r="872" ht="25.5" spans="1:9">
      <c r="A872" s="90"/>
      <c r="B872" s="91" t="s">
        <v>1111</v>
      </c>
      <c r="C872" s="91" t="s">
        <v>1707</v>
      </c>
      <c r="D872" s="92" t="s">
        <v>1708</v>
      </c>
      <c r="E872" s="93" t="s">
        <v>839</v>
      </c>
      <c r="F872" s="93">
        <v>0.0133</v>
      </c>
      <c r="G872" s="93">
        <v>0.01</v>
      </c>
      <c r="H872" s="93">
        <v>0.000133</v>
      </c>
      <c r="I872" s="93">
        <v>2.390409</v>
      </c>
    </row>
    <row r="873" spans="1:9">
      <c r="A873" s="90"/>
      <c r="B873" s="91" t="s">
        <v>985</v>
      </c>
      <c r="C873" s="91" t="s">
        <v>984</v>
      </c>
      <c r="D873" s="92" t="s">
        <v>986</v>
      </c>
      <c r="E873" s="93" t="s">
        <v>215</v>
      </c>
      <c r="F873" s="93">
        <v>0.245799</v>
      </c>
      <c r="G873" s="93">
        <v>5.93</v>
      </c>
      <c r="H873" s="93">
        <v>1.45758807</v>
      </c>
      <c r="I873" s="93">
        <v>44.17745427</v>
      </c>
    </row>
    <row r="874" ht="25.5" spans="1:9">
      <c r="A874" s="85" t="s">
        <v>2308</v>
      </c>
      <c r="B874" s="85" t="s">
        <v>815</v>
      </c>
      <c r="C874" s="85" t="s">
        <v>2309</v>
      </c>
      <c r="D874" s="87" t="s">
        <v>816</v>
      </c>
      <c r="E874" s="89" t="s">
        <v>814</v>
      </c>
      <c r="F874" s="89">
        <v>241.04</v>
      </c>
      <c r="G874" s="89">
        <v>1.44</v>
      </c>
      <c r="H874" s="89">
        <v>347.09</v>
      </c>
      <c r="I874" s="89">
        <v>241.04</v>
      </c>
    </row>
    <row r="875" spans="1:9">
      <c r="A875" s="90"/>
      <c r="B875" s="91" t="s">
        <v>1007</v>
      </c>
      <c r="C875" s="91" t="s">
        <v>1048</v>
      </c>
      <c r="D875" s="92" t="s">
        <v>1049</v>
      </c>
      <c r="E875" s="93" t="s">
        <v>839</v>
      </c>
      <c r="F875" s="93">
        <v>1</v>
      </c>
      <c r="G875" s="93">
        <v>1.5</v>
      </c>
      <c r="H875" s="93">
        <v>0.006</v>
      </c>
      <c r="I875" s="93">
        <v>241.04</v>
      </c>
    </row>
    <row r="876" spans="1:9">
      <c r="A876" s="90"/>
      <c r="B876" s="91" t="s">
        <v>1007</v>
      </c>
      <c r="C876" s="91" t="s">
        <v>1006</v>
      </c>
      <c r="D876" s="92" t="s">
        <v>1008</v>
      </c>
      <c r="E876" s="93" t="s">
        <v>839</v>
      </c>
      <c r="F876" s="93">
        <v>0.004</v>
      </c>
      <c r="G876" s="93">
        <v>3.95</v>
      </c>
      <c r="H876" s="93">
        <v>0.0158</v>
      </c>
      <c r="I876" s="93">
        <v>0.96416</v>
      </c>
    </row>
    <row r="877" spans="1:9">
      <c r="A877" s="90"/>
      <c r="B877" s="91" t="s">
        <v>1023</v>
      </c>
      <c r="C877" s="91" t="s">
        <v>1739</v>
      </c>
      <c r="D877" s="92" t="s">
        <v>1740</v>
      </c>
      <c r="E877" s="93" t="s">
        <v>839</v>
      </c>
      <c r="F877" s="93">
        <v>0.00402036</v>
      </c>
      <c r="G877" s="93">
        <v>27.14</v>
      </c>
      <c r="H877" s="93">
        <v>0.1091125704</v>
      </c>
      <c r="I877" s="93">
        <v>0.9690675744</v>
      </c>
    </row>
    <row r="878" spans="1:9">
      <c r="A878" s="90"/>
      <c r="B878" s="91" t="s">
        <v>1007</v>
      </c>
      <c r="C878" s="91" t="s">
        <v>1378</v>
      </c>
      <c r="D878" s="92" t="s">
        <v>1379</v>
      </c>
      <c r="E878" s="93" t="s">
        <v>839</v>
      </c>
      <c r="F878" s="93">
        <v>0.004</v>
      </c>
      <c r="G878" s="93">
        <v>0.08</v>
      </c>
      <c r="H878" s="93">
        <v>0.00032</v>
      </c>
      <c r="I878" s="93">
        <v>0.96416</v>
      </c>
    </row>
    <row r="879" ht="38.25" spans="1:9">
      <c r="A879" s="90"/>
      <c r="B879" s="91" t="s">
        <v>1667</v>
      </c>
      <c r="C879" s="91" t="s">
        <v>1666</v>
      </c>
      <c r="D879" s="92" t="s">
        <v>1668</v>
      </c>
      <c r="E879" s="93" t="s">
        <v>494</v>
      </c>
      <c r="F879" s="93">
        <v>3.9644e-7</v>
      </c>
      <c r="G879" s="93">
        <v>1066631.84</v>
      </c>
      <c r="H879" s="93">
        <v>0.4228555266496</v>
      </c>
      <c r="I879" s="93">
        <v>9.55578976e-5</v>
      </c>
    </row>
    <row r="880" ht="25.5" spans="1:9">
      <c r="A880" s="90"/>
      <c r="B880" s="91" t="s">
        <v>1111</v>
      </c>
      <c r="C880" s="91" t="s">
        <v>1287</v>
      </c>
      <c r="D880" s="92" t="s">
        <v>1288</v>
      </c>
      <c r="E880" s="93" t="s">
        <v>839</v>
      </c>
      <c r="F880" s="93">
        <v>0.004</v>
      </c>
      <c r="G880" s="93">
        <v>0.89</v>
      </c>
      <c r="H880" s="93">
        <v>0.00356</v>
      </c>
      <c r="I880" s="93">
        <v>0.96416</v>
      </c>
    </row>
    <row r="881" spans="1:9">
      <c r="A881" s="90"/>
      <c r="B881" s="91" t="s">
        <v>1007</v>
      </c>
      <c r="C881" s="91" t="s">
        <v>1050</v>
      </c>
      <c r="D881" s="92" t="s">
        <v>1051</v>
      </c>
      <c r="E881" s="93" t="s">
        <v>839</v>
      </c>
      <c r="F881" s="93">
        <v>0.004</v>
      </c>
      <c r="G881" s="93">
        <v>1.43</v>
      </c>
      <c r="H881" s="93">
        <v>0.00572</v>
      </c>
      <c r="I881" s="93">
        <v>0.96416</v>
      </c>
    </row>
    <row r="882" ht="25.5" spans="1:9">
      <c r="A882" s="90"/>
      <c r="B882" s="91" t="s">
        <v>1111</v>
      </c>
      <c r="C882" s="91" t="s">
        <v>1707</v>
      </c>
      <c r="D882" s="92" t="s">
        <v>1708</v>
      </c>
      <c r="E882" s="93" t="s">
        <v>839</v>
      </c>
      <c r="F882" s="93">
        <v>0.004</v>
      </c>
      <c r="G882" s="93">
        <v>0.01</v>
      </c>
      <c r="H882" s="93">
        <v>4e-5</v>
      </c>
      <c r="I882" s="93">
        <v>0.96416</v>
      </c>
    </row>
    <row r="883" spans="1:9">
      <c r="A883" s="90"/>
      <c r="B883" s="91" t="s">
        <v>985</v>
      </c>
      <c r="C883" s="91" t="s">
        <v>984</v>
      </c>
      <c r="D883" s="92" t="s">
        <v>986</v>
      </c>
      <c r="E883" s="93" t="s">
        <v>215</v>
      </c>
      <c r="F883" s="93">
        <v>0.140952</v>
      </c>
      <c r="G883" s="93">
        <v>5.93</v>
      </c>
      <c r="H883" s="93">
        <v>0.83584536</v>
      </c>
      <c r="I883" s="93">
        <v>33.97507008</v>
      </c>
    </row>
    <row r="884" spans="1:9">
      <c r="A884" s="90"/>
      <c r="B884" s="91" t="s">
        <v>1779</v>
      </c>
      <c r="C884" s="91" t="s">
        <v>1784</v>
      </c>
      <c r="D884" s="92" t="s">
        <v>1785</v>
      </c>
      <c r="E884" s="93" t="s">
        <v>494</v>
      </c>
      <c r="F884" s="93">
        <v>3.024e-7</v>
      </c>
      <c r="G884" s="93">
        <v>147034.86</v>
      </c>
      <c r="H884" s="93">
        <v>0.044463341664</v>
      </c>
      <c r="I884" s="93">
        <v>7.2890496e-5</v>
      </c>
    </row>
    <row r="885" spans="1:9">
      <c r="A885" s="85" t="s">
        <v>2310</v>
      </c>
      <c r="B885" s="86"/>
      <c r="C885" s="86"/>
      <c r="D885" s="87" t="s">
        <v>817</v>
      </c>
      <c r="E885" s="88"/>
      <c r="F885" s="89">
        <v>0</v>
      </c>
      <c r="G885" s="89">
        <v>0</v>
      </c>
      <c r="H885" s="89">
        <v>0</v>
      </c>
      <c r="I885" s="89">
        <v>0</v>
      </c>
    </row>
    <row r="886" spans="1:9">
      <c r="A886" s="85" t="s">
        <v>2311</v>
      </c>
      <c r="B886" s="85" t="s">
        <v>818</v>
      </c>
      <c r="C886" s="85" t="s">
        <v>2312</v>
      </c>
      <c r="D886" s="87" t="s">
        <v>819</v>
      </c>
      <c r="E886" s="89" t="s">
        <v>476</v>
      </c>
      <c r="F886" s="89">
        <v>70.02</v>
      </c>
      <c r="G886" s="89">
        <v>256.35</v>
      </c>
      <c r="H886" s="89">
        <v>17949.62</v>
      </c>
      <c r="I886" s="89">
        <v>70.02</v>
      </c>
    </row>
    <row r="887" spans="1:9">
      <c r="A887" s="90"/>
      <c r="B887" s="91" t="s">
        <v>1007</v>
      </c>
      <c r="C887" s="91" t="s">
        <v>1048</v>
      </c>
      <c r="D887" s="92" t="s">
        <v>1049</v>
      </c>
      <c r="E887" s="93" t="s">
        <v>839</v>
      </c>
      <c r="F887" s="93">
        <v>1</v>
      </c>
      <c r="G887" s="93">
        <v>1.5</v>
      </c>
      <c r="H887" s="93">
        <v>2.22675</v>
      </c>
      <c r="I887" s="93">
        <v>70.02</v>
      </c>
    </row>
    <row r="888" spans="1:9">
      <c r="A888" s="90"/>
      <c r="B888" s="91" t="s">
        <v>1007</v>
      </c>
      <c r="C888" s="91" t="s">
        <v>1006</v>
      </c>
      <c r="D888" s="92" t="s">
        <v>1008</v>
      </c>
      <c r="E888" s="93" t="s">
        <v>839</v>
      </c>
      <c r="F888" s="93">
        <v>1.4845</v>
      </c>
      <c r="G888" s="93">
        <v>3.95</v>
      </c>
      <c r="H888" s="93">
        <v>5.863775</v>
      </c>
      <c r="I888" s="93">
        <v>103.94469</v>
      </c>
    </row>
    <row r="889" spans="1:9">
      <c r="A889" s="90"/>
      <c r="B889" s="91" t="s">
        <v>1090</v>
      </c>
      <c r="C889" s="91" t="s">
        <v>1089</v>
      </c>
      <c r="D889" s="92" t="s">
        <v>1091</v>
      </c>
      <c r="E889" s="93" t="s">
        <v>839</v>
      </c>
      <c r="F889" s="93">
        <v>0.37896732</v>
      </c>
      <c r="G889" s="93">
        <v>21.83</v>
      </c>
      <c r="H889" s="93">
        <v>8.2728565956</v>
      </c>
      <c r="I889" s="93">
        <v>26.5352917464</v>
      </c>
    </row>
    <row r="890" spans="1:9">
      <c r="A890" s="90"/>
      <c r="B890" s="91" t="s">
        <v>1007</v>
      </c>
      <c r="C890" s="91" t="s">
        <v>1378</v>
      </c>
      <c r="D890" s="92" t="s">
        <v>1379</v>
      </c>
      <c r="E890" s="93" t="s">
        <v>839</v>
      </c>
      <c r="F890" s="93">
        <v>1.4845</v>
      </c>
      <c r="G890" s="93">
        <v>0.08</v>
      </c>
      <c r="H890" s="93">
        <v>0.11876</v>
      </c>
      <c r="I890" s="93">
        <v>103.94469</v>
      </c>
    </row>
    <row r="891" spans="1:9">
      <c r="A891" s="90"/>
      <c r="B891" s="91" t="s">
        <v>1020</v>
      </c>
      <c r="C891" s="91" t="s">
        <v>1019</v>
      </c>
      <c r="D891" s="92" t="s">
        <v>1021</v>
      </c>
      <c r="E891" s="93" t="s">
        <v>839</v>
      </c>
      <c r="F891" s="93">
        <v>1.13700408</v>
      </c>
      <c r="G891" s="93">
        <v>14.49</v>
      </c>
      <c r="H891" s="93">
        <v>16.4751891192</v>
      </c>
      <c r="I891" s="93">
        <v>79.6130256816</v>
      </c>
    </row>
    <row r="892" ht="25.5" spans="1:9">
      <c r="A892" s="90"/>
      <c r="B892" s="91" t="s">
        <v>1111</v>
      </c>
      <c r="C892" s="91" t="s">
        <v>1351</v>
      </c>
      <c r="D892" s="92" t="s">
        <v>1352</v>
      </c>
      <c r="E892" s="93" t="s">
        <v>839</v>
      </c>
      <c r="F892" s="93">
        <v>0.3711</v>
      </c>
      <c r="G892" s="93">
        <v>1.31</v>
      </c>
      <c r="H892" s="93">
        <v>0.486141</v>
      </c>
      <c r="I892" s="93">
        <v>25.984422</v>
      </c>
    </row>
    <row r="893" ht="25.5" spans="1:9">
      <c r="A893" s="90"/>
      <c r="B893" s="91" t="s">
        <v>1111</v>
      </c>
      <c r="C893" s="91" t="s">
        <v>1110</v>
      </c>
      <c r="D893" s="92" t="s">
        <v>1112</v>
      </c>
      <c r="E893" s="93" t="s">
        <v>839</v>
      </c>
      <c r="F893" s="93">
        <v>1.1134</v>
      </c>
      <c r="G893" s="93">
        <v>1.39</v>
      </c>
      <c r="H893" s="93">
        <v>1.547626</v>
      </c>
      <c r="I893" s="93">
        <v>77.960268</v>
      </c>
    </row>
    <row r="894" spans="1:9">
      <c r="A894" s="90"/>
      <c r="B894" s="91" t="s">
        <v>1007</v>
      </c>
      <c r="C894" s="91" t="s">
        <v>1050</v>
      </c>
      <c r="D894" s="92" t="s">
        <v>1051</v>
      </c>
      <c r="E894" s="93" t="s">
        <v>839</v>
      </c>
      <c r="F894" s="93">
        <v>1.4845</v>
      </c>
      <c r="G894" s="93">
        <v>1.43</v>
      </c>
      <c r="H894" s="93">
        <v>2.122835</v>
      </c>
      <c r="I894" s="93">
        <v>103.94469</v>
      </c>
    </row>
    <row r="895" ht="25.5" spans="1:9">
      <c r="A895" s="90"/>
      <c r="B895" s="91" t="s">
        <v>1111</v>
      </c>
      <c r="C895" s="91" t="s">
        <v>1427</v>
      </c>
      <c r="D895" s="92" t="s">
        <v>1428</v>
      </c>
      <c r="E895" s="93" t="s">
        <v>839</v>
      </c>
      <c r="F895" s="93">
        <v>0.3711</v>
      </c>
      <c r="G895" s="93">
        <v>0.78</v>
      </c>
      <c r="H895" s="93">
        <v>0.289458</v>
      </c>
      <c r="I895" s="93">
        <v>25.984422</v>
      </c>
    </row>
    <row r="896" ht="25.5" spans="1:9">
      <c r="A896" s="90"/>
      <c r="B896" s="91" t="s">
        <v>1111</v>
      </c>
      <c r="C896" s="91" t="s">
        <v>1195</v>
      </c>
      <c r="D896" s="92" t="s">
        <v>1196</v>
      </c>
      <c r="E896" s="93" t="s">
        <v>839</v>
      </c>
      <c r="F896" s="93">
        <v>1.1134</v>
      </c>
      <c r="G896" s="93">
        <v>0.61</v>
      </c>
      <c r="H896" s="93">
        <v>0.679174</v>
      </c>
      <c r="I896" s="93">
        <v>77.960268</v>
      </c>
    </row>
    <row r="897" spans="1:9">
      <c r="A897" s="90"/>
      <c r="B897" s="91" t="s">
        <v>1040</v>
      </c>
      <c r="C897" s="91" t="s">
        <v>1039</v>
      </c>
      <c r="D897" s="92" t="s">
        <v>1041</v>
      </c>
      <c r="E897" s="93" t="s">
        <v>476</v>
      </c>
      <c r="F897" s="93">
        <v>1.1</v>
      </c>
      <c r="G897" s="93">
        <v>198.43</v>
      </c>
      <c r="H897" s="93">
        <v>218.27</v>
      </c>
      <c r="I897" s="93">
        <v>77.022</v>
      </c>
    </row>
    <row r="898" ht="38.25" spans="1:9">
      <c r="A898" s="85" t="s">
        <v>2313</v>
      </c>
      <c r="B898" s="85" t="s">
        <v>820</v>
      </c>
      <c r="C898" s="85" t="s">
        <v>2314</v>
      </c>
      <c r="D898" s="87" t="s">
        <v>821</v>
      </c>
      <c r="E898" s="89" t="s">
        <v>466</v>
      </c>
      <c r="F898" s="89">
        <v>51.5</v>
      </c>
      <c r="G898" s="89">
        <v>68.44</v>
      </c>
      <c r="H898" s="89">
        <v>3524.66</v>
      </c>
      <c r="I898" s="89">
        <v>51.5</v>
      </c>
    </row>
    <row r="899" spans="1:9">
      <c r="A899" s="90"/>
      <c r="B899" s="91" t="s">
        <v>1007</v>
      </c>
      <c r="C899" s="91" t="s">
        <v>1048</v>
      </c>
      <c r="D899" s="92" t="s">
        <v>1049</v>
      </c>
      <c r="E899" s="93" t="s">
        <v>839</v>
      </c>
      <c r="F899" s="93">
        <v>1</v>
      </c>
      <c r="G899" s="93">
        <v>1.5</v>
      </c>
      <c r="H899" s="93">
        <v>1.95045</v>
      </c>
      <c r="I899" s="93">
        <v>51.5</v>
      </c>
    </row>
    <row r="900" spans="1:9">
      <c r="A900" s="90"/>
      <c r="B900" s="91" t="s">
        <v>1007</v>
      </c>
      <c r="C900" s="91" t="s">
        <v>1006</v>
      </c>
      <c r="D900" s="92" t="s">
        <v>1008</v>
      </c>
      <c r="E900" s="93" t="s">
        <v>839</v>
      </c>
      <c r="F900" s="93">
        <v>1.3003</v>
      </c>
      <c r="G900" s="93">
        <v>3.95</v>
      </c>
      <c r="H900" s="93">
        <v>5.136185</v>
      </c>
      <c r="I900" s="93">
        <v>66.96545</v>
      </c>
    </row>
    <row r="901" spans="1:9">
      <c r="A901" s="90"/>
      <c r="B901" s="91" t="s">
        <v>993</v>
      </c>
      <c r="C901" s="91" t="s">
        <v>992</v>
      </c>
      <c r="D901" s="92" t="s">
        <v>994</v>
      </c>
      <c r="E901" s="93" t="s">
        <v>839</v>
      </c>
      <c r="F901" s="93">
        <v>0.920703708</v>
      </c>
      <c r="G901" s="93">
        <v>21.83</v>
      </c>
      <c r="H901" s="93">
        <v>20.09896194564</v>
      </c>
      <c r="I901" s="93">
        <v>47.416240962</v>
      </c>
    </row>
    <row r="902" spans="1:9">
      <c r="A902" s="90"/>
      <c r="B902" s="91" t="s">
        <v>1007</v>
      </c>
      <c r="C902" s="91" t="s">
        <v>1378</v>
      </c>
      <c r="D902" s="92" t="s">
        <v>1379</v>
      </c>
      <c r="E902" s="93" t="s">
        <v>839</v>
      </c>
      <c r="F902" s="93">
        <v>1.3003</v>
      </c>
      <c r="G902" s="93">
        <v>0.08</v>
      </c>
      <c r="H902" s="93">
        <v>0.104024</v>
      </c>
      <c r="I902" s="93">
        <v>66.96545</v>
      </c>
    </row>
    <row r="903" spans="1:9">
      <c r="A903" s="90"/>
      <c r="B903" s="91" t="s">
        <v>1020</v>
      </c>
      <c r="C903" s="91" t="s">
        <v>1019</v>
      </c>
      <c r="D903" s="92" t="s">
        <v>1021</v>
      </c>
      <c r="E903" s="93" t="s">
        <v>839</v>
      </c>
      <c r="F903" s="93">
        <v>0.39837012</v>
      </c>
      <c r="G903" s="93">
        <v>14.49</v>
      </c>
      <c r="H903" s="93">
        <v>5.7723830388</v>
      </c>
      <c r="I903" s="93">
        <v>20.51606118</v>
      </c>
    </row>
    <row r="904" ht="25.5" spans="1:9">
      <c r="A904" s="90"/>
      <c r="B904" s="91" t="s">
        <v>1111</v>
      </c>
      <c r="C904" s="91" t="s">
        <v>1174</v>
      </c>
      <c r="D904" s="92" t="s">
        <v>1175</v>
      </c>
      <c r="E904" s="93" t="s">
        <v>839</v>
      </c>
      <c r="F904" s="93">
        <v>0.9102</v>
      </c>
      <c r="G904" s="93">
        <v>1.43</v>
      </c>
      <c r="H904" s="93">
        <v>1.301586</v>
      </c>
      <c r="I904" s="93">
        <v>46.8753</v>
      </c>
    </row>
    <row r="905" ht="25.5" spans="1:9">
      <c r="A905" s="90"/>
      <c r="B905" s="91" t="s">
        <v>1111</v>
      </c>
      <c r="C905" s="91" t="s">
        <v>1110</v>
      </c>
      <c r="D905" s="92" t="s">
        <v>1112</v>
      </c>
      <c r="E905" s="93" t="s">
        <v>839</v>
      </c>
      <c r="F905" s="93">
        <v>0.3901</v>
      </c>
      <c r="G905" s="93">
        <v>1.39</v>
      </c>
      <c r="H905" s="93">
        <v>0.542239</v>
      </c>
      <c r="I905" s="93">
        <v>20.09015</v>
      </c>
    </row>
    <row r="906" spans="1:9">
      <c r="A906" s="90"/>
      <c r="B906" s="91" t="s">
        <v>1007</v>
      </c>
      <c r="C906" s="91" t="s">
        <v>1050</v>
      </c>
      <c r="D906" s="92" t="s">
        <v>1051</v>
      </c>
      <c r="E906" s="93" t="s">
        <v>839</v>
      </c>
      <c r="F906" s="93">
        <v>1.3003</v>
      </c>
      <c r="G906" s="93">
        <v>1.43</v>
      </c>
      <c r="H906" s="93">
        <v>1.859429</v>
      </c>
      <c r="I906" s="93">
        <v>66.96545</v>
      </c>
    </row>
    <row r="907" ht="25.5" spans="1:9">
      <c r="A907" s="90"/>
      <c r="B907" s="91" t="s">
        <v>1111</v>
      </c>
      <c r="C907" s="91" t="s">
        <v>1310</v>
      </c>
      <c r="D907" s="92" t="s">
        <v>1311</v>
      </c>
      <c r="E907" s="93" t="s">
        <v>839</v>
      </c>
      <c r="F907" s="93">
        <v>0.9102</v>
      </c>
      <c r="G907" s="93">
        <v>0.44</v>
      </c>
      <c r="H907" s="93">
        <v>0.400488</v>
      </c>
      <c r="I907" s="93">
        <v>46.8753</v>
      </c>
    </row>
    <row r="908" ht="25.5" spans="1:9">
      <c r="A908" s="90"/>
      <c r="B908" s="91" t="s">
        <v>1111</v>
      </c>
      <c r="C908" s="91" t="s">
        <v>1195</v>
      </c>
      <c r="D908" s="92" t="s">
        <v>1196</v>
      </c>
      <c r="E908" s="93" t="s">
        <v>839</v>
      </c>
      <c r="F908" s="93">
        <v>0.3901</v>
      </c>
      <c r="G908" s="93">
        <v>0.61</v>
      </c>
      <c r="H908" s="93">
        <v>0.237961</v>
      </c>
      <c r="I908" s="93">
        <v>20.09015</v>
      </c>
    </row>
    <row r="909" ht="25.5" spans="1:9">
      <c r="A909" s="90"/>
      <c r="B909" s="91" t="s">
        <v>1222</v>
      </c>
      <c r="C909" s="91" t="s">
        <v>1221</v>
      </c>
      <c r="D909" s="92" t="s">
        <v>1223</v>
      </c>
      <c r="E909" s="93" t="s">
        <v>112</v>
      </c>
      <c r="F909" s="93">
        <v>0.1449</v>
      </c>
      <c r="G909" s="93">
        <v>10.2</v>
      </c>
      <c r="H909" s="93">
        <v>1.47</v>
      </c>
      <c r="I909" s="93">
        <v>7.46235</v>
      </c>
    </row>
    <row r="910" spans="1:9">
      <c r="A910" s="90"/>
      <c r="B910" s="91" t="s">
        <v>1251</v>
      </c>
      <c r="C910" s="91" t="s">
        <v>1250</v>
      </c>
      <c r="D910" s="92" t="s">
        <v>1252</v>
      </c>
      <c r="E910" s="93" t="s">
        <v>463</v>
      </c>
      <c r="F910" s="93">
        <v>0.0559</v>
      </c>
      <c r="G910" s="93">
        <v>18.4</v>
      </c>
      <c r="H910" s="93">
        <v>1.02</v>
      </c>
      <c r="I910" s="93">
        <v>2.87885</v>
      </c>
    </row>
    <row r="911" ht="25.5" spans="1:9">
      <c r="A911" s="90"/>
      <c r="B911" s="91" t="s">
        <v>1034</v>
      </c>
      <c r="C911" s="91" t="s">
        <v>1033</v>
      </c>
      <c r="D911" s="92" t="s">
        <v>1035</v>
      </c>
      <c r="E911" s="93" t="s">
        <v>112</v>
      </c>
      <c r="F911" s="93">
        <v>0.8148</v>
      </c>
      <c r="G911" s="93">
        <v>26.81</v>
      </c>
      <c r="H911" s="93">
        <v>21.84</v>
      </c>
      <c r="I911" s="93">
        <v>41.9622</v>
      </c>
    </row>
    <row r="912" ht="25.5" spans="1:9">
      <c r="A912" s="90"/>
      <c r="B912" s="91" t="s">
        <v>1556</v>
      </c>
      <c r="C912" s="91" t="s">
        <v>1555</v>
      </c>
      <c r="D912" s="92" t="s">
        <v>1557</v>
      </c>
      <c r="E912" s="93" t="s">
        <v>112</v>
      </c>
      <c r="F912" s="93">
        <v>0.1956</v>
      </c>
      <c r="G912" s="93">
        <v>34.35</v>
      </c>
      <c r="H912" s="93">
        <v>6.71</v>
      </c>
      <c r="I912" s="93">
        <v>10.0734</v>
      </c>
    </row>
    <row r="913" ht="25.5" spans="1:9">
      <c r="A913" s="85" t="s">
        <v>2315</v>
      </c>
      <c r="B913" s="85" t="s">
        <v>822</v>
      </c>
      <c r="C913" s="85" t="s">
        <v>2316</v>
      </c>
      <c r="D913" s="87" t="s">
        <v>823</v>
      </c>
      <c r="E913" s="89" t="s">
        <v>466</v>
      </c>
      <c r="F913" s="89">
        <v>150.62</v>
      </c>
      <c r="G913" s="89">
        <v>29.42</v>
      </c>
      <c r="H913" s="89">
        <v>4431.24</v>
      </c>
      <c r="I913" s="89">
        <v>150.62</v>
      </c>
    </row>
    <row r="914" spans="1:9">
      <c r="A914" s="90"/>
      <c r="B914" s="91" t="s">
        <v>1007</v>
      </c>
      <c r="C914" s="91" t="s">
        <v>1048</v>
      </c>
      <c r="D914" s="92" t="s">
        <v>1049</v>
      </c>
      <c r="E914" s="93" t="s">
        <v>839</v>
      </c>
      <c r="F914" s="93">
        <v>1</v>
      </c>
      <c r="G914" s="93">
        <v>1.5</v>
      </c>
      <c r="H914" s="93">
        <v>1.20285</v>
      </c>
      <c r="I914" s="93">
        <v>150.62</v>
      </c>
    </row>
    <row r="915" spans="1:9">
      <c r="A915" s="90"/>
      <c r="B915" s="91" t="s">
        <v>1007</v>
      </c>
      <c r="C915" s="91" t="s">
        <v>1006</v>
      </c>
      <c r="D915" s="92" t="s">
        <v>1008</v>
      </c>
      <c r="E915" s="93" t="s">
        <v>839</v>
      </c>
      <c r="F915" s="93">
        <v>0.8019</v>
      </c>
      <c r="G915" s="93">
        <v>3.95</v>
      </c>
      <c r="H915" s="93">
        <v>3.167505</v>
      </c>
      <c r="I915" s="93">
        <v>120.782178</v>
      </c>
    </row>
    <row r="916" spans="1:9">
      <c r="A916" s="90"/>
      <c r="B916" s="91" t="s">
        <v>993</v>
      </c>
      <c r="C916" s="91" t="s">
        <v>992</v>
      </c>
      <c r="D916" s="92" t="s">
        <v>994</v>
      </c>
      <c r="E916" s="93" t="s">
        <v>839</v>
      </c>
      <c r="F916" s="93">
        <v>0.567777402</v>
      </c>
      <c r="G916" s="93">
        <v>21.83</v>
      </c>
      <c r="H916" s="93">
        <v>12.39458068566</v>
      </c>
      <c r="I916" s="93">
        <v>85.51863228924</v>
      </c>
    </row>
    <row r="917" spans="1:9">
      <c r="A917" s="90"/>
      <c r="B917" s="91" t="s">
        <v>1007</v>
      </c>
      <c r="C917" s="91" t="s">
        <v>1378</v>
      </c>
      <c r="D917" s="92" t="s">
        <v>1379</v>
      </c>
      <c r="E917" s="93" t="s">
        <v>839</v>
      </c>
      <c r="F917" s="93">
        <v>0.8019</v>
      </c>
      <c r="G917" s="93">
        <v>0.08</v>
      </c>
      <c r="H917" s="93">
        <v>0.064152</v>
      </c>
      <c r="I917" s="93">
        <v>120.782178</v>
      </c>
    </row>
    <row r="918" spans="1:9">
      <c r="A918" s="90"/>
      <c r="B918" s="91" t="s">
        <v>1020</v>
      </c>
      <c r="C918" s="91" t="s">
        <v>1019</v>
      </c>
      <c r="D918" s="92" t="s">
        <v>1021</v>
      </c>
      <c r="E918" s="93" t="s">
        <v>839</v>
      </c>
      <c r="F918" s="93">
        <v>0.24570072</v>
      </c>
      <c r="G918" s="93">
        <v>14.49</v>
      </c>
      <c r="H918" s="93">
        <v>3.5602034328</v>
      </c>
      <c r="I918" s="93">
        <v>37.0074424464</v>
      </c>
    </row>
    <row r="919" ht="25.5" spans="1:9">
      <c r="A919" s="90"/>
      <c r="B919" s="91" t="s">
        <v>1111</v>
      </c>
      <c r="C919" s="91" t="s">
        <v>1174</v>
      </c>
      <c r="D919" s="92" t="s">
        <v>1175</v>
      </c>
      <c r="E919" s="93" t="s">
        <v>839</v>
      </c>
      <c r="F919" s="93">
        <v>0.5613</v>
      </c>
      <c r="G919" s="93">
        <v>1.43</v>
      </c>
      <c r="H919" s="93">
        <v>0.802659</v>
      </c>
      <c r="I919" s="93">
        <v>84.543006</v>
      </c>
    </row>
    <row r="920" ht="25.5" spans="1:9">
      <c r="A920" s="90"/>
      <c r="B920" s="91" t="s">
        <v>1111</v>
      </c>
      <c r="C920" s="91" t="s">
        <v>1110</v>
      </c>
      <c r="D920" s="92" t="s">
        <v>1112</v>
      </c>
      <c r="E920" s="93" t="s">
        <v>839</v>
      </c>
      <c r="F920" s="93">
        <v>0.2406</v>
      </c>
      <c r="G920" s="93">
        <v>1.39</v>
      </c>
      <c r="H920" s="93">
        <v>0.334434</v>
      </c>
      <c r="I920" s="93">
        <v>36.239172</v>
      </c>
    </row>
    <row r="921" spans="1:9">
      <c r="A921" s="90"/>
      <c r="B921" s="91" t="s">
        <v>1007</v>
      </c>
      <c r="C921" s="91" t="s">
        <v>1050</v>
      </c>
      <c r="D921" s="92" t="s">
        <v>1051</v>
      </c>
      <c r="E921" s="93" t="s">
        <v>839</v>
      </c>
      <c r="F921" s="93">
        <v>0.8019</v>
      </c>
      <c r="G921" s="93">
        <v>1.43</v>
      </c>
      <c r="H921" s="93">
        <v>1.146717</v>
      </c>
      <c r="I921" s="93">
        <v>120.782178</v>
      </c>
    </row>
    <row r="922" ht="25.5" spans="1:9">
      <c r="A922" s="90"/>
      <c r="B922" s="91" t="s">
        <v>1111</v>
      </c>
      <c r="C922" s="91" t="s">
        <v>1310</v>
      </c>
      <c r="D922" s="92" t="s">
        <v>1311</v>
      </c>
      <c r="E922" s="93" t="s">
        <v>839</v>
      </c>
      <c r="F922" s="93">
        <v>0.5613</v>
      </c>
      <c r="G922" s="93">
        <v>0.44</v>
      </c>
      <c r="H922" s="93">
        <v>0.246972</v>
      </c>
      <c r="I922" s="93">
        <v>84.543006</v>
      </c>
    </row>
    <row r="923" ht="25.5" spans="1:9">
      <c r="A923" s="90"/>
      <c r="B923" s="91" t="s">
        <v>1111</v>
      </c>
      <c r="C923" s="91" t="s">
        <v>1195</v>
      </c>
      <c r="D923" s="92" t="s">
        <v>1196</v>
      </c>
      <c r="E923" s="93" t="s">
        <v>839</v>
      </c>
      <c r="F923" s="93">
        <v>0.2406</v>
      </c>
      <c r="G923" s="93">
        <v>0.61</v>
      </c>
      <c r="H923" s="93">
        <v>0.146766</v>
      </c>
      <c r="I923" s="93">
        <v>36.239172</v>
      </c>
    </row>
    <row r="924" ht="25.5" spans="1:9">
      <c r="A924" s="90"/>
      <c r="B924" s="91" t="s">
        <v>1222</v>
      </c>
      <c r="C924" s="91" t="s">
        <v>1221</v>
      </c>
      <c r="D924" s="92" t="s">
        <v>1223</v>
      </c>
      <c r="E924" s="93" t="s">
        <v>112</v>
      </c>
      <c r="F924" s="93">
        <v>0.1086</v>
      </c>
      <c r="G924" s="93">
        <v>10.2</v>
      </c>
      <c r="H924" s="93">
        <v>1.1</v>
      </c>
      <c r="I924" s="93">
        <v>16.357332</v>
      </c>
    </row>
    <row r="925" spans="1:9">
      <c r="A925" s="90"/>
      <c r="B925" s="91" t="s">
        <v>1251</v>
      </c>
      <c r="C925" s="91" t="s">
        <v>1250</v>
      </c>
      <c r="D925" s="92" t="s">
        <v>1252</v>
      </c>
      <c r="E925" s="93" t="s">
        <v>463</v>
      </c>
      <c r="F925" s="93">
        <v>0.0096</v>
      </c>
      <c r="G925" s="93">
        <v>18.4</v>
      </c>
      <c r="H925" s="93">
        <v>0.17</v>
      </c>
      <c r="I925" s="93">
        <v>1.445952</v>
      </c>
    </row>
    <row r="926" ht="25.5" spans="1:9">
      <c r="A926" s="90"/>
      <c r="B926" s="91" t="s">
        <v>1034</v>
      </c>
      <c r="C926" s="91" t="s">
        <v>1033</v>
      </c>
      <c r="D926" s="92" t="s">
        <v>1035</v>
      </c>
      <c r="E926" s="93" t="s">
        <v>112</v>
      </c>
      <c r="F926" s="93">
        <v>0.1901</v>
      </c>
      <c r="G926" s="93">
        <v>26.81</v>
      </c>
      <c r="H926" s="93">
        <v>5.09</v>
      </c>
      <c r="I926" s="93">
        <v>28.632862</v>
      </c>
    </row>
    <row r="927" ht="25.5" spans="1:9">
      <c r="A927" s="85" t="s">
        <v>2317</v>
      </c>
      <c r="B927" s="85" t="s">
        <v>824</v>
      </c>
      <c r="C927" s="85" t="s">
        <v>2318</v>
      </c>
      <c r="D927" s="87" t="s">
        <v>825</v>
      </c>
      <c r="E927" s="89" t="s">
        <v>466</v>
      </c>
      <c r="F927" s="89">
        <v>10311.7</v>
      </c>
      <c r="G927" s="89">
        <v>19.82</v>
      </c>
      <c r="H927" s="89">
        <v>204377.89</v>
      </c>
      <c r="I927" s="89">
        <v>10311.7</v>
      </c>
    </row>
    <row r="928" spans="1:9">
      <c r="A928" s="90"/>
      <c r="B928" s="91" t="s">
        <v>1007</v>
      </c>
      <c r="C928" s="91" t="s">
        <v>1048</v>
      </c>
      <c r="D928" s="92" t="s">
        <v>1049</v>
      </c>
      <c r="E928" s="93" t="s">
        <v>839</v>
      </c>
      <c r="F928" s="93">
        <v>1</v>
      </c>
      <c r="G928" s="93">
        <v>1.5</v>
      </c>
      <c r="H928" s="93">
        <v>0.73065</v>
      </c>
      <c r="I928" s="93">
        <v>10311.7</v>
      </c>
    </row>
    <row r="929" spans="1:9">
      <c r="A929" s="90"/>
      <c r="B929" s="91" t="s">
        <v>1007</v>
      </c>
      <c r="C929" s="91" t="s">
        <v>1006</v>
      </c>
      <c r="D929" s="92" t="s">
        <v>1008</v>
      </c>
      <c r="E929" s="93" t="s">
        <v>839</v>
      </c>
      <c r="F929" s="93">
        <v>0.4871</v>
      </c>
      <c r="G929" s="93">
        <v>3.95</v>
      </c>
      <c r="H929" s="93">
        <v>1.924045</v>
      </c>
      <c r="I929" s="93">
        <v>5022.82907</v>
      </c>
    </row>
    <row r="930" spans="1:9">
      <c r="A930" s="90"/>
      <c r="B930" s="91" t="s">
        <v>993</v>
      </c>
      <c r="C930" s="91" t="s">
        <v>992</v>
      </c>
      <c r="D930" s="92" t="s">
        <v>994</v>
      </c>
      <c r="E930" s="93" t="s">
        <v>839</v>
      </c>
      <c r="F930" s="93">
        <v>0.34493514</v>
      </c>
      <c r="G930" s="93">
        <v>21.83</v>
      </c>
      <c r="H930" s="93">
        <v>7.5299341062</v>
      </c>
      <c r="I930" s="93">
        <v>3556.867683138</v>
      </c>
    </row>
    <row r="931" spans="1:9">
      <c r="A931" s="90"/>
      <c r="B931" s="91" t="s">
        <v>1007</v>
      </c>
      <c r="C931" s="91" t="s">
        <v>1378</v>
      </c>
      <c r="D931" s="92" t="s">
        <v>1379</v>
      </c>
      <c r="E931" s="93" t="s">
        <v>839</v>
      </c>
      <c r="F931" s="93">
        <v>0.4871</v>
      </c>
      <c r="G931" s="93">
        <v>0.08</v>
      </c>
      <c r="H931" s="93">
        <v>0.038968</v>
      </c>
      <c r="I931" s="93">
        <v>5022.82907</v>
      </c>
    </row>
    <row r="932" spans="1:9">
      <c r="A932" s="90"/>
      <c r="B932" s="91" t="s">
        <v>1020</v>
      </c>
      <c r="C932" s="91" t="s">
        <v>1019</v>
      </c>
      <c r="D932" s="92" t="s">
        <v>1021</v>
      </c>
      <c r="E932" s="93" t="s">
        <v>839</v>
      </c>
      <c r="F932" s="93">
        <v>0.14919732</v>
      </c>
      <c r="G932" s="93">
        <v>14.49</v>
      </c>
      <c r="H932" s="93">
        <v>2.1618691668</v>
      </c>
      <c r="I932" s="93">
        <v>1538.478004644</v>
      </c>
    </row>
    <row r="933" ht="25.5" spans="1:9">
      <c r="A933" s="90"/>
      <c r="B933" s="91" t="s">
        <v>1111</v>
      </c>
      <c r="C933" s="91" t="s">
        <v>1174</v>
      </c>
      <c r="D933" s="92" t="s">
        <v>1175</v>
      </c>
      <c r="E933" s="93" t="s">
        <v>839</v>
      </c>
      <c r="F933" s="93">
        <v>0.341</v>
      </c>
      <c r="G933" s="93">
        <v>1.43</v>
      </c>
      <c r="H933" s="93">
        <v>0.48763</v>
      </c>
      <c r="I933" s="93">
        <v>3516.2897</v>
      </c>
    </row>
    <row r="934" ht="25.5" spans="1:9">
      <c r="A934" s="90"/>
      <c r="B934" s="91" t="s">
        <v>1111</v>
      </c>
      <c r="C934" s="91" t="s">
        <v>1110</v>
      </c>
      <c r="D934" s="92" t="s">
        <v>1112</v>
      </c>
      <c r="E934" s="93" t="s">
        <v>839</v>
      </c>
      <c r="F934" s="93">
        <v>0.1461</v>
      </c>
      <c r="G934" s="93">
        <v>1.39</v>
      </c>
      <c r="H934" s="93">
        <v>0.203079</v>
      </c>
      <c r="I934" s="93">
        <v>1506.53937</v>
      </c>
    </row>
    <row r="935" spans="1:9">
      <c r="A935" s="90"/>
      <c r="B935" s="91" t="s">
        <v>1007</v>
      </c>
      <c r="C935" s="91" t="s">
        <v>1050</v>
      </c>
      <c r="D935" s="92" t="s">
        <v>1051</v>
      </c>
      <c r="E935" s="93" t="s">
        <v>839</v>
      </c>
      <c r="F935" s="93">
        <v>0.4871</v>
      </c>
      <c r="G935" s="93">
        <v>1.43</v>
      </c>
      <c r="H935" s="93">
        <v>0.696553</v>
      </c>
      <c r="I935" s="93">
        <v>5022.82907</v>
      </c>
    </row>
    <row r="936" ht="25.5" spans="1:9">
      <c r="A936" s="90"/>
      <c r="B936" s="91" t="s">
        <v>1111</v>
      </c>
      <c r="C936" s="91" t="s">
        <v>1310</v>
      </c>
      <c r="D936" s="92" t="s">
        <v>1311</v>
      </c>
      <c r="E936" s="93" t="s">
        <v>839</v>
      </c>
      <c r="F936" s="93">
        <v>0.341</v>
      </c>
      <c r="G936" s="93">
        <v>0.44</v>
      </c>
      <c r="H936" s="93">
        <v>0.15004</v>
      </c>
      <c r="I936" s="93">
        <v>3516.2897</v>
      </c>
    </row>
    <row r="937" ht="25.5" spans="1:9">
      <c r="A937" s="90"/>
      <c r="B937" s="91" t="s">
        <v>1111</v>
      </c>
      <c r="C937" s="91" t="s">
        <v>1195</v>
      </c>
      <c r="D937" s="92" t="s">
        <v>1196</v>
      </c>
      <c r="E937" s="93" t="s">
        <v>839</v>
      </c>
      <c r="F937" s="93">
        <v>0.1461</v>
      </c>
      <c r="G937" s="93">
        <v>0.61</v>
      </c>
      <c r="H937" s="93">
        <v>0.089121</v>
      </c>
      <c r="I937" s="93">
        <v>1506.53937</v>
      </c>
    </row>
    <row r="938" ht="25.5" spans="1:9">
      <c r="A938" s="90"/>
      <c r="B938" s="91" t="s">
        <v>1222</v>
      </c>
      <c r="C938" s="91" t="s">
        <v>1221</v>
      </c>
      <c r="D938" s="92" t="s">
        <v>1223</v>
      </c>
      <c r="E938" s="93" t="s">
        <v>112</v>
      </c>
      <c r="F938" s="93">
        <v>0.0543</v>
      </c>
      <c r="G938" s="93">
        <v>10.2</v>
      </c>
      <c r="H938" s="93">
        <v>0.55</v>
      </c>
      <c r="I938" s="93">
        <v>559.92531</v>
      </c>
    </row>
    <row r="939" spans="1:9">
      <c r="A939" s="90"/>
      <c r="B939" s="91" t="s">
        <v>1251</v>
      </c>
      <c r="C939" s="91" t="s">
        <v>1250</v>
      </c>
      <c r="D939" s="92" t="s">
        <v>1252</v>
      </c>
      <c r="E939" s="93" t="s">
        <v>463</v>
      </c>
      <c r="F939" s="93">
        <v>0.0096</v>
      </c>
      <c r="G939" s="93">
        <v>18.4</v>
      </c>
      <c r="H939" s="93">
        <v>0.17</v>
      </c>
      <c r="I939" s="93">
        <v>98.99232</v>
      </c>
    </row>
    <row r="940" ht="25.5" spans="1:9">
      <c r="A940" s="90"/>
      <c r="B940" s="91" t="s">
        <v>1034</v>
      </c>
      <c r="C940" s="91" t="s">
        <v>1033</v>
      </c>
      <c r="D940" s="92" t="s">
        <v>1035</v>
      </c>
      <c r="E940" s="93" t="s">
        <v>112</v>
      </c>
      <c r="F940" s="93">
        <v>0.1901</v>
      </c>
      <c r="G940" s="93">
        <v>26.81</v>
      </c>
      <c r="H940" s="93">
        <v>5.09</v>
      </c>
      <c r="I940" s="93">
        <v>1960.25417</v>
      </c>
    </row>
    <row r="941" ht="25.5" spans="1:9">
      <c r="A941" s="85" t="s">
        <v>2319</v>
      </c>
      <c r="B941" s="85" t="s">
        <v>826</v>
      </c>
      <c r="C941" s="85" t="s">
        <v>2320</v>
      </c>
      <c r="D941" s="87" t="s">
        <v>827</v>
      </c>
      <c r="E941" s="89" t="s">
        <v>466</v>
      </c>
      <c r="F941" s="89">
        <v>104.86</v>
      </c>
      <c r="G941" s="89">
        <v>24.76</v>
      </c>
      <c r="H941" s="89">
        <v>2596.33</v>
      </c>
      <c r="I941" s="89">
        <v>104.86</v>
      </c>
    </row>
    <row r="942" spans="1:9">
      <c r="A942" s="90"/>
      <c r="B942" s="91" t="s">
        <v>1007</v>
      </c>
      <c r="C942" s="91" t="s">
        <v>1048</v>
      </c>
      <c r="D942" s="92" t="s">
        <v>1049</v>
      </c>
      <c r="E942" s="93" t="s">
        <v>839</v>
      </c>
      <c r="F942" s="93">
        <v>1</v>
      </c>
      <c r="G942" s="93">
        <v>1.5</v>
      </c>
      <c r="H942" s="93">
        <v>0.94965</v>
      </c>
      <c r="I942" s="93">
        <v>104.86</v>
      </c>
    </row>
    <row r="943" spans="1:9">
      <c r="A943" s="90"/>
      <c r="B943" s="91" t="s">
        <v>1007</v>
      </c>
      <c r="C943" s="91" t="s">
        <v>1006</v>
      </c>
      <c r="D943" s="92" t="s">
        <v>1008</v>
      </c>
      <c r="E943" s="93" t="s">
        <v>839</v>
      </c>
      <c r="F943" s="93">
        <v>0.6331</v>
      </c>
      <c r="G943" s="93">
        <v>3.95</v>
      </c>
      <c r="H943" s="93">
        <v>2.500745</v>
      </c>
      <c r="I943" s="93">
        <v>66.386866</v>
      </c>
    </row>
    <row r="944" spans="1:9">
      <c r="A944" s="90"/>
      <c r="B944" s="91" t="s">
        <v>993</v>
      </c>
      <c r="C944" s="91" t="s">
        <v>992</v>
      </c>
      <c r="D944" s="92" t="s">
        <v>994</v>
      </c>
      <c r="E944" s="93" t="s">
        <v>839</v>
      </c>
      <c r="F944" s="93">
        <v>0.448314528</v>
      </c>
      <c r="G944" s="93">
        <v>21.83</v>
      </c>
      <c r="H944" s="93">
        <v>9.78670614624</v>
      </c>
      <c r="I944" s="93">
        <v>47.01026140608</v>
      </c>
    </row>
    <row r="945" spans="1:9">
      <c r="A945" s="90"/>
      <c r="B945" s="91" t="s">
        <v>1007</v>
      </c>
      <c r="C945" s="91" t="s">
        <v>1378</v>
      </c>
      <c r="D945" s="92" t="s">
        <v>1379</v>
      </c>
      <c r="E945" s="93" t="s">
        <v>839</v>
      </c>
      <c r="F945" s="93">
        <v>0.6331</v>
      </c>
      <c r="G945" s="93">
        <v>0.08</v>
      </c>
      <c r="H945" s="93">
        <v>0.050648</v>
      </c>
      <c r="I945" s="93">
        <v>66.386866</v>
      </c>
    </row>
    <row r="946" spans="1:9">
      <c r="A946" s="90"/>
      <c r="B946" s="91" t="s">
        <v>1020</v>
      </c>
      <c r="C946" s="91" t="s">
        <v>1019</v>
      </c>
      <c r="D946" s="92" t="s">
        <v>1021</v>
      </c>
      <c r="E946" s="93" t="s">
        <v>839</v>
      </c>
      <c r="F946" s="93">
        <v>0.19392588</v>
      </c>
      <c r="G946" s="93">
        <v>14.49</v>
      </c>
      <c r="H946" s="93">
        <v>2.8099860012</v>
      </c>
      <c r="I946" s="93">
        <v>20.3350677768</v>
      </c>
    </row>
    <row r="947" ht="25.5" spans="1:9">
      <c r="A947" s="90"/>
      <c r="B947" s="91" t="s">
        <v>1111</v>
      </c>
      <c r="C947" s="91" t="s">
        <v>1174</v>
      </c>
      <c r="D947" s="92" t="s">
        <v>1175</v>
      </c>
      <c r="E947" s="93" t="s">
        <v>839</v>
      </c>
      <c r="F947" s="93">
        <v>0.4432</v>
      </c>
      <c r="G947" s="93">
        <v>1.43</v>
      </c>
      <c r="H947" s="93">
        <v>0.633776</v>
      </c>
      <c r="I947" s="93">
        <v>46.473952</v>
      </c>
    </row>
    <row r="948" ht="25.5" spans="1:9">
      <c r="A948" s="90"/>
      <c r="B948" s="91" t="s">
        <v>1111</v>
      </c>
      <c r="C948" s="91" t="s">
        <v>1110</v>
      </c>
      <c r="D948" s="92" t="s">
        <v>1112</v>
      </c>
      <c r="E948" s="93" t="s">
        <v>839</v>
      </c>
      <c r="F948" s="93">
        <v>0.1899</v>
      </c>
      <c r="G948" s="93">
        <v>1.39</v>
      </c>
      <c r="H948" s="93">
        <v>0.263961</v>
      </c>
      <c r="I948" s="93">
        <v>19.912914</v>
      </c>
    </row>
    <row r="949" spans="1:9">
      <c r="A949" s="90"/>
      <c r="B949" s="91" t="s">
        <v>1007</v>
      </c>
      <c r="C949" s="91" t="s">
        <v>1050</v>
      </c>
      <c r="D949" s="92" t="s">
        <v>1051</v>
      </c>
      <c r="E949" s="93" t="s">
        <v>839</v>
      </c>
      <c r="F949" s="93">
        <v>0.6331</v>
      </c>
      <c r="G949" s="93">
        <v>1.43</v>
      </c>
      <c r="H949" s="93">
        <v>0.905333</v>
      </c>
      <c r="I949" s="93">
        <v>66.386866</v>
      </c>
    </row>
    <row r="950" ht="25.5" spans="1:9">
      <c r="A950" s="90"/>
      <c r="B950" s="91" t="s">
        <v>1111</v>
      </c>
      <c r="C950" s="91" t="s">
        <v>1310</v>
      </c>
      <c r="D950" s="92" t="s">
        <v>1311</v>
      </c>
      <c r="E950" s="93" t="s">
        <v>839</v>
      </c>
      <c r="F950" s="93">
        <v>0.4432</v>
      </c>
      <c r="G950" s="93">
        <v>0.44</v>
      </c>
      <c r="H950" s="93">
        <v>0.195008</v>
      </c>
      <c r="I950" s="93">
        <v>46.473952</v>
      </c>
    </row>
    <row r="951" ht="25.5" spans="1:9">
      <c r="A951" s="90"/>
      <c r="B951" s="91" t="s">
        <v>1111</v>
      </c>
      <c r="C951" s="91" t="s">
        <v>1195</v>
      </c>
      <c r="D951" s="92" t="s">
        <v>1196</v>
      </c>
      <c r="E951" s="93" t="s">
        <v>839</v>
      </c>
      <c r="F951" s="93">
        <v>0.1899</v>
      </c>
      <c r="G951" s="93">
        <v>0.61</v>
      </c>
      <c r="H951" s="93">
        <v>0.115839</v>
      </c>
      <c r="I951" s="93">
        <v>19.912914</v>
      </c>
    </row>
    <row r="952" ht="25.5" spans="1:9">
      <c r="A952" s="90"/>
      <c r="B952" s="91" t="s">
        <v>1222</v>
      </c>
      <c r="C952" s="91" t="s">
        <v>1221</v>
      </c>
      <c r="D952" s="92" t="s">
        <v>1223</v>
      </c>
      <c r="E952" s="93" t="s">
        <v>112</v>
      </c>
      <c r="F952" s="93">
        <v>0.1449</v>
      </c>
      <c r="G952" s="93">
        <v>10.2</v>
      </c>
      <c r="H952" s="93">
        <v>1.47</v>
      </c>
      <c r="I952" s="93">
        <v>15.194214</v>
      </c>
    </row>
    <row r="953" spans="1:9">
      <c r="A953" s="90"/>
      <c r="B953" s="91" t="s">
        <v>1251</v>
      </c>
      <c r="C953" s="91" t="s">
        <v>1250</v>
      </c>
      <c r="D953" s="92" t="s">
        <v>1252</v>
      </c>
      <c r="E953" s="93" t="s">
        <v>463</v>
      </c>
      <c r="F953" s="93">
        <v>0.0128</v>
      </c>
      <c r="G953" s="93">
        <v>18.4</v>
      </c>
      <c r="H953" s="93">
        <v>0.23</v>
      </c>
      <c r="I953" s="93">
        <v>1.342208</v>
      </c>
    </row>
    <row r="954" ht="25.5" spans="1:9">
      <c r="A954" s="90"/>
      <c r="B954" s="91" t="s">
        <v>1034</v>
      </c>
      <c r="C954" s="91" t="s">
        <v>1033</v>
      </c>
      <c r="D954" s="92" t="s">
        <v>1035</v>
      </c>
      <c r="E954" s="93" t="s">
        <v>112</v>
      </c>
      <c r="F954" s="93">
        <v>0.1811</v>
      </c>
      <c r="G954" s="93">
        <v>26.81</v>
      </c>
      <c r="H954" s="93">
        <v>4.85</v>
      </c>
      <c r="I954" s="93">
        <v>18.990146</v>
      </c>
    </row>
    <row r="955" ht="25.5" spans="1:9">
      <c r="A955" s="85" t="s">
        <v>2321</v>
      </c>
      <c r="B955" s="85" t="s">
        <v>828</v>
      </c>
      <c r="C955" s="85" t="s">
        <v>2322</v>
      </c>
      <c r="D955" s="87" t="s">
        <v>829</v>
      </c>
      <c r="E955" s="89" t="s">
        <v>466</v>
      </c>
      <c r="F955" s="89">
        <v>603</v>
      </c>
      <c r="G955" s="89">
        <v>14.96</v>
      </c>
      <c r="H955" s="89">
        <v>9020.88</v>
      </c>
      <c r="I955" s="89">
        <v>603</v>
      </c>
    </row>
    <row r="956" spans="1:9">
      <c r="A956" s="90"/>
      <c r="B956" s="91" t="s">
        <v>1007</v>
      </c>
      <c r="C956" s="91" t="s">
        <v>1048</v>
      </c>
      <c r="D956" s="92" t="s">
        <v>1049</v>
      </c>
      <c r="E956" s="93" t="s">
        <v>839</v>
      </c>
      <c r="F956" s="93">
        <v>1</v>
      </c>
      <c r="G956" s="93">
        <v>1.5</v>
      </c>
      <c r="H956" s="93">
        <v>0.47745</v>
      </c>
      <c r="I956" s="93">
        <v>603</v>
      </c>
    </row>
    <row r="957" spans="1:9">
      <c r="A957" s="90"/>
      <c r="B957" s="91" t="s">
        <v>1007</v>
      </c>
      <c r="C957" s="91" t="s">
        <v>1006</v>
      </c>
      <c r="D957" s="92" t="s">
        <v>1008</v>
      </c>
      <c r="E957" s="93" t="s">
        <v>839</v>
      </c>
      <c r="F957" s="93">
        <v>0.3183</v>
      </c>
      <c r="G957" s="93">
        <v>3.95</v>
      </c>
      <c r="H957" s="93">
        <v>1.257285</v>
      </c>
      <c r="I957" s="93">
        <v>191.9349</v>
      </c>
    </row>
    <row r="958" spans="1:9">
      <c r="A958" s="90"/>
      <c r="B958" s="91" t="s">
        <v>993</v>
      </c>
      <c r="C958" s="91" t="s">
        <v>992</v>
      </c>
      <c r="D958" s="92" t="s">
        <v>994</v>
      </c>
      <c r="E958" s="93" t="s">
        <v>839</v>
      </c>
      <c r="F958" s="93">
        <v>0.225371112</v>
      </c>
      <c r="G958" s="93">
        <v>21.83</v>
      </c>
      <c r="H958" s="93">
        <v>4.91985137496</v>
      </c>
      <c r="I958" s="93">
        <v>135.898780536</v>
      </c>
    </row>
    <row r="959" spans="1:9">
      <c r="A959" s="90"/>
      <c r="B959" s="91" t="s">
        <v>1007</v>
      </c>
      <c r="C959" s="91" t="s">
        <v>1378</v>
      </c>
      <c r="D959" s="92" t="s">
        <v>1379</v>
      </c>
      <c r="E959" s="93" t="s">
        <v>839</v>
      </c>
      <c r="F959" s="93">
        <v>0.3183</v>
      </c>
      <c r="G959" s="93">
        <v>0.08</v>
      </c>
      <c r="H959" s="93">
        <v>0.025464</v>
      </c>
      <c r="I959" s="93">
        <v>191.9349</v>
      </c>
    </row>
    <row r="960" spans="1:9">
      <c r="A960" s="90"/>
      <c r="B960" s="91" t="s">
        <v>1020</v>
      </c>
      <c r="C960" s="91" t="s">
        <v>1019</v>
      </c>
      <c r="D960" s="92" t="s">
        <v>1021</v>
      </c>
      <c r="E960" s="93" t="s">
        <v>839</v>
      </c>
      <c r="F960" s="93">
        <v>0.0975246</v>
      </c>
      <c r="G960" s="93">
        <v>14.49</v>
      </c>
      <c r="H960" s="93">
        <v>1.413131454</v>
      </c>
      <c r="I960" s="93">
        <v>58.8073338</v>
      </c>
    </row>
    <row r="961" ht="25.5" spans="1:9">
      <c r="A961" s="90"/>
      <c r="B961" s="91" t="s">
        <v>1111</v>
      </c>
      <c r="C961" s="91" t="s">
        <v>1174</v>
      </c>
      <c r="D961" s="92" t="s">
        <v>1175</v>
      </c>
      <c r="E961" s="93" t="s">
        <v>839</v>
      </c>
      <c r="F961" s="93">
        <v>0.2228</v>
      </c>
      <c r="G961" s="93">
        <v>1.43</v>
      </c>
      <c r="H961" s="93">
        <v>0.318604</v>
      </c>
      <c r="I961" s="93">
        <v>134.3484</v>
      </c>
    </row>
    <row r="962" ht="25.5" spans="1:9">
      <c r="A962" s="90"/>
      <c r="B962" s="91" t="s">
        <v>1111</v>
      </c>
      <c r="C962" s="91" t="s">
        <v>1110</v>
      </c>
      <c r="D962" s="92" t="s">
        <v>1112</v>
      </c>
      <c r="E962" s="93" t="s">
        <v>839</v>
      </c>
      <c r="F962" s="93">
        <v>0.0955</v>
      </c>
      <c r="G962" s="93">
        <v>1.39</v>
      </c>
      <c r="H962" s="93">
        <v>0.132745</v>
      </c>
      <c r="I962" s="93">
        <v>57.5865</v>
      </c>
    </row>
    <row r="963" spans="1:9">
      <c r="A963" s="90"/>
      <c r="B963" s="91" t="s">
        <v>1007</v>
      </c>
      <c r="C963" s="91" t="s">
        <v>1050</v>
      </c>
      <c r="D963" s="92" t="s">
        <v>1051</v>
      </c>
      <c r="E963" s="93" t="s">
        <v>839</v>
      </c>
      <c r="F963" s="93">
        <v>0.3183</v>
      </c>
      <c r="G963" s="93">
        <v>1.43</v>
      </c>
      <c r="H963" s="93">
        <v>0.455169</v>
      </c>
      <c r="I963" s="93">
        <v>191.9349</v>
      </c>
    </row>
    <row r="964" ht="25.5" spans="1:9">
      <c r="A964" s="90"/>
      <c r="B964" s="91" t="s">
        <v>1111</v>
      </c>
      <c r="C964" s="91" t="s">
        <v>1310</v>
      </c>
      <c r="D964" s="92" t="s">
        <v>1311</v>
      </c>
      <c r="E964" s="93" t="s">
        <v>839</v>
      </c>
      <c r="F964" s="93">
        <v>0.2228</v>
      </c>
      <c r="G964" s="93">
        <v>0.44</v>
      </c>
      <c r="H964" s="93">
        <v>0.098032</v>
      </c>
      <c r="I964" s="93">
        <v>134.3484</v>
      </c>
    </row>
    <row r="965" ht="25.5" spans="1:9">
      <c r="A965" s="90"/>
      <c r="B965" s="91" t="s">
        <v>1111</v>
      </c>
      <c r="C965" s="91" t="s">
        <v>1195</v>
      </c>
      <c r="D965" s="92" t="s">
        <v>1196</v>
      </c>
      <c r="E965" s="93" t="s">
        <v>839</v>
      </c>
      <c r="F965" s="93">
        <v>0.0955</v>
      </c>
      <c r="G965" s="93">
        <v>0.61</v>
      </c>
      <c r="H965" s="93">
        <v>0.058255</v>
      </c>
      <c r="I965" s="93">
        <v>57.5865</v>
      </c>
    </row>
    <row r="966" ht="25.5" spans="1:9">
      <c r="A966" s="90"/>
      <c r="B966" s="91" t="s">
        <v>1222</v>
      </c>
      <c r="C966" s="91" t="s">
        <v>1221</v>
      </c>
      <c r="D966" s="92" t="s">
        <v>1223</v>
      </c>
      <c r="E966" s="93" t="s">
        <v>112</v>
      </c>
      <c r="F966" s="93">
        <v>0.0724</v>
      </c>
      <c r="G966" s="93">
        <v>10.2</v>
      </c>
      <c r="H966" s="93">
        <v>0.73</v>
      </c>
      <c r="I966" s="93">
        <v>43.6572</v>
      </c>
    </row>
    <row r="967" spans="1:9">
      <c r="A967" s="90"/>
      <c r="B967" s="91" t="s">
        <v>1251</v>
      </c>
      <c r="C967" s="91" t="s">
        <v>1250</v>
      </c>
      <c r="D967" s="92" t="s">
        <v>1252</v>
      </c>
      <c r="E967" s="93" t="s">
        <v>463</v>
      </c>
      <c r="F967" s="93">
        <v>0.0128</v>
      </c>
      <c r="G967" s="93">
        <v>18.4</v>
      </c>
      <c r="H967" s="93">
        <v>0.23</v>
      </c>
      <c r="I967" s="93">
        <v>7.7184</v>
      </c>
    </row>
    <row r="968" ht="25.5" spans="1:9">
      <c r="A968" s="90"/>
      <c r="B968" s="91" t="s">
        <v>1034</v>
      </c>
      <c r="C968" s="91" t="s">
        <v>1033</v>
      </c>
      <c r="D968" s="92" t="s">
        <v>1035</v>
      </c>
      <c r="E968" s="93" t="s">
        <v>112</v>
      </c>
      <c r="F968" s="93">
        <v>0.1811</v>
      </c>
      <c r="G968" s="93">
        <v>26.81</v>
      </c>
      <c r="H968" s="93">
        <v>4.85</v>
      </c>
      <c r="I968" s="93">
        <v>109.2033</v>
      </c>
    </row>
    <row r="969" ht="25.5" spans="1:9">
      <c r="A969" s="85" t="s">
        <v>2323</v>
      </c>
      <c r="B969" s="85" t="s">
        <v>830</v>
      </c>
      <c r="C969" s="85" t="s">
        <v>2324</v>
      </c>
      <c r="D969" s="87" t="s">
        <v>831</v>
      </c>
      <c r="E969" s="89" t="s">
        <v>476</v>
      </c>
      <c r="F969" s="89">
        <v>429.36</v>
      </c>
      <c r="G969" s="89">
        <v>285.6</v>
      </c>
      <c r="H969" s="89">
        <v>122625.21</v>
      </c>
      <c r="I969" s="89">
        <v>429.36</v>
      </c>
    </row>
    <row r="970" ht="25.5" spans="1:9">
      <c r="A970" s="90"/>
      <c r="B970" s="91" t="s">
        <v>1421</v>
      </c>
      <c r="C970" s="91" t="s">
        <v>1420</v>
      </c>
      <c r="D970" s="92" t="s">
        <v>1422</v>
      </c>
      <c r="E970" s="93" t="s">
        <v>494</v>
      </c>
      <c r="F970" s="93">
        <v>1</v>
      </c>
      <c r="G970" s="93">
        <v>15839.74</v>
      </c>
      <c r="H970" s="93">
        <v>0.1014736511698</v>
      </c>
      <c r="I970" s="93">
        <v>429.36</v>
      </c>
    </row>
    <row r="971" spans="1:9">
      <c r="A971" s="90"/>
      <c r="B971" s="91" t="s">
        <v>1007</v>
      </c>
      <c r="C971" s="91" t="s">
        <v>1048</v>
      </c>
      <c r="D971" s="92" t="s">
        <v>1049</v>
      </c>
      <c r="E971" s="93" t="s">
        <v>839</v>
      </c>
      <c r="F971" s="93">
        <v>1</v>
      </c>
      <c r="G971" s="93">
        <v>1.5</v>
      </c>
      <c r="H971" s="93">
        <v>2.31405</v>
      </c>
      <c r="I971" s="93">
        <v>429.36</v>
      </c>
    </row>
    <row r="972" spans="1:9">
      <c r="A972" s="90"/>
      <c r="B972" s="91" t="s">
        <v>1007</v>
      </c>
      <c r="C972" s="91" t="s">
        <v>1006</v>
      </c>
      <c r="D972" s="92" t="s">
        <v>1008</v>
      </c>
      <c r="E972" s="93" t="s">
        <v>839</v>
      </c>
      <c r="F972" s="93">
        <v>1.5427</v>
      </c>
      <c r="G972" s="93">
        <v>3.95</v>
      </c>
      <c r="H972" s="93">
        <v>6.093665</v>
      </c>
      <c r="I972" s="93">
        <v>662.373672</v>
      </c>
    </row>
    <row r="973" spans="1:9">
      <c r="A973" s="90"/>
      <c r="B973" s="91" t="s">
        <v>1108</v>
      </c>
      <c r="C973" s="91" t="s">
        <v>1107</v>
      </c>
      <c r="D973" s="92" t="s">
        <v>1109</v>
      </c>
      <c r="E973" s="93" t="s">
        <v>839</v>
      </c>
      <c r="F973" s="93">
        <v>0.3742698</v>
      </c>
      <c r="G973" s="93">
        <v>21.83</v>
      </c>
      <c r="H973" s="93">
        <v>8.170309734</v>
      </c>
      <c r="I973" s="93">
        <v>160.696481328</v>
      </c>
    </row>
    <row r="974" spans="1:9">
      <c r="A974" s="90"/>
      <c r="B974" s="91" t="s">
        <v>1108</v>
      </c>
      <c r="C974" s="91" t="s">
        <v>1127</v>
      </c>
      <c r="D974" s="92" t="s">
        <v>1128</v>
      </c>
      <c r="E974" s="93" t="s">
        <v>839</v>
      </c>
      <c r="F974" s="93">
        <v>0.063423558</v>
      </c>
      <c r="G974" s="93">
        <v>18</v>
      </c>
      <c r="H974" s="93">
        <v>1.141624044</v>
      </c>
      <c r="I974" s="93">
        <v>27.23153886288</v>
      </c>
    </row>
    <row r="975" spans="1:9">
      <c r="A975" s="90"/>
      <c r="B975" s="91" t="s">
        <v>1090</v>
      </c>
      <c r="C975" s="91" t="s">
        <v>1089</v>
      </c>
      <c r="D975" s="92" t="s">
        <v>1091</v>
      </c>
      <c r="E975" s="93" t="s">
        <v>839</v>
      </c>
      <c r="F975" s="93">
        <v>0.4534128</v>
      </c>
      <c r="G975" s="93">
        <v>21.83</v>
      </c>
      <c r="H975" s="93">
        <v>9.898001424</v>
      </c>
      <c r="I975" s="93">
        <v>194.677319808</v>
      </c>
    </row>
    <row r="976" spans="1:9">
      <c r="A976" s="90"/>
      <c r="B976" s="91" t="s">
        <v>1007</v>
      </c>
      <c r="C976" s="91" t="s">
        <v>1378</v>
      </c>
      <c r="D976" s="92" t="s">
        <v>1379</v>
      </c>
      <c r="E976" s="93" t="s">
        <v>839</v>
      </c>
      <c r="F976" s="93">
        <v>1.5427</v>
      </c>
      <c r="G976" s="93">
        <v>0.08</v>
      </c>
      <c r="H976" s="93">
        <v>0.123416</v>
      </c>
      <c r="I976" s="93">
        <v>662.373672</v>
      </c>
    </row>
    <row r="977" spans="1:9">
      <c r="A977" s="90"/>
      <c r="B977" s="91" t="s">
        <v>1020</v>
      </c>
      <c r="C977" s="91" t="s">
        <v>1019</v>
      </c>
      <c r="D977" s="92" t="s">
        <v>1021</v>
      </c>
      <c r="E977" s="93" t="s">
        <v>839</v>
      </c>
      <c r="F977" s="93">
        <v>0.6801192</v>
      </c>
      <c r="G977" s="93">
        <v>14.49</v>
      </c>
      <c r="H977" s="93">
        <v>9.854927208</v>
      </c>
      <c r="I977" s="93">
        <v>292.015979712</v>
      </c>
    </row>
    <row r="978" ht="25.5" spans="1:9">
      <c r="A978" s="90"/>
      <c r="B978" s="91" t="s">
        <v>1010</v>
      </c>
      <c r="C978" s="91" t="s">
        <v>1009</v>
      </c>
      <c r="D978" s="92" t="s">
        <v>1011</v>
      </c>
      <c r="E978" s="93" t="s">
        <v>476</v>
      </c>
      <c r="F978" s="93">
        <v>1.1</v>
      </c>
      <c r="G978" s="93">
        <v>205</v>
      </c>
      <c r="H978" s="93">
        <v>225.5</v>
      </c>
      <c r="I978" s="93">
        <v>472.296</v>
      </c>
    </row>
    <row r="979" ht="25.5" spans="1:9">
      <c r="A979" s="90"/>
      <c r="B979" s="91" t="s">
        <v>1111</v>
      </c>
      <c r="C979" s="91" t="s">
        <v>1287</v>
      </c>
      <c r="D979" s="92" t="s">
        <v>1288</v>
      </c>
      <c r="E979" s="93" t="s">
        <v>839</v>
      </c>
      <c r="F979" s="93">
        <v>0.4327</v>
      </c>
      <c r="G979" s="93">
        <v>0.89</v>
      </c>
      <c r="H979" s="93">
        <v>0.385103</v>
      </c>
      <c r="I979" s="93">
        <v>185.784072</v>
      </c>
    </row>
    <row r="980" ht="25.5" spans="1:9">
      <c r="A980" s="90"/>
      <c r="B980" s="91" t="s">
        <v>1111</v>
      </c>
      <c r="C980" s="91" t="s">
        <v>1351</v>
      </c>
      <c r="D980" s="92" t="s">
        <v>1352</v>
      </c>
      <c r="E980" s="93" t="s">
        <v>839</v>
      </c>
      <c r="F980" s="93">
        <v>0.444</v>
      </c>
      <c r="G980" s="93">
        <v>1.31</v>
      </c>
      <c r="H980" s="93">
        <v>0.58164</v>
      </c>
      <c r="I980" s="93">
        <v>190.63584</v>
      </c>
    </row>
    <row r="981" ht="25.5" spans="1:9">
      <c r="A981" s="90"/>
      <c r="B981" s="91" t="s">
        <v>1111</v>
      </c>
      <c r="C981" s="91" t="s">
        <v>1110</v>
      </c>
      <c r="D981" s="92" t="s">
        <v>1112</v>
      </c>
      <c r="E981" s="93" t="s">
        <v>839</v>
      </c>
      <c r="F981" s="93">
        <v>0.666</v>
      </c>
      <c r="G981" s="93">
        <v>1.39</v>
      </c>
      <c r="H981" s="93">
        <v>0.92574</v>
      </c>
      <c r="I981" s="93">
        <v>285.95376</v>
      </c>
    </row>
    <row r="982" spans="1:9">
      <c r="A982" s="90"/>
      <c r="B982" s="91" t="s">
        <v>1007</v>
      </c>
      <c r="C982" s="91" t="s">
        <v>1050</v>
      </c>
      <c r="D982" s="92" t="s">
        <v>1051</v>
      </c>
      <c r="E982" s="93" t="s">
        <v>839</v>
      </c>
      <c r="F982" s="93">
        <v>1.5427</v>
      </c>
      <c r="G982" s="93">
        <v>1.43</v>
      </c>
      <c r="H982" s="93">
        <v>2.206061</v>
      </c>
      <c r="I982" s="93">
        <v>662.373672</v>
      </c>
    </row>
    <row r="983" ht="25.5" spans="1:9">
      <c r="A983" s="90"/>
      <c r="B983" s="91" t="s">
        <v>1111</v>
      </c>
      <c r="C983" s="91" t="s">
        <v>1707</v>
      </c>
      <c r="D983" s="92" t="s">
        <v>1708</v>
      </c>
      <c r="E983" s="93" t="s">
        <v>839</v>
      </c>
      <c r="F983" s="93">
        <v>0.4327</v>
      </c>
      <c r="G983" s="93">
        <v>0.01</v>
      </c>
      <c r="H983" s="93">
        <v>0.004327</v>
      </c>
      <c r="I983" s="93">
        <v>185.784072</v>
      </c>
    </row>
    <row r="984" ht="25.5" spans="1:9">
      <c r="A984" s="90"/>
      <c r="B984" s="91" t="s">
        <v>1111</v>
      </c>
      <c r="C984" s="91" t="s">
        <v>1427</v>
      </c>
      <c r="D984" s="92" t="s">
        <v>1428</v>
      </c>
      <c r="E984" s="93" t="s">
        <v>839</v>
      </c>
      <c r="F984" s="93">
        <v>0.444</v>
      </c>
      <c r="G984" s="93">
        <v>0.78</v>
      </c>
      <c r="H984" s="93">
        <v>0.34632</v>
      </c>
      <c r="I984" s="93">
        <v>190.63584</v>
      </c>
    </row>
    <row r="985" ht="25.5" spans="1:9">
      <c r="A985" s="90"/>
      <c r="B985" s="91" t="s">
        <v>1111</v>
      </c>
      <c r="C985" s="91" t="s">
        <v>1195</v>
      </c>
      <c r="D985" s="92" t="s">
        <v>1196</v>
      </c>
      <c r="E985" s="93" t="s">
        <v>839</v>
      </c>
      <c r="F985" s="93">
        <v>0.666</v>
      </c>
      <c r="G985" s="93">
        <v>0.61</v>
      </c>
      <c r="H985" s="93">
        <v>0.40626</v>
      </c>
      <c r="I985" s="93">
        <v>285.95376</v>
      </c>
    </row>
    <row r="986" spans="1:9">
      <c r="A986" s="90"/>
      <c r="B986" s="91" t="s">
        <v>985</v>
      </c>
      <c r="C986" s="91" t="s">
        <v>1227</v>
      </c>
      <c r="D986" s="92" t="s">
        <v>1228</v>
      </c>
      <c r="E986" s="93" t="s">
        <v>215</v>
      </c>
      <c r="F986" s="93">
        <v>0.033475</v>
      </c>
      <c r="G986" s="93">
        <v>5.96</v>
      </c>
      <c r="H986" s="93">
        <v>0.199511</v>
      </c>
      <c r="I986" s="93">
        <v>14.372826</v>
      </c>
    </row>
    <row r="987" spans="1:9">
      <c r="A987" s="90"/>
      <c r="B987" s="91" t="s">
        <v>985</v>
      </c>
      <c r="C987" s="91" t="s">
        <v>984</v>
      </c>
      <c r="D987" s="92" t="s">
        <v>986</v>
      </c>
      <c r="E987" s="93" t="s">
        <v>215</v>
      </c>
      <c r="F987" s="93">
        <v>0.526301</v>
      </c>
      <c r="G987" s="93">
        <v>5.93</v>
      </c>
      <c r="H987" s="93">
        <v>3.12096493</v>
      </c>
      <c r="I987" s="93">
        <v>225.97259736</v>
      </c>
    </row>
    <row r="988" ht="51" spans="1:9">
      <c r="A988" s="90"/>
      <c r="B988" s="91" t="s">
        <v>1136</v>
      </c>
      <c r="C988" s="91" t="s">
        <v>1135</v>
      </c>
      <c r="D988" s="92" t="s">
        <v>1137</v>
      </c>
      <c r="E988" s="93" t="s">
        <v>494</v>
      </c>
      <c r="F988" s="93">
        <v>3.0515e-5</v>
      </c>
      <c r="G988" s="93">
        <v>466463.38</v>
      </c>
      <c r="H988" s="93">
        <v>14.2341300407</v>
      </c>
      <c r="I988" s="93">
        <v>0.0131019204</v>
      </c>
    </row>
    <row r="989" ht="38.25" spans="1:9">
      <c r="A989" s="85" t="s">
        <v>2325</v>
      </c>
      <c r="B989" s="85" t="s">
        <v>832</v>
      </c>
      <c r="C989" s="85" t="s">
        <v>2326</v>
      </c>
      <c r="D989" s="87" t="s">
        <v>833</v>
      </c>
      <c r="E989" s="89" t="s">
        <v>466</v>
      </c>
      <c r="F989" s="89">
        <v>51.05</v>
      </c>
      <c r="G989" s="89">
        <v>7.05</v>
      </c>
      <c r="H989" s="89">
        <v>359.9</v>
      </c>
      <c r="I989" s="89">
        <v>51.05</v>
      </c>
    </row>
    <row r="990" ht="25.5" spans="1:9">
      <c r="A990" s="90"/>
      <c r="B990" s="91" t="s">
        <v>1421</v>
      </c>
      <c r="C990" s="91" t="s">
        <v>1420</v>
      </c>
      <c r="D990" s="92" t="s">
        <v>1422</v>
      </c>
      <c r="E990" s="93" t="s">
        <v>494</v>
      </c>
      <c r="F990" s="93">
        <v>1</v>
      </c>
      <c r="G990" s="93">
        <v>15839.74</v>
      </c>
      <c r="H990" s="93">
        <v>0.01</v>
      </c>
      <c r="I990" s="93">
        <v>51.05</v>
      </c>
    </row>
    <row r="991" spans="1:9">
      <c r="A991" s="90"/>
      <c r="B991" s="91" t="s">
        <v>1007</v>
      </c>
      <c r="C991" s="91" t="s">
        <v>1048</v>
      </c>
      <c r="D991" s="92" t="s">
        <v>1049</v>
      </c>
      <c r="E991" s="93" t="s">
        <v>839</v>
      </c>
      <c r="F991" s="93">
        <v>1</v>
      </c>
      <c r="G991" s="93">
        <v>1.5</v>
      </c>
      <c r="H991" s="93">
        <v>0.39</v>
      </c>
      <c r="I991" s="93">
        <v>51.05</v>
      </c>
    </row>
    <row r="992" spans="1:9">
      <c r="A992" s="90"/>
      <c r="B992" s="91" t="s">
        <v>1007</v>
      </c>
      <c r="C992" s="91" t="s">
        <v>1006</v>
      </c>
      <c r="D992" s="92" t="s">
        <v>1008</v>
      </c>
      <c r="E992" s="93" t="s">
        <v>839</v>
      </c>
      <c r="F992" s="93">
        <v>0.2623</v>
      </c>
      <c r="G992" s="93">
        <v>3.95</v>
      </c>
      <c r="H992" s="93">
        <v>1.03</v>
      </c>
      <c r="I992" s="93">
        <v>13.390415</v>
      </c>
    </row>
    <row r="993" spans="1:9">
      <c r="A993" s="90"/>
      <c r="B993" s="91" t="s">
        <v>1108</v>
      </c>
      <c r="C993" s="91" t="s">
        <v>1127</v>
      </c>
      <c r="D993" s="92" t="s">
        <v>1128</v>
      </c>
      <c r="E993" s="93" t="s">
        <v>839</v>
      </c>
      <c r="F993" s="93">
        <v>0.007283088</v>
      </c>
      <c r="G993" s="93">
        <v>18</v>
      </c>
      <c r="H993" s="93">
        <v>0.13</v>
      </c>
      <c r="I993" s="93">
        <v>0.3718016424</v>
      </c>
    </row>
    <row r="994" spans="1:9">
      <c r="A994" s="90"/>
      <c r="B994" s="91" t="s">
        <v>1090</v>
      </c>
      <c r="C994" s="91" t="s">
        <v>1089</v>
      </c>
      <c r="D994" s="92" t="s">
        <v>1091</v>
      </c>
      <c r="E994" s="93" t="s">
        <v>839</v>
      </c>
      <c r="F994" s="93">
        <v>0.1041624</v>
      </c>
      <c r="G994" s="93">
        <v>21.83</v>
      </c>
      <c r="H994" s="93">
        <v>2.27</v>
      </c>
      <c r="I994" s="93">
        <v>5.31749052</v>
      </c>
    </row>
    <row r="995" spans="1:9">
      <c r="A995" s="90"/>
      <c r="B995" s="91" t="s">
        <v>1007</v>
      </c>
      <c r="C995" s="91" t="s">
        <v>1378</v>
      </c>
      <c r="D995" s="92" t="s">
        <v>1379</v>
      </c>
      <c r="E995" s="93" t="s">
        <v>839</v>
      </c>
      <c r="F995" s="93">
        <v>0.2623</v>
      </c>
      <c r="G995" s="93">
        <v>0.08</v>
      </c>
      <c r="H995" s="93">
        <v>0.02</v>
      </c>
      <c r="I995" s="93">
        <v>13.390415</v>
      </c>
    </row>
    <row r="996" spans="1:9">
      <c r="A996" s="90"/>
      <c r="B996" s="91" t="s">
        <v>1020</v>
      </c>
      <c r="C996" s="91" t="s">
        <v>1019</v>
      </c>
      <c r="D996" s="92" t="s">
        <v>1021</v>
      </c>
      <c r="E996" s="93" t="s">
        <v>839</v>
      </c>
      <c r="F996" s="93">
        <v>0.15634572</v>
      </c>
      <c r="G996" s="93">
        <v>14.49</v>
      </c>
      <c r="H996" s="93">
        <v>2.26</v>
      </c>
      <c r="I996" s="93">
        <v>7.981449006</v>
      </c>
    </row>
    <row r="997" ht="25.5" spans="1:9">
      <c r="A997" s="90"/>
      <c r="B997" s="91" t="s">
        <v>1111</v>
      </c>
      <c r="C997" s="91" t="s">
        <v>1287</v>
      </c>
      <c r="D997" s="92" t="s">
        <v>1288</v>
      </c>
      <c r="E997" s="93" t="s">
        <v>839</v>
      </c>
      <c r="F997" s="93">
        <v>0.0072</v>
      </c>
      <c r="G997" s="93">
        <v>0.89</v>
      </c>
      <c r="H997" s="93">
        <v>0</v>
      </c>
      <c r="I997" s="93">
        <v>0.36756</v>
      </c>
    </row>
    <row r="998" ht="25.5" spans="1:9">
      <c r="A998" s="90"/>
      <c r="B998" s="91" t="s">
        <v>1111</v>
      </c>
      <c r="C998" s="91" t="s">
        <v>1351</v>
      </c>
      <c r="D998" s="92" t="s">
        <v>1352</v>
      </c>
      <c r="E998" s="93" t="s">
        <v>839</v>
      </c>
      <c r="F998" s="93">
        <v>0.102</v>
      </c>
      <c r="G998" s="93">
        <v>1.31</v>
      </c>
      <c r="H998" s="93">
        <v>0.13</v>
      </c>
      <c r="I998" s="93">
        <v>5.2071</v>
      </c>
    </row>
    <row r="999" ht="25.5" spans="1:9">
      <c r="A999" s="90"/>
      <c r="B999" s="91" t="s">
        <v>1111</v>
      </c>
      <c r="C999" s="91" t="s">
        <v>1110</v>
      </c>
      <c r="D999" s="92" t="s">
        <v>1112</v>
      </c>
      <c r="E999" s="93" t="s">
        <v>839</v>
      </c>
      <c r="F999" s="93">
        <v>0.1531</v>
      </c>
      <c r="G999" s="93">
        <v>1.39</v>
      </c>
      <c r="H999" s="93">
        <v>0.21</v>
      </c>
      <c r="I999" s="93">
        <v>7.815755</v>
      </c>
    </row>
    <row r="1000" spans="1:9">
      <c r="A1000" s="90"/>
      <c r="B1000" s="91" t="s">
        <v>1007</v>
      </c>
      <c r="C1000" s="91" t="s">
        <v>1050</v>
      </c>
      <c r="D1000" s="92" t="s">
        <v>1051</v>
      </c>
      <c r="E1000" s="93" t="s">
        <v>839</v>
      </c>
      <c r="F1000" s="93">
        <v>0.2623</v>
      </c>
      <c r="G1000" s="93">
        <v>1.43</v>
      </c>
      <c r="H1000" s="93">
        <v>0.37</v>
      </c>
      <c r="I1000" s="93">
        <v>13.390415</v>
      </c>
    </row>
    <row r="1001" ht="25.5" spans="1:9">
      <c r="A1001" s="90"/>
      <c r="B1001" s="91" t="s">
        <v>1111</v>
      </c>
      <c r="C1001" s="91" t="s">
        <v>1707</v>
      </c>
      <c r="D1001" s="92" t="s">
        <v>1708</v>
      </c>
      <c r="E1001" s="93" t="s">
        <v>839</v>
      </c>
      <c r="F1001" s="93">
        <v>0.0072</v>
      </c>
      <c r="G1001" s="93">
        <v>0.01</v>
      </c>
      <c r="H1001" s="93">
        <v>0</v>
      </c>
      <c r="I1001" s="93">
        <v>0.36756</v>
      </c>
    </row>
    <row r="1002" ht="25.5" spans="1:9">
      <c r="A1002" s="90"/>
      <c r="B1002" s="91" t="s">
        <v>1111</v>
      </c>
      <c r="C1002" s="91" t="s">
        <v>1427</v>
      </c>
      <c r="D1002" s="92" t="s">
        <v>1428</v>
      </c>
      <c r="E1002" s="93" t="s">
        <v>839</v>
      </c>
      <c r="F1002" s="93">
        <v>0.102</v>
      </c>
      <c r="G1002" s="93">
        <v>0.78</v>
      </c>
      <c r="H1002" s="93">
        <v>0.07</v>
      </c>
      <c r="I1002" s="93">
        <v>5.2071</v>
      </c>
    </row>
    <row r="1003" ht="25.5" spans="1:9">
      <c r="A1003" s="90"/>
      <c r="B1003" s="91" t="s">
        <v>1111</v>
      </c>
      <c r="C1003" s="91" t="s">
        <v>1195</v>
      </c>
      <c r="D1003" s="92" t="s">
        <v>1196</v>
      </c>
      <c r="E1003" s="93" t="s">
        <v>839</v>
      </c>
      <c r="F1003" s="93">
        <v>0.1531</v>
      </c>
      <c r="G1003" s="93">
        <v>0.61</v>
      </c>
      <c r="H1003" s="93">
        <v>0.09</v>
      </c>
      <c r="I1003" s="93">
        <v>7.815755</v>
      </c>
    </row>
    <row r="1004" spans="1:9">
      <c r="A1004" s="90"/>
      <c r="B1004" s="91" t="s">
        <v>985</v>
      </c>
      <c r="C1004" s="91" t="s">
        <v>1227</v>
      </c>
      <c r="D1004" s="92" t="s">
        <v>1228</v>
      </c>
      <c r="E1004" s="93" t="s">
        <v>215</v>
      </c>
      <c r="F1004" s="93">
        <v>0.003708</v>
      </c>
      <c r="G1004" s="93">
        <v>5.96</v>
      </c>
      <c r="H1004" s="93">
        <v>0.02</v>
      </c>
      <c r="I1004" s="93">
        <v>0.1892934</v>
      </c>
    </row>
    <row r="1005" ht="38.25" spans="1:9">
      <c r="A1005" s="85" t="s">
        <v>2327</v>
      </c>
      <c r="B1005" s="85" t="s">
        <v>834</v>
      </c>
      <c r="C1005" s="85" t="s">
        <v>2328</v>
      </c>
      <c r="D1005" s="87" t="s">
        <v>835</v>
      </c>
      <c r="E1005" s="89" t="s">
        <v>112</v>
      </c>
      <c r="F1005" s="89">
        <v>128.78</v>
      </c>
      <c r="G1005" s="89">
        <v>65.62</v>
      </c>
      <c r="H1005" s="89">
        <v>8450.54</v>
      </c>
      <c r="I1005" s="89">
        <v>128.78</v>
      </c>
    </row>
    <row r="1006" spans="1:9">
      <c r="A1006" s="90"/>
      <c r="B1006" s="91" t="s">
        <v>1007</v>
      </c>
      <c r="C1006" s="91" t="s">
        <v>1048</v>
      </c>
      <c r="D1006" s="92" t="s">
        <v>1049</v>
      </c>
      <c r="E1006" s="93" t="s">
        <v>839</v>
      </c>
      <c r="F1006" s="93">
        <v>1</v>
      </c>
      <c r="G1006" s="93">
        <v>1.5</v>
      </c>
      <c r="H1006" s="93">
        <v>0.02955</v>
      </c>
      <c r="I1006" s="93">
        <v>128.78</v>
      </c>
    </row>
    <row r="1007" spans="1:9">
      <c r="A1007" s="90"/>
      <c r="B1007" s="91" t="s">
        <v>1007</v>
      </c>
      <c r="C1007" s="91" t="s">
        <v>1006</v>
      </c>
      <c r="D1007" s="92" t="s">
        <v>1008</v>
      </c>
      <c r="E1007" s="93" t="s">
        <v>839</v>
      </c>
      <c r="F1007" s="93">
        <v>0.0197</v>
      </c>
      <c r="G1007" s="93">
        <v>3.95</v>
      </c>
      <c r="H1007" s="93">
        <v>0.077815</v>
      </c>
      <c r="I1007" s="93">
        <v>2.536966</v>
      </c>
    </row>
    <row r="1008" spans="1:9">
      <c r="A1008" s="90"/>
      <c r="B1008" s="91" t="s">
        <v>1090</v>
      </c>
      <c r="C1008" s="91" t="s">
        <v>1089</v>
      </c>
      <c r="D1008" s="92" t="s">
        <v>1091</v>
      </c>
      <c r="E1008" s="93" t="s">
        <v>839</v>
      </c>
      <c r="F1008" s="93">
        <v>0.00500388</v>
      </c>
      <c r="G1008" s="93">
        <v>21.83</v>
      </c>
      <c r="H1008" s="93">
        <v>0.1092347004</v>
      </c>
      <c r="I1008" s="93">
        <v>0.6443996664</v>
      </c>
    </row>
    <row r="1009" spans="1:9">
      <c r="A1009" s="90"/>
      <c r="B1009" s="91" t="s">
        <v>1007</v>
      </c>
      <c r="C1009" s="91" t="s">
        <v>1378</v>
      </c>
      <c r="D1009" s="92" t="s">
        <v>1379</v>
      </c>
      <c r="E1009" s="93" t="s">
        <v>839</v>
      </c>
      <c r="F1009" s="93">
        <v>0.0197</v>
      </c>
      <c r="G1009" s="93">
        <v>0.08</v>
      </c>
      <c r="H1009" s="93">
        <v>0.001576</v>
      </c>
      <c r="I1009" s="93">
        <v>2.536966</v>
      </c>
    </row>
    <row r="1010" spans="1:9">
      <c r="A1010" s="90"/>
      <c r="B1010" s="91" t="s">
        <v>1020</v>
      </c>
      <c r="C1010" s="91" t="s">
        <v>1019</v>
      </c>
      <c r="D1010" s="92" t="s">
        <v>1021</v>
      </c>
      <c r="E1010" s="93" t="s">
        <v>839</v>
      </c>
      <c r="F1010" s="93">
        <v>0.01511376</v>
      </c>
      <c r="G1010" s="93">
        <v>14.49</v>
      </c>
      <c r="H1010" s="93">
        <v>0.2189983824</v>
      </c>
      <c r="I1010" s="93">
        <v>1.9463500128</v>
      </c>
    </row>
    <row r="1011" ht="25.5" spans="1:9">
      <c r="A1011" s="90"/>
      <c r="B1011" s="91" t="s">
        <v>1111</v>
      </c>
      <c r="C1011" s="91" t="s">
        <v>1351</v>
      </c>
      <c r="D1011" s="92" t="s">
        <v>1352</v>
      </c>
      <c r="E1011" s="93" t="s">
        <v>839</v>
      </c>
      <c r="F1011" s="93">
        <v>0.0049</v>
      </c>
      <c r="G1011" s="93">
        <v>1.31</v>
      </c>
      <c r="H1011" s="93">
        <v>0.006419</v>
      </c>
      <c r="I1011" s="93">
        <v>0.631022</v>
      </c>
    </row>
    <row r="1012" ht="25.5" spans="1:9">
      <c r="A1012" s="90"/>
      <c r="B1012" s="91" t="s">
        <v>1111</v>
      </c>
      <c r="C1012" s="91" t="s">
        <v>1110</v>
      </c>
      <c r="D1012" s="92" t="s">
        <v>1112</v>
      </c>
      <c r="E1012" s="93" t="s">
        <v>839</v>
      </c>
      <c r="F1012" s="93">
        <v>0.0148</v>
      </c>
      <c r="G1012" s="93">
        <v>1.39</v>
      </c>
      <c r="H1012" s="93">
        <v>0.020572</v>
      </c>
      <c r="I1012" s="93">
        <v>1.905944</v>
      </c>
    </row>
    <row r="1013" spans="1:9">
      <c r="A1013" s="90"/>
      <c r="B1013" s="91" t="s">
        <v>1007</v>
      </c>
      <c r="C1013" s="91" t="s">
        <v>1050</v>
      </c>
      <c r="D1013" s="92" t="s">
        <v>1051</v>
      </c>
      <c r="E1013" s="93" t="s">
        <v>839</v>
      </c>
      <c r="F1013" s="93">
        <v>0.0197</v>
      </c>
      <c r="G1013" s="93">
        <v>1.43</v>
      </c>
      <c r="H1013" s="93">
        <v>0.028171</v>
      </c>
      <c r="I1013" s="93">
        <v>2.536966</v>
      </c>
    </row>
    <row r="1014" ht="25.5" spans="1:9">
      <c r="A1014" s="90"/>
      <c r="B1014" s="91" t="s">
        <v>1111</v>
      </c>
      <c r="C1014" s="91" t="s">
        <v>1427</v>
      </c>
      <c r="D1014" s="92" t="s">
        <v>1428</v>
      </c>
      <c r="E1014" s="93" t="s">
        <v>839</v>
      </c>
      <c r="F1014" s="93">
        <v>0.0049</v>
      </c>
      <c r="G1014" s="93">
        <v>0.78</v>
      </c>
      <c r="H1014" s="93">
        <v>0.003822</v>
      </c>
      <c r="I1014" s="93">
        <v>0.631022</v>
      </c>
    </row>
    <row r="1015" ht="25.5" spans="1:9">
      <c r="A1015" s="90"/>
      <c r="B1015" s="91" t="s">
        <v>1111</v>
      </c>
      <c r="C1015" s="91" t="s">
        <v>1195</v>
      </c>
      <c r="D1015" s="92" t="s">
        <v>1196</v>
      </c>
      <c r="E1015" s="93" t="s">
        <v>839</v>
      </c>
      <c r="F1015" s="93">
        <v>0.0148</v>
      </c>
      <c r="G1015" s="93">
        <v>0.61</v>
      </c>
      <c r="H1015" s="93">
        <v>0.009028</v>
      </c>
      <c r="I1015" s="93">
        <v>1.905944</v>
      </c>
    </row>
    <row r="1016" ht="25.5" spans="1:9">
      <c r="A1016" s="90"/>
      <c r="B1016" s="91" t="s">
        <v>1186</v>
      </c>
      <c r="C1016" s="91" t="s">
        <v>1185</v>
      </c>
      <c r="D1016" s="92" t="s">
        <v>1187</v>
      </c>
      <c r="E1016" s="93" t="s">
        <v>112</v>
      </c>
      <c r="F1016" s="93">
        <v>1.05</v>
      </c>
      <c r="G1016" s="93">
        <v>62.02</v>
      </c>
      <c r="H1016" s="93">
        <v>65.12</v>
      </c>
      <c r="I1016" s="93">
        <v>135.219</v>
      </c>
    </row>
    <row r="1017" spans="1:9">
      <c r="A1017" s="85" t="s">
        <v>2329</v>
      </c>
      <c r="B1017" s="86"/>
      <c r="C1017" s="86"/>
      <c r="D1017" s="87" t="s">
        <v>836</v>
      </c>
      <c r="E1017" s="88"/>
      <c r="F1017" s="89">
        <v>0</v>
      </c>
      <c r="G1017" s="89">
        <v>0</v>
      </c>
      <c r="H1017" s="89">
        <v>0</v>
      </c>
      <c r="I1017" s="89">
        <v>0</v>
      </c>
    </row>
    <row r="1018" spans="1:9">
      <c r="A1018" s="85" t="s">
        <v>2330</v>
      </c>
      <c r="B1018" s="85" t="s">
        <v>837</v>
      </c>
      <c r="C1018" s="85" t="s">
        <v>2331</v>
      </c>
      <c r="D1018" s="87" t="s">
        <v>838</v>
      </c>
      <c r="E1018" s="89" t="s">
        <v>839</v>
      </c>
      <c r="F1018" s="89">
        <v>131.48</v>
      </c>
      <c r="G1018" s="89">
        <v>32.65</v>
      </c>
      <c r="H1018" s="89">
        <v>4292.82</v>
      </c>
      <c r="I1018" s="89">
        <v>131.48</v>
      </c>
    </row>
    <row r="1019" spans="1:9">
      <c r="A1019" s="90"/>
      <c r="B1019" s="91" t="s">
        <v>1007</v>
      </c>
      <c r="C1019" s="91" t="s">
        <v>1048</v>
      </c>
      <c r="D1019" s="92" t="s">
        <v>1049</v>
      </c>
      <c r="E1019" s="93" t="s">
        <v>839</v>
      </c>
      <c r="F1019" s="93">
        <v>1</v>
      </c>
      <c r="G1019" s="93">
        <v>1.5</v>
      </c>
      <c r="H1019" s="93">
        <v>1.5</v>
      </c>
      <c r="I1019" s="93">
        <v>131.48</v>
      </c>
    </row>
    <row r="1020" spans="1:9">
      <c r="A1020" s="90"/>
      <c r="B1020" s="91" t="s">
        <v>1007</v>
      </c>
      <c r="C1020" s="91" t="s">
        <v>1006</v>
      </c>
      <c r="D1020" s="92" t="s">
        <v>1008</v>
      </c>
      <c r="E1020" s="93" t="s">
        <v>839</v>
      </c>
      <c r="F1020" s="93">
        <v>1</v>
      </c>
      <c r="G1020" s="93">
        <v>3.95</v>
      </c>
      <c r="H1020" s="93">
        <v>3.95</v>
      </c>
      <c r="I1020" s="93">
        <v>131.48</v>
      </c>
    </row>
    <row r="1021" spans="1:9">
      <c r="A1021" s="90"/>
      <c r="B1021" s="91" t="s">
        <v>1313</v>
      </c>
      <c r="C1021" s="91" t="s">
        <v>1312</v>
      </c>
      <c r="D1021" s="92" t="s">
        <v>1314</v>
      </c>
      <c r="E1021" s="93" t="s">
        <v>839</v>
      </c>
      <c r="F1021" s="93">
        <v>1.03732</v>
      </c>
      <c r="G1021" s="93">
        <v>21.83</v>
      </c>
      <c r="H1021" s="93">
        <v>22.6446956</v>
      </c>
      <c r="I1021" s="93">
        <v>136.3868336</v>
      </c>
    </row>
    <row r="1022" spans="1:9">
      <c r="A1022" s="90"/>
      <c r="B1022" s="91" t="s">
        <v>1007</v>
      </c>
      <c r="C1022" s="91" t="s">
        <v>1378</v>
      </c>
      <c r="D1022" s="92" t="s">
        <v>1379</v>
      </c>
      <c r="E1022" s="93" t="s">
        <v>839</v>
      </c>
      <c r="F1022" s="93">
        <v>1</v>
      </c>
      <c r="G1022" s="93">
        <v>0.08</v>
      </c>
      <c r="H1022" s="93">
        <v>0.08</v>
      </c>
      <c r="I1022" s="93">
        <v>131.48</v>
      </c>
    </row>
    <row r="1023" ht="25.5" spans="1:9">
      <c r="A1023" s="90"/>
      <c r="B1023" s="91" t="s">
        <v>1679</v>
      </c>
      <c r="C1023" s="91" t="s">
        <v>1678</v>
      </c>
      <c r="D1023" s="92" t="s">
        <v>1680</v>
      </c>
      <c r="E1023" s="93" t="s">
        <v>494</v>
      </c>
      <c r="F1023" s="93">
        <v>9.63e-5</v>
      </c>
      <c r="G1023" s="93">
        <v>6083.43</v>
      </c>
      <c r="H1023" s="93">
        <v>0.585834309</v>
      </c>
      <c r="I1023" s="93">
        <v>0.012661524</v>
      </c>
    </row>
    <row r="1024" ht="25.5" spans="1:9">
      <c r="A1024" s="90"/>
      <c r="B1024" s="91" t="s">
        <v>1705</v>
      </c>
      <c r="C1024" s="91" t="s">
        <v>1704</v>
      </c>
      <c r="D1024" s="92" t="s">
        <v>1706</v>
      </c>
      <c r="E1024" s="93" t="s">
        <v>1695</v>
      </c>
      <c r="F1024" s="93">
        <v>0.47</v>
      </c>
      <c r="G1024" s="93">
        <v>0.74</v>
      </c>
      <c r="H1024" s="93">
        <v>0.3478</v>
      </c>
      <c r="I1024" s="93">
        <v>61.7956</v>
      </c>
    </row>
    <row r="1025" ht="25.5" spans="1:9">
      <c r="A1025" s="90"/>
      <c r="B1025" s="91" t="s">
        <v>1111</v>
      </c>
      <c r="C1025" s="91" t="s">
        <v>1612</v>
      </c>
      <c r="D1025" s="92" t="s">
        <v>1613</v>
      </c>
      <c r="E1025" s="93" t="s">
        <v>839</v>
      </c>
      <c r="F1025" s="93">
        <v>1</v>
      </c>
      <c r="G1025" s="93">
        <v>1.26</v>
      </c>
      <c r="H1025" s="93">
        <v>1.26</v>
      </c>
      <c r="I1025" s="93">
        <v>131.48</v>
      </c>
    </row>
    <row r="1026" spans="1:9">
      <c r="A1026" s="90"/>
      <c r="B1026" s="91" t="s">
        <v>1007</v>
      </c>
      <c r="C1026" s="91" t="s">
        <v>1050</v>
      </c>
      <c r="D1026" s="92" t="s">
        <v>1051</v>
      </c>
      <c r="E1026" s="93" t="s">
        <v>839</v>
      </c>
      <c r="F1026" s="93">
        <v>1</v>
      </c>
      <c r="G1026" s="93">
        <v>1.43</v>
      </c>
      <c r="H1026" s="93">
        <v>1.43</v>
      </c>
      <c r="I1026" s="93">
        <v>131.48</v>
      </c>
    </row>
    <row r="1027" ht="25.5" spans="1:9">
      <c r="A1027" s="90"/>
      <c r="B1027" s="91" t="s">
        <v>1111</v>
      </c>
      <c r="C1027" s="91" t="s">
        <v>1656</v>
      </c>
      <c r="D1027" s="92" t="s">
        <v>1657</v>
      </c>
      <c r="E1027" s="93" t="s">
        <v>839</v>
      </c>
      <c r="F1027" s="93">
        <v>1</v>
      </c>
      <c r="G1027" s="93">
        <v>0.86</v>
      </c>
      <c r="H1027" s="93">
        <v>0.86</v>
      </c>
      <c r="I1027" s="93">
        <v>131.48</v>
      </c>
    </row>
    <row r="1028" spans="1:9">
      <c r="A1028" s="85" t="s">
        <v>2332</v>
      </c>
      <c r="B1028" s="86"/>
      <c r="C1028" s="86"/>
      <c r="D1028" s="87" t="s">
        <v>729</v>
      </c>
      <c r="E1028" s="88"/>
      <c r="F1028" s="89">
        <v>0</v>
      </c>
      <c r="G1028" s="89">
        <v>0</v>
      </c>
      <c r="H1028" s="89">
        <v>0</v>
      </c>
      <c r="I1028" s="89">
        <v>0</v>
      </c>
    </row>
    <row r="1029" ht="38.25" spans="1:9">
      <c r="A1029" s="85" t="s">
        <v>2333</v>
      </c>
      <c r="B1029" s="85" t="s">
        <v>562</v>
      </c>
      <c r="C1029" s="85" t="s">
        <v>2334</v>
      </c>
      <c r="D1029" s="87" t="s">
        <v>563</v>
      </c>
      <c r="E1029" s="89" t="s">
        <v>466</v>
      </c>
      <c r="F1029" s="89">
        <v>79.42</v>
      </c>
      <c r="G1029" s="89">
        <v>88.55</v>
      </c>
      <c r="H1029" s="89">
        <v>7032.64</v>
      </c>
      <c r="I1029" s="89">
        <v>79.42</v>
      </c>
    </row>
    <row r="1030" spans="1:9">
      <c r="A1030" s="90"/>
      <c r="B1030" s="91" t="s">
        <v>1007</v>
      </c>
      <c r="C1030" s="91" t="s">
        <v>1048</v>
      </c>
      <c r="D1030" s="92" t="s">
        <v>1049</v>
      </c>
      <c r="E1030" s="93" t="s">
        <v>839</v>
      </c>
      <c r="F1030" s="93">
        <v>1</v>
      </c>
      <c r="G1030" s="93">
        <v>1.5</v>
      </c>
      <c r="H1030" s="93">
        <v>2.1758835</v>
      </c>
      <c r="I1030" s="93">
        <v>79.42</v>
      </c>
    </row>
    <row r="1031" spans="1:9">
      <c r="A1031" s="90"/>
      <c r="B1031" s="91" t="s">
        <v>1007</v>
      </c>
      <c r="C1031" s="91" t="s">
        <v>1006</v>
      </c>
      <c r="D1031" s="92" t="s">
        <v>1008</v>
      </c>
      <c r="E1031" s="93" t="s">
        <v>839</v>
      </c>
      <c r="F1031" s="93">
        <v>1.450589</v>
      </c>
      <c r="G1031" s="93">
        <v>3.95</v>
      </c>
      <c r="H1031" s="93">
        <v>5.72982655</v>
      </c>
      <c r="I1031" s="93">
        <v>115.20577838</v>
      </c>
    </row>
    <row r="1032" spans="1:9">
      <c r="A1032" s="90"/>
      <c r="B1032" s="91" t="s">
        <v>1090</v>
      </c>
      <c r="C1032" s="91" t="s">
        <v>1089</v>
      </c>
      <c r="D1032" s="92" t="s">
        <v>1091</v>
      </c>
      <c r="E1032" s="93" t="s">
        <v>839</v>
      </c>
      <c r="F1032" s="93">
        <v>0.878232</v>
      </c>
      <c r="G1032" s="93">
        <v>21.83</v>
      </c>
      <c r="H1032" s="93">
        <v>19.17180456</v>
      </c>
      <c r="I1032" s="93">
        <v>69.74918544</v>
      </c>
    </row>
    <row r="1033" spans="1:9">
      <c r="A1033" s="90"/>
      <c r="B1033" s="91" t="s">
        <v>1007</v>
      </c>
      <c r="C1033" s="91" t="s">
        <v>1378</v>
      </c>
      <c r="D1033" s="92" t="s">
        <v>1379</v>
      </c>
      <c r="E1033" s="93" t="s">
        <v>839</v>
      </c>
      <c r="F1033" s="93">
        <v>1.450589</v>
      </c>
      <c r="G1033" s="93">
        <v>0.08</v>
      </c>
      <c r="H1033" s="93">
        <v>0.11604712</v>
      </c>
      <c r="I1033" s="93">
        <v>115.20577838</v>
      </c>
    </row>
    <row r="1034" spans="1:9">
      <c r="A1034" s="90"/>
      <c r="B1034" s="91" t="s">
        <v>1020</v>
      </c>
      <c r="C1034" s="91" t="s">
        <v>1019</v>
      </c>
      <c r="D1034" s="92" t="s">
        <v>1021</v>
      </c>
      <c r="E1034" s="93" t="s">
        <v>839</v>
      </c>
      <c r="F1034" s="93">
        <v>0.6031094868</v>
      </c>
      <c r="G1034" s="93">
        <v>14.49</v>
      </c>
      <c r="H1034" s="93">
        <v>8.739056463732</v>
      </c>
      <c r="I1034" s="93">
        <v>47.898955441656</v>
      </c>
    </row>
    <row r="1035" ht="25.5" spans="1:9">
      <c r="A1035" s="90"/>
      <c r="B1035" s="91" t="s">
        <v>1010</v>
      </c>
      <c r="C1035" s="91" t="s">
        <v>1009</v>
      </c>
      <c r="D1035" s="92" t="s">
        <v>1011</v>
      </c>
      <c r="E1035" s="93" t="s">
        <v>476</v>
      </c>
      <c r="F1035" s="93">
        <v>0.016588</v>
      </c>
      <c r="G1035" s="93">
        <v>205</v>
      </c>
      <c r="H1035" s="93">
        <v>3.40054</v>
      </c>
      <c r="I1035" s="93">
        <v>1.31741896</v>
      </c>
    </row>
    <row r="1036" spans="1:9">
      <c r="A1036" s="90"/>
      <c r="B1036" s="91" t="s">
        <v>1331</v>
      </c>
      <c r="C1036" s="91" t="s">
        <v>1330</v>
      </c>
      <c r="D1036" s="92" t="s">
        <v>1332</v>
      </c>
      <c r="E1036" s="93" t="s">
        <v>494</v>
      </c>
      <c r="F1036" s="93">
        <v>15.29</v>
      </c>
      <c r="G1036" s="93">
        <v>2.19</v>
      </c>
      <c r="H1036" s="93">
        <v>33.48</v>
      </c>
      <c r="I1036" s="93">
        <v>1214.3318</v>
      </c>
    </row>
    <row r="1037" spans="1:9">
      <c r="A1037" s="90"/>
      <c r="B1037" s="91" t="s">
        <v>1346</v>
      </c>
      <c r="C1037" s="91" t="s">
        <v>1425</v>
      </c>
      <c r="D1037" s="92" t="s">
        <v>1426</v>
      </c>
      <c r="E1037" s="93" t="s">
        <v>463</v>
      </c>
      <c r="F1037" s="93">
        <v>1.66452</v>
      </c>
      <c r="G1037" s="93">
        <v>1.5</v>
      </c>
      <c r="H1037" s="93">
        <v>2.49678</v>
      </c>
      <c r="I1037" s="93">
        <v>132.1961784</v>
      </c>
    </row>
    <row r="1038" spans="1:9">
      <c r="A1038" s="90"/>
      <c r="B1038" s="91" t="s">
        <v>1567</v>
      </c>
      <c r="C1038" s="91" t="s">
        <v>1566</v>
      </c>
      <c r="D1038" s="92" t="s">
        <v>1568</v>
      </c>
      <c r="E1038" s="93" t="s">
        <v>494</v>
      </c>
      <c r="F1038" s="93">
        <v>1.27</v>
      </c>
      <c r="G1038" s="93">
        <v>2.92</v>
      </c>
      <c r="H1038" s="93">
        <v>3.7</v>
      </c>
      <c r="I1038" s="93">
        <v>100.8634</v>
      </c>
    </row>
    <row r="1039" spans="1:9">
      <c r="A1039" s="90"/>
      <c r="B1039" s="91" t="s">
        <v>1272</v>
      </c>
      <c r="C1039" s="91" t="s">
        <v>1271</v>
      </c>
      <c r="D1039" s="92" t="s">
        <v>1273</v>
      </c>
      <c r="E1039" s="93" t="s">
        <v>463</v>
      </c>
      <c r="F1039" s="93">
        <v>3.745027</v>
      </c>
      <c r="G1039" s="93">
        <v>0.65</v>
      </c>
      <c r="H1039" s="93">
        <v>2.43426755</v>
      </c>
      <c r="I1039" s="93">
        <v>297.43004434</v>
      </c>
    </row>
    <row r="1040" ht="25.5" spans="1:9">
      <c r="A1040" s="90"/>
      <c r="B1040" s="91" t="s">
        <v>1111</v>
      </c>
      <c r="C1040" s="91" t="s">
        <v>1351</v>
      </c>
      <c r="D1040" s="92" t="s">
        <v>1352</v>
      </c>
      <c r="E1040" s="93" t="s">
        <v>839</v>
      </c>
      <c r="F1040" s="93">
        <v>0.86</v>
      </c>
      <c r="G1040" s="93">
        <v>1.31</v>
      </c>
      <c r="H1040" s="93">
        <v>1.1266</v>
      </c>
      <c r="I1040" s="93">
        <v>68.3012</v>
      </c>
    </row>
    <row r="1041" ht="25.5" spans="1:9">
      <c r="A1041" s="90"/>
      <c r="B1041" s="91" t="s">
        <v>1111</v>
      </c>
      <c r="C1041" s="91" t="s">
        <v>1110</v>
      </c>
      <c r="D1041" s="92" t="s">
        <v>1112</v>
      </c>
      <c r="E1041" s="93" t="s">
        <v>839</v>
      </c>
      <c r="F1041" s="93">
        <v>0.590589</v>
      </c>
      <c r="G1041" s="93">
        <v>1.39</v>
      </c>
      <c r="H1041" s="93">
        <v>0.82091871</v>
      </c>
      <c r="I1041" s="93">
        <v>46.90457838</v>
      </c>
    </row>
    <row r="1042" spans="1:9">
      <c r="A1042" s="90"/>
      <c r="B1042" s="91" t="s">
        <v>1007</v>
      </c>
      <c r="C1042" s="91" t="s">
        <v>1050</v>
      </c>
      <c r="D1042" s="92" t="s">
        <v>1051</v>
      </c>
      <c r="E1042" s="93" t="s">
        <v>839</v>
      </c>
      <c r="F1042" s="93">
        <v>1.450589</v>
      </c>
      <c r="G1042" s="93">
        <v>1.43</v>
      </c>
      <c r="H1042" s="93">
        <v>2.07434227</v>
      </c>
      <c r="I1042" s="93">
        <v>115.20577838</v>
      </c>
    </row>
    <row r="1043" ht="25.5" spans="1:9">
      <c r="A1043" s="90"/>
      <c r="B1043" s="91" t="s">
        <v>1111</v>
      </c>
      <c r="C1043" s="91" t="s">
        <v>1427</v>
      </c>
      <c r="D1043" s="92" t="s">
        <v>1428</v>
      </c>
      <c r="E1043" s="93" t="s">
        <v>839</v>
      </c>
      <c r="F1043" s="93">
        <v>0.86</v>
      </c>
      <c r="G1043" s="93">
        <v>0.78</v>
      </c>
      <c r="H1043" s="93">
        <v>0.6708</v>
      </c>
      <c r="I1043" s="93">
        <v>68.3012</v>
      </c>
    </row>
    <row r="1044" ht="25.5" spans="1:9">
      <c r="A1044" s="90"/>
      <c r="B1044" s="91" t="s">
        <v>1111</v>
      </c>
      <c r="C1044" s="91" t="s">
        <v>1195</v>
      </c>
      <c r="D1044" s="92" t="s">
        <v>1196</v>
      </c>
      <c r="E1044" s="93" t="s">
        <v>839</v>
      </c>
      <c r="F1044" s="93">
        <v>0.590589</v>
      </c>
      <c r="G1044" s="93">
        <v>0.61</v>
      </c>
      <c r="H1044" s="93">
        <v>0.36025929</v>
      </c>
      <c r="I1044" s="93">
        <v>46.90457838</v>
      </c>
    </row>
    <row r="1045" spans="1:9">
      <c r="A1045" s="90"/>
      <c r="B1045" s="91" t="s">
        <v>1617</v>
      </c>
      <c r="C1045" s="91" t="s">
        <v>1616</v>
      </c>
      <c r="D1045" s="92" t="s">
        <v>1618</v>
      </c>
      <c r="E1045" s="93" t="s">
        <v>494</v>
      </c>
      <c r="F1045" s="93">
        <v>1.53</v>
      </c>
      <c r="G1045" s="93">
        <v>1.35</v>
      </c>
      <c r="H1045" s="93">
        <v>2.06</v>
      </c>
      <c r="I1045" s="93">
        <v>121.5126</v>
      </c>
    </row>
    <row r="1046" ht="38.25" spans="1:9">
      <c r="A1046" s="85" t="s">
        <v>2335</v>
      </c>
      <c r="B1046" s="85" t="s">
        <v>840</v>
      </c>
      <c r="C1046" s="85" t="s">
        <v>2336</v>
      </c>
      <c r="D1046" s="87" t="s">
        <v>841</v>
      </c>
      <c r="E1046" s="89" t="s">
        <v>463</v>
      </c>
      <c r="F1046" s="89">
        <v>122.82</v>
      </c>
      <c r="G1046" s="89">
        <v>13.05</v>
      </c>
      <c r="H1046" s="89">
        <v>1602.8</v>
      </c>
      <c r="I1046" s="89">
        <v>122.82</v>
      </c>
    </row>
    <row r="1047" spans="1:9">
      <c r="A1047" s="90"/>
      <c r="B1047" s="91" t="s">
        <v>1007</v>
      </c>
      <c r="C1047" s="91" t="s">
        <v>1048</v>
      </c>
      <c r="D1047" s="92" t="s">
        <v>1049</v>
      </c>
      <c r="E1047" s="93" t="s">
        <v>839</v>
      </c>
      <c r="F1047" s="93">
        <v>1</v>
      </c>
      <c r="G1047" s="93">
        <v>1.5</v>
      </c>
      <c r="H1047" s="93">
        <v>0.13905</v>
      </c>
      <c r="I1047" s="93">
        <v>122.82</v>
      </c>
    </row>
    <row r="1048" spans="1:9">
      <c r="A1048" s="90"/>
      <c r="B1048" s="91" t="s">
        <v>1020</v>
      </c>
      <c r="C1048" s="91" t="s">
        <v>1432</v>
      </c>
      <c r="D1048" s="92" t="s">
        <v>1433</v>
      </c>
      <c r="E1048" s="93" t="s">
        <v>839</v>
      </c>
      <c r="F1048" s="93">
        <v>0.01315002</v>
      </c>
      <c r="G1048" s="93">
        <v>15.35</v>
      </c>
      <c r="H1048" s="93">
        <v>0.201852807</v>
      </c>
      <c r="I1048" s="93">
        <v>1.6150854564</v>
      </c>
    </row>
    <row r="1049" spans="1:9">
      <c r="A1049" s="90"/>
      <c r="B1049" s="91" t="s">
        <v>1007</v>
      </c>
      <c r="C1049" s="91" t="s">
        <v>1006</v>
      </c>
      <c r="D1049" s="92" t="s">
        <v>1008</v>
      </c>
      <c r="E1049" s="93" t="s">
        <v>839</v>
      </c>
      <c r="F1049" s="93">
        <v>0.0927</v>
      </c>
      <c r="G1049" s="93">
        <v>3.95</v>
      </c>
      <c r="H1049" s="93">
        <v>0.366165</v>
      </c>
      <c r="I1049" s="93">
        <v>11.385414</v>
      </c>
    </row>
    <row r="1050" spans="1:9">
      <c r="A1050" s="90"/>
      <c r="B1050" s="91" t="s">
        <v>1150</v>
      </c>
      <c r="C1050" s="91" t="s">
        <v>1149</v>
      </c>
      <c r="D1050" s="92" t="s">
        <v>1151</v>
      </c>
      <c r="E1050" s="93" t="s">
        <v>839</v>
      </c>
      <c r="F1050" s="93">
        <v>0.080619738</v>
      </c>
      <c r="G1050" s="93">
        <v>21.83</v>
      </c>
      <c r="H1050" s="93">
        <v>1.75992888054</v>
      </c>
      <c r="I1050" s="93">
        <v>9.90171622116</v>
      </c>
    </row>
    <row r="1051" spans="1:9">
      <c r="A1051" s="90"/>
      <c r="B1051" s="91" t="s">
        <v>1007</v>
      </c>
      <c r="C1051" s="91" t="s">
        <v>1378</v>
      </c>
      <c r="D1051" s="92" t="s">
        <v>1379</v>
      </c>
      <c r="E1051" s="93" t="s">
        <v>839</v>
      </c>
      <c r="F1051" s="93">
        <v>0.0927</v>
      </c>
      <c r="G1051" s="93">
        <v>0.08</v>
      </c>
      <c r="H1051" s="93">
        <v>0.007416</v>
      </c>
      <c r="I1051" s="93">
        <v>11.385414</v>
      </c>
    </row>
    <row r="1052" spans="1:9">
      <c r="A1052" s="90"/>
      <c r="B1052" s="91" t="s">
        <v>1442</v>
      </c>
      <c r="C1052" s="91" t="s">
        <v>1441</v>
      </c>
      <c r="D1052" s="92" t="s">
        <v>1443</v>
      </c>
      <c r="E1052" s="93" t="s">
        <v>463</v>
      </c>
      <c r="F1052" s="93">
        <v>1.11</v>
      </c>
      <c r="G1052" s="93">
        <v>8.71</v>
      </c>
      <c r="H1052" s="93">
        <v>9.6681</v>
      </c>
      <c r="I1052" s="93">
        <v>136.3302</v>
      </c>
    </row>
    <row r="1053" ht="25.5" spans="1:9">
      <c r="A1053" s="90"/>
      <c r="B1053" s="91" t="s">
        <v>1123</v>
      </c>
      <c r="C1053" s="91" t="s">
        <v>1361</v>
      </c>
      <c r="D1053" s="92" t="s">
        <v>1362</v>
      </c>
      <c r="E1053" s="93" t="s">
        <v>463</v>
      </c>
      <c r="F1053" s="93">
        <v>0.025</v>
      </c>
      <c r="G1053" s="93">
        <v>19.38</v>
      </c>
      <c r="H1053" s="93">
        <v>0.48</v>
      </c>
      <c r="I1053" s="93">
        <v>3.0705</v>
      </c>
    </row>
    <row r="1054" ht="25.5" spans="1:9">
      <c r="A1054" s="90"/>
      <c r="B1054" s="91" t="s">
        <v>1111</v>
      </c>
      <c r="C1054" s="91" t="s">
        <v>1351</v>
      </c>
      <c r="D1054" s="92" t="s">
        <v>1352</v>
      </c>
      <c r="E1054" s="93" t="s">
        <v>839</v>
      </c>
      <c r="F1054" s="93">
        <v>0.0927</v>
      </c>
      <c r="G1054" s="93">
        <v>1.31</v>
      </c>
      <c r="H1054" s="93">
        <v>0.121437</v>
      </c>
      <c r="I1054" s="93">
        <v>11.385414</v>
      </c>
    </row>
    <row r="1055" ht="25.5" spans="1:9">
      <c r="A1055" s="90"/>
      <c r="B1055" s="91" t="s">
        <v>1490</v>
      </c>
      <c r="C1055" s="91" t="s">
        <v>1489</v>
      </c>
      <c r="D1055" s="92" t="s">
        <v>1491</v>
      </c>
      <c r="E1055" s="93" t="s">
        <v>494</v>
      </c>
      <c r="F1055" s="93">
        <v>0.543</v>
      </c>
      <c r="G1055" s="93">
        <v>0.22</v>
      </c>
      <c r="H1055" s="93">
        <v>0.11</v>
      </c>
      <c r="I1055" s="93">
        <v>66.69126</v>
      </c>
    </row>
    <row r="1056" spans="1:9">
      <c r="A1056" s="90"/>
      <c r="B1056" s="91" t="s">
        <v>1007</v>
      </c>
      <c r="C1056" s="91" t="s">
        <v>1050</v>
      </c>
      <c r="D1056" s="92" t="s">
        <v>1051</v>
      </c>
      <c r="E1056" s="93" t="s">
        <v>839</v>
      </c>
      <c r="F1056" s="93">
        <v>0.0927</v>
      </c>
      <c r="G1056" s="93">
        <v>1.43</v>
      </c>
      <c r="H1056" s="93">
        <v>0.132561</v>
      </c>
      <c r="I1056" s="93">
        <v>11.385414</v>
      </c>
    </row>
    <row r="1057" ht="25.5" spans="1:9">
      <c r="A1057" s="90"/>
      <c r="B1057" s="91" t="s">
        <v>1111</v>
      </c>
      <c r="C1057" s="91" t="s">
        <v>1427</v>
      </c>
      <c r="D1057" s="92" t="s">
        <v>1428</v>
      </c>
      <c r="E1057" s="93" t="s">
        <v>839</v>
      </c>
      <c r="F1057" s="93">
        <v>0.0927</v>
      </c>
      <c r="G1057" s="93">
        <v>0.78</v>
      </c>
      <c r="H1057" s="93">
        <v>0.072306</v>
      </c>
      <c r="I1057" s="93">
        <v>11.385414</v>
      </c>
    </row>
    <row r="1058" ht="38.25" spans="1:9">
      <c r="A1058" s="85" t="s">
        <v>2337</v>
      </c>
      <c r="B1058" s="85" t="s">
        <v>842</v>
      </c>
      <c r="C1058" s="85" t="s">
        <v>2338</v>
      </c>
      <c r="D1058" s="87" t="s">
        <v>843</v>
      </c>
      <c r="E1058" s="89" t="s">
        <v>463</v>
      </c>
      <c r="F1058" s="89">
        <v>174.5</v>
      </c>
      <c r="G1058" s="89">
        <v>10.74</v>
      </c>
      <c r="H1058" s="89">
        <v>1874.13</v>
      </c>
      <c r="I1058" s="89">
        <v>174.5</v>
      </c>
    </row>
    <row r="1059" spans="1:9">
      <c r="A1059" s="90"/>
      <c r="B1059" s="91" t="s">
        <v>1007</v>
      </c>
      <c r="C1059" s="91" t="s">
        <v>1048</v>
      </c>
      <c r="D1059" s="92" t="s">
        <v>1049</v>
      </c>
      <c r="E1059" s="93" t="s">
        <v>839</v>
      </c>
      <c r="F1059" s="93">
        <v>1</v>
      </c>
      <c r="G1059" s="93">
        <v>1.5</v>
      </c>
      <c r="H1059" s="93">
        <v>0.0894</v>
      </c>
      <c r="I1059" s="93">
        <v>174.5</v>
      </c>
    </row>
    <row r="1060" spans="1:9">
      <c r="A1060" s="90"/>
      <c r="B1060" s="91" t="s">
        <v>1020</v>
      </c>
      <c r="C1060" s="91" t="s">
        <v>1432</v>
      </c>
      <c r="D1060" s="92" t="s">
        <v>1433</v>
      </c>
      <c r="E1060" s="93" t="s">
        <v>839</v>
      </c>
      <c r="F1060" s="93">
        <v>0.008496936</v>
      </c>
      <c r="G1060" s="93">
        <v>15.35</v>
      </c>
      <c r="H1060" s="93">
        <v>0.1304279676</v>
      </c>
      <c r="I1060" s="93">
        <v>1.482715332</v>
      </c>
    </row>
    <row r="1061" spans="1:9">
      <c r="A1061" s="90"/>
      <c r="B1061" s="91" t="s">
        <v>1007</v>
      </c>
      <c r="C1061" s="91" t="s">
        <v>1006</v>
      </c>
      <c r="D1061" s="92" t="s">
        <v>1008</v>
      </c>
      <c r="E1061" s="93" t="s">
        <v>839</v>
      </c>
      <c r="F1061" s="93">
        <v>0.0596</v>
      </c>
      <c r="G1061" s="93">
        <v>3.95</v>
      </c>
      <c r="H1061" s="93">
        <v>0.23542</v>
      </c>
      <c r="I1061" s="93">
        <v>10.4002</v>
      </c>
    </row>
    <row r="1062" spans="1:9">
      <c r="A1062" s="90"/>
      <c r="B1062" s="91" t="s">
        <v>1150</v>
      </c>
      <c r="C1062" s="91" t="s">
        <v>1149</v>
      </c>
      <c r="D1062" s="92" t="s">
        <v>1151</v>
      </c>
      <c r="E1062" s="93" t="s">
        <v>839</v>
      </c>
      <c r="F1062" s="93">
        <v>0.051790848</v>
      </c>
      <c r="G1062" s="93">
        <v>21.83</v>
      </c>
      <c r="H1062" s="93">
        <v>1.13059421184</v>
      </c>
      <c r="I1062" s="93">
        <v>9.037502976</v>
      </c>
    </row>
    <row r="1063" spans="1:9">
      <c r="A1063" s="90"/>
      <c r="B1063" s="91" t="s">
        <v>1007</v>
      </c>
      <c r="C1063" s="91" t="s">
        <v>1378</v>
      </c>
      <c r="D1063" s="92" t="s">
        <v>1379</v>
      </c>
      <c r="E1063" s="93" t="s">
        <v>839</v>
      </c>
      <c r="F1063" s="93">
        <v>0.0596</v>
      </c>
      <c r="G1063" s="93">
        <v>0.08</v>
      </c>
      <c r="H1063" s="93">
        <v>0.004768</v>
      </c>
      <c r="I1063" s="93">
        <v>10.4002</v>
      </c>
    </row>
    <row r="1064" spans="1:9">
      <c r="A1064" s="90"/>
      <c r="B1064" s="91" t="s">
        <v>1158</v>
      </c>
      <c r="C1064" s="91" t="s">
        <v>1423</v>
      </c>
      <c r="D1064" s="92" t="s">
        <v>1424</v>
      </c>
      <c r="E1064" s="93" t="s">
        <v>463</v>
      </c>
      <c r="F1064" s="93">
        <v>1.11</v>
      </c>
      <c r="G1064" s="93">
        <v>7.55</v>
      </c>
      <c r="H1064" s="93">
        <v>8.3805</v>
      </c>
      <c r="I1064" s="93">
        <v>193.695</v>
      </c>
    </row>
    <row r="1065" ht="25.5" spans="1:9">
      <c r="A1065" s="90"/>
      <c r="B1065" s="91" t="s">
        <v>1123</v>
      </c>
      <c r="C1065" s="91" t="s">
        <v>1361</v>
      </c>
      <c r="D1065" s="92" t="s">
        <v>1362</v>
      </c>
      <c r="E1065" s="93" t="s">
        <v>463</v>
      </c>
      <c r="F1065" s="93">
        <v>0.025</v>
      </c>
      <c r="G1065" s="93">
        <v>19.38</v>
      </c>
      <c r="H1065" s="93">
        <v>0.48</v>
      </c>
      <c r="I1065" s="93">
        <v>4.3625</v>
      </c>
    </row>
    <row r="1066" ht="25.5" spans="1:9">
      <c r="A1066" s="90"/>
      <c r="B1066" s="91" t="s">
        <v>1111</v>
      </c>
      <c r="C1066" s="91" t="s">
        <v>1351</v>
      </c>
      <c r="D1066" s="92" t="s">
        <v>1352</v>
      </c>
      <c r="E1066" s="93" t="s">
        <v>839</v>
      </c>
      <c r="F1066" s="93">
        <v>0.0596</v>
      </c>
      <c r="G1066" s="93">
        <v>1.31</v>
      </c>
      <c r="H1066" s="93">
        <v>0.078076</v>
      </c>
      <c r="I1066" s="93">
        <v>10.4002</v>
      </c>
    </row>
    <row r="1067" ht="25.5" spans="1:9">
      <c r="A1067" s="90"/>
      <c r="B1067" s="91" t="s">
        <v>1490</v>
      </c>
      <c r="C1067" s="91" t="s">
        <v>1489</v>
      </c>
      <c r="D1067" s="92" t="s">
        <v>1491</v>
      </c>
      <c r="E1067" s="93" t="s">
        <v>494</v>
      </c>
      <c r="F1067" s="93">
        <v>0.367</v>
      </c>
      <c r="G1067" s="93">
        <v>0.22</v>
      </c>
      <c r="H1067" s="93">
        <v>0.08</v>
      </c>
      <c r="I1067" s="93">
        <v>64.0415</v>
      </c>
    </row>
    <row r="1068" spans="1:9">
      <c r="A1068" s="90"/>
      <c r="B1068" s="91" t="s">
        <v>1007</v>
      </c>
      <c r="C1068" s="91" t="s">
        <v>1050</v>
      </c>
      <c r="D1068" s="92" t="s">
        <v>1051</v>
      </c>
      <c r="E1068" s="93" t="s">
        <v>839</v>
      </c>
      <c r="F1068" s="93">
        <v>0.0596</v>
      </c>
      <c r="G1068" s="93">
        <v>1.43</v>
      </c>
      <c r="H1068" s="93">
        <v>0.085228</v>
      </c>
      <c r="I1068" s="93">
        <v>10.4002</v>
      </c>
    </row>
    <row r="1069" ht="25.5" spans="1:9">
      <c r="A1069" s="90"/>
      <c r="B1069" s="91" t="s">
        <v>1111</v>
      </c>
      <c r="C1069" s="91" t="s">
        <v>1427</v>
      </c>
      <c r="D1069" s="92" t="s">
        <v>1428</v>
      </c>
      <c r="E1069" s="93" t="s">
        <v>839</v>
      </c>
      <c r="F1069" s="93">
        <v>0.0596</v>
      </c>
      <c r="G1069" s="93">
        <v>0.78</v>
      </c>
      <c r="H1069" s="93">
        <v>0.046488</v>
      </c>
      <c r="I1069" s="93">
        <v>10.4002</v>
      </c>
    </row>
    <row r="1070" ht="38.25" spans="1:9">
      <c r="A1070" s="85" t="s">
        <v>2339</v>
      </c>
      <c r="B1070" s="85" t="s">
        <v>844</v>
      </c>
      <c r="C1070" s="85" t="s">
        <v>2340</v>
      </c>
      <c r="D1070" s="87" t="s">
        <v>845</v>
      </c>
      <c r="E1070" s="89" t="s">
        <v>463</v>
      </c>
      <c r="F1070" s="89">
        <v>107.78</v>
      </c>
      <c r="G1070" s="89">
        <v>16.63</v>
      </c>
      <c r="H1070" s="89">
        <v>1792.38</v>
      </c>
      <c r="I1070" s="89">
        <v>107.78</v>
      </c>
    </row>
    <row r="1071" spans="1:9">
      <c r="A1071" s="90"/>
      <c r="B1071" s="91" t="s">
        <v>1007</v>
      </c>
      <c r="C1071" s="91" t="s">
        <v>1048</v>
      </c>
      <c r="D1071" s="92" t="s">
        <v>1049</v>
      </c>
      <c r="E1071" s="93" t="s">
        <v>839</v>
      </c>
      <c r="F1071" s="93">
        <v>1</v>
      </c>
      <c r="G1071" s="93">
        <v>1.5</v>
      </c>
      <c r="H1071" s="93">
        <v>0.3033</v>
      </c>
      <c r="I1071" s="93">
        <v>107.78</v>
      </c>
    </row>
    <row r="1072" spans="1:9">
      <c r="A1072" s="90"/>
      <c r="B1072" s="91" t="s">
        <v>1020</v>
      </c>
      <c r="C1072" s="91" t="s">
        <v>1432</v>
      </c>
      <c r="D1072" s="92" t="s">
        <v>1433</v>
      </c>
      <c r="E1072" s="93" t="s">
        <v>839</v>
      </c>
      <c r="F1072" s="93">
        <v>0.028727736</v>
      </c>
      <c r="G1072" s="93">
        <v>15.35</v>
      </c>
      <c r="H1072" s="93">
        <v>0.4409707476</v>
      </c>
      <c r="I1072" s="93">
        <v>3.09627538608</v>
      </c>
    </row>
    <row r="1073" spans="1:9">
      <c r="A1073" s="90"/>
      <c r="B1073" s="91" t="s">
        <v>1007</v>
      </c>
      <c r="C1073" s="91" t="s">
        <v>1006</v>
      </c>
      <c r="D1073" s="92" t="s">
        <v>1008</v>
      </c>
      <c r="E1073" s="93" t="s">
        <v>839</v>
      </c>
      <c r="F1073" s="93">
        <v>0.2022</v>
      </c>
      <c r="G1073" s="93">
        <v>3.95</v>
      </c>
      <c r="H1073" s="93">
        <v>0.79869</v>
      </c>
      <c r="I1073" s="93">
        <v>21.793116</v>
      </c>
    </row>
    <row r="1074" spans="1:9">
      <c r="A1074" s="90"/>
      <c r="B1074" s="91" t="s">
        <v>1150</v>
      </c>
      <c r="C1074" s="91" t="s">
        <v>1149</v>
      </c>
      <c r="D1074" s="92" t="s">
        <v>1151</v>
      </c>
      <c r="E1074" s="93" t="s">
        <v>839</v>
      </c>
      <c r="F1074" s="93">
        <v>0.175805652</v>
      </c>
      <c r="G1074" s="93">
        <v>21.83</v>
      </c>
      <c r="H1074" s="93">
        <v>3.83783738316</v>
      </c>
      <c r="I1074" s="93">
        <v>18.94833317256</v>
      </c>
    </row>
    <row r="1075" spans="1:9">
      <c r="A1075" s="90"/>
      <c r="B1075" s="91" t="s">
        <v>1007</v>
      </c>
      <c r="C1075" s="91" t="s">
        <v>1378</v>
      </c>
      <c r="D1075" s="92" t="s">
        <v>1379</v>
      </c>
      <c r="E1075" s="93" t="s">
        <v>839</v>
      </c>
      <c r="F1075" s="93">
        <v>0.2022</v>
      </c>
      <c r="G1075" s="93">
        <v>0.08</v>
      </c>
      <c r="H1075" s="93">
        <v>0.016176</v>
      </c>
      <c r="I1075" s="93">
        <v>21.793116</v>
      </c>
    </row>
    <row r="1076" spans="1:9">
      <c r="A1076" s="90"/>
      <c r="B1076" s="91" t="s">
        <v>1456</v>
      </c>
      <c r="C1076" s="91" t="s">
        <v>1455</v>
      </c>
      <c r="D1076" s="92" t="s">
        <v>1457</v>
      </c>
      <c r="E1076" s="93" t="s">
        <v>463</v>
      </c>
      <c r="F1076" s="93">
        <v>1.07</v>
      </c>
      <c r="G1076" s="93">
        <v>9.19</v>
      </c>
      <c r="H1076" s="93">
        <v>9.8333</v>
      </c>
      <c r="I1076" s="93">
        <v>115.3246</v>
      </c>
    </row>
    <row r="1077" ht="25.5" spans="1:9">
      <c r="A1077" s="90"/>
      <c r="B1077" s="91" t="s">
        <v>1123</v>
      </c>
      <c r="C1077" s="91" t="s">
        <v>1361</v>
      </c>
      <c r="D1077" s="92" t="s">
        <v>1362</v>
      </c>
      <c r="E1077" s="93" t="s">
        <v>463</v>
      </c>
      <c r="F1077" s="93">
        <v>0.025</v>
      </c>
      <c r="G1077" s="93">
        <v>19.38</v>
      </c>
      <c r="H1077" s="93">
        <v>0.48</v>
      </c>
      <c r="I1077" s="93">
        <v>2.6945</v>
      </c>
    </row>
    <row r="1078" ht="25.5" spans="1:9">
      <c r="A1078" s="90"/>
      <c r="B1078" s="91" t="s">
        <v>1111</v>
      </c>
      <c r="C1078" s="91" t="s">
        <v>1351</v>
      </c>
      <c r="D1078" s="92" t="s">
        <v>1352</v>
      </c>
      <c r="E1078" s="93" t="s">
        <v>839</v>
      </c>
      <c r="F1078" s="93">
        <v>0.2022</v>
      </c>
      <c r="G1078" s="93">
        <v>1.31</v>
      </c>
      <c r="H1078" s="93">
        <v>0.264882</v>
      </c>
      <c r="I1078" s="93">
        <v>21.793116</v>
      </c>
    </row>
    <row r="1079" ht="25.5" spans="1:9">
      <c r="A1079" s="90"/>
      <c r="B1079" s="91" t="s">
        <v>1490</v>
      </c>
      <c r="C1079" s="91" t="s">
        <v>1489</v>
      </c>
      <c r="D1079" s="92" t="s">
        <v>1491</v>
      </c>
      <c r="E1079" s="93" t="s">
        <v>494</v>
      </c>
      <c r="F1079" s="93">
        <v>0.97</v>
      </c>
      <c r="G1079" s="93">
        <v>0.22</v>
      </c>
      <c r="H1079" s="93">
        <v>0.21</v>
      </c>
      <c r="I1079" s="93">
        <v>104.5466</v>
      </c>
    </row>
    <row r="1080" spans="1:9">
      <c r="A1080" s="90"/>
      <c r="B1080" s="91" t="s">
        <v>1007</v>
      </c>
      <c r="C1080" s="91" t="s">
        <v>1050</v>
      </c>
      <c r="D1080" s="92" t="s">
        <v>1051</v>
      </c>
      <c r="E1080" s="93" t="s">
        <v>839</v>
      </c>
      <c r="F1080" s="93">
        <v>0.2022</v>
      </c>
      <c r="G1080" s="93">
        <v>1.43</v>
      </c>
      <c r="H1080" s="93">
        <v>0.289146</v>
      </c>
      <c r="I1080" s="93">
        <v>21.793116</v>
      </c>
    </row>
    <row r="1081" ht="25.5" spans="1:9">
      <c r="A1081" s="90"/>
      <c r="B1081" s="91" t="s">
        <v>1111</v>
      </c>
      <c r="C1081" s="91" t="s">
        <v>1427</v>
      </c>
      <c r="D1081" s="92" t="s">
        <v>1428</v>
      </c>
      <c r="E1081" s="93" t="s">
        <v>839</v>
      </c>
      <c r="F1081" s="93">
        <v>0.2022</v>
      </c>
      <c r="G1081" s="93">
        <v>0.78</v>
      </c>
      <c r="H1081" s="93">
        <v>0.157716</v>
      </c>
      <c r="I1081" s="93">
        <v>21.793116</v>
      </c>
    </row>
    <row r="1082" ht="38.25" spans="1:9">
      <c r="A1082" s="85" t="s">
        <v>2341</v>
      </c>
      <c r="B1082" s="85" t="s">
        <v>846</v>
      </c>
      <c r="C1082" s="85" t="s">
        <v>2342</v>
      </c>
      <c r="D1082" s="87" t="s">
        <v>847</v>
      </c>
      <c r="E1082" s="89" t="s">
        <v>463</v>
      </c>
      <c r="F1082" s="89">
        <v>3417.77</v>
      </c>
      <c r="G1082" s="89">
        <v>15.04</v>
      </c>
      <c r="H1082" s="89">
        <v>51403.26</v>
      </c>
      <c r="I1082" s="89">
        <v>3417.77</v>
      </c>
    </row>
    <row r="1083" spans="1:9">
      <c r="A1083" s="90"/>
      <c r="B1083" s="91" t="s">
        <v>1007</v>
      </c>
      <c r="C1083" s="91" t="s">
        <v>1048</v>
      </c>
      <c r="D1083" s="92" t="s">
        <v>1049</v>
      </c>
      <c r="E1083" s="93" t="s">
        <v>839</v>
      </c>
      <c r="F1083" s="93">
        <v>1</v>
      </c>
      <c r="G1083" s="93">
        <v>1.5</v>
      </c>
      <c r="H1083" s="93">
        <v>0.2</v>
      </c>
      <c r="I1083" s="93">
        <v>3417.77</v>
      </c>
    </row>
    <row r="1084" spans="1:9">
      <c r="A1084" s="90"/>
      <c r="B1084" s="91" t="s">
        <v>1020</v>
      </c>
      <c r="C1084" s="91" t="s">
        <v>1432</v>
      </c>
      <c r="D1084" s="92" t="s">
        <v>1433</v>
      </c>
      <c r="E1084" s="93" t="s">
        <v>839</v>
      </c>
      <c r="F1084" s="93">
        <v>0.019421568</v>
      </c>
      <c r="G1084" s="93">
        <v>15.35</v>
      </c>
      <c r="H1084" s="93">
        <v>0.29</v>
      </c>
      <c r="I1084" s="93">
        <v>66.37845246336</v>
      </c>
    </row>
    <row r="1085" spans="1:9">
      <c r="A1085" s="90"/>
      <c r="B1085" s="91" t="s">
        <v>1007</v>
      </c>
      <c r="C1085" s="91" t="s">
        <v>1006</v>
      </c>
      <c r="D1085" s="92" t="s">
        <v>1008</v>
      </c>
      <c r="E1085" s="93" t="s">
        <v>839</v>
      </c>
      <c r="F1085" s="93">
        <v>0.1369</v>
      </c>
      <c r="G1085" s="93">
        <v>3.95</v>
      </c>
      <c r="H1085" s="93">
        <v>0.54</v>
      </c>
      <c r="I1085" s="93">
        <v>467.892713</v>
      </c>
    </row>
    <row r="1086" spans="1:9">
      <c r="A1086" s="90"/>
      <c r="B1086" s="91" t="s">
        <v>1150</v>
      </c>
      <c r="C1086" s="91" t="s">
        <v>1149</v>
      </c>
      <c r="D1086" s="92" t="s">
        <v>1151</v>
      </c>
      <c r="E1086" s="93" t="s">
        <v>839</v>
      </c>
      <c r="F1086" s="93">
        <v>0.119058258</v>
      </c>
      <c r="G1086" s="93">
        <v>21.83</v>
      </c>
      <c r="H1086" s="93">
        <v>2.59</v>
      </c>
      <c r="I1086" s="93">
        <v>406.91374244466</v>
      </c>
    </row>
    <row r="1087" spans="1:9">
      <c r="A1087" s="90"/>
      <c r="B1087" s="91" t="s">
        <v>1007</v>
      </c>
      <c r="C1087" s="91" t="s">
        <v>1378</v>
      </c>
      <c r="D1087" s="92" t="s">
        <v>1379</v>
      </c>
      <c r="E1087" s="93" t="s">
        <v>839</v>
      </c>
      <c r="F1087" s="93">
        <v>0.1369</v>
      </c>
      <c r="G1087" s="93">
        <v>0.08</v>
      </c>
      <c r="H1087" s="93">
        <v>0.01</v>
      </c>
      <c r="I1087" s="93">
        <v>467.892713</v>
      </c>
    </row>
    <row r="1088" spans="1:9">
      <c r="A1088" s="90"/>
      <c r="B1088" s="91" t="s">
        <v>1056</v>
      </c>
      <c r="C1088" s="91" t="s">
        <v>1055</v>
      </c>
      <c r="D1088" s="92" t="s">
        <v>1057</v>
      </c>
      <c r="E1088" s="93" t="s">
        <v>463</v>
      </c>
      <c r="F1088" s="93">
        <v>1.11</v>
      </c>
      <c r="G1088" s="93">
        <v>9.25</v>
      </c>
      <c r="H1088" s="93">
        <v>10.26</v>
      </c>
      <c r="I1088" s="93">
        <v>3793.7247</v>
      </c>
    </row>
    <row r="1089" ht="25.5" spans="1:9">
      <c r="A1089" s="90"/>
      <c r="B1089" s="91" t="s">
        <v>1123</v>
      </c>
      <c r="C1089" s="91" t="s">
        <v>1361</v>
      </c>
      <c r="D1089" s="92" t="s">
        <v>1362</v>
      </c>
      <c r="E1089" s="93" t="s">
        <v>463</v>
      </c>
      <c r="F1089" s="93">
        <v>0.025</v>
      </c>
      <c r="G1089" s="93">
        <v>19.38</v>
      </c>
      <c r="H1089" s="93">
        <v>0.48</v>
      </c>
      <c r="I1089" s="93">
        <v>85.44425</v>
      </c>
    </row>
    <row r="1090" ht="25.5" spans="1:9">
      <c r="A1090" s="90"/>
      <c r="B1090" s="91" t="s">
        <v>1111</v>
      </c>
      <c r="C1090" s="91" t="s">
        <v>1351</v>
      </c>
      <c r="D1090" s="92" t="s">
        <v>1352</v>
      </c>
      <c r="E1090" s="93" t="s">
        <v>839</v>
      </c>
      <c r="F1090" s="93">
        <v>0.1369</v>
      </c>
      <c r="G1090" s="93">
        <v>1.31</v>
      </c>
      <c r="H1090" s="93">
        <v>0.17</v>
      </c>
      <c r="I1090" s="93">
        <v>467.892713</v>
      </c>
    </row>
    <row r="1091" ht="25.5" spans="1:9">
      <c r="A1091" s="90"/>
      <c r="B1091" s="91" t="s">
        <v>1490</v>
      </c>
      <c r="C1091" s="91" t="s">
        <v>1489</v>
      </c>
      <c r="D1091" s="92" t="s">
        <v>1491</v>
      </c>
      <c r="E1091" s="93" t="s">
        <v>494</v>
      </c>
      <c r="F1091" s="93">
        <v>0.743</v>
      </c>
      <c r="G1091" s="93">
        <v>0.22</v>
      </c>
      <c r="H1091" s="93">
        <v>0.16</v>
      </c>
      <c r="I1091" s="93">
        <v>2539.40311</v>
      </c>
    </row>
    <row r="1092" spans="1:9">
      <c r="A1092" s="90"/>
      <c r="B1092" s="91" t="s">
        <v>1007</v>
      </c>
      <c r="C1092" s="91" t="s">
        <v>1050</v>
      </c>
      <c r="D1092" s="92" t="s">
        <v>1051</v>
      </c>
      <c r="E1092" s="93" t="s">
        <v>839</v>
      </c>
      <c r="F1092" s="93">
        <v>0.1369</v>
      </c>
      <c r="G1092" s="93">
        <v>1.43</v>
      </c>
      <c r="H1092" s="93">
        <v>0.19</v>
      </c>
      <c r="I1092" s="93">
        <v>467.892713</v>
      </c>
    </row>
    <row r="1093" ht="25.5" spans="1:9">
      <c r="A1093" s="90"/>
      <c r="B1093" s="91" t="s">
        <v>1111</v>
      </c>
      <c r="C1093" s="91" t="s">
        <v>1427</v>
      </c>
      <c r="D1093" s="92" t="s">
        <v>1428</v>
      </c>
      <c r="E1093" s="93" t="s">
        <v>839</v>
      </c>
      <c r="F1093" s="93">
        <v>0.1369</v>
      </c>
      <c r="G1093" s="93">
        <v>0.78</v>
      </c>
      <c r="H1093" s="93">
        <v>0.1</v>
      </c>
      <c r="I1093" s="93">
        <v>467.892713</v>
      </c>
    </row>
    <row r="1094" ht="25.5" spans="1:9">
      <c r="A1094" s="85" t="s">
        <v>2343</v>
      </c>
      <c r="B1094" s="85" t="s">
        <v>2344</v>
      </c>
      <c r="C1094" s="85" t="s">
        <v>2345</v>
      </c>
      <c r="D1094" s="87" t="s">
        <v>848</v>
      </c>
      <c r="E1094" s="89" t="s">
        <v>494</v>
      </c>
      <c r="F1094" s="89">
        <v>6</v>
      </c>
      <c r="G1094" s="89">
        <v>115.92</v>
      </c>
      <c r="H1094" s="89">
        <v>695.52</v>
      </c>
      <c r="I1094" s="89">
        <v>6</v>
      </c>
    </row>
    <row r="1095" ht="25.5" spans="1:9">
      <c r="A1095" s="90"/>
      <c r="B1095" s="91" t="s">
        <v>1776</v>
      </c>
      <c r="C1095" s="91" t="s">
        <v>1775</v>
      </c>
      <c r="D1095" s="92" t="s">
        <v>1777</v>
      </c>
      <c r="E1095" s="93" t="s">
        <v>494</v>
      </c>
      <c r="F1095" s="93">
        <v>1</v>
      </c>
      <c r="G1095" s="93">
        <v>5000</v>
      </c>
      <c r="H1095" s="93">
        <v>0.01543339284</v>
      </c>
      <c r="I1095" s="93">
        <v>6</v>
      </c>
    </row>
    <row r="1096" spans="1:9">
      <c r="A1096" s="90"/>
      <c r="B1096" s="91" t="s">
        <v>1007</v>
      </c>
      <c r="C1096" s="91" t="s">
        <v>1048</v>
      </c>
      <c r="D1096" s="92" t="s">
        <v>1049</v>
      </c>
      <c r="E1096" s="93" t="s">
        <v>839</v>
      </c>
      <c r="F1096" s="93">
        <v>1</v>
      </c>
      <c r="G1096" s="93">
        <v>1.5</v>
      </c>
      <c r="H1096" s="93">
        <v>5.94004329</v>
      </c>
      <c r="I1096" s="93">
        <v>6</v>
      </c>
    </row>
    <row r="1097" spans="1:9">
      <c r="A1097" s="90"/>
      <c r="B1097" s="91" t="s">
        <v>1007</v>
      </c>
      <c r="C1097" s="91" t="s">
        <v>1006</v>
      </c>
      <c r="D1097" s="92" t="s">
        <v>1008</v>
      </c>
      <c r="E1097" s="93" t="s">
        <v>839</v>
      </c>
      <c r="F1097" s="93">
        <v>3.96002886</v>
      </c>
      <c r="G1097" s="93">
        <v>3.95</v>
      </c>
      <c r="H1097" s="93">
        <v>15.642113997</v>
      </c>
      <c r="I1097" s="93">
        <v>23.76017316</v>
      </c>
    </row>
    <row r="1098" spans="1:9">
      <c r="A1098" s="90"/>
      <c r="B1098" s="91" t="s">
        <v>1506</v>
      </c>
      <c r="C1098" s="91" t="s">
        <v>1505</v>
      </c>
      <c r="D1098" s="92" t="s">
        <v>1507</v>
      </c>
      <c r="E1098" s="93" t="s">
        <v>839</v>
      </c>
      <c r="F1098" s="93">
        <v>0.0327013687566</v>
      </c>
      <c r="G1098" s="93">
        <v>18</v>
      </c>
      <c r="H1098" s="93">
        <v>0.5886246376188</v>
      </c>
      <c r="I1098" s="93">
        <v>0.1962082125396</v>
      </c>
    </row>
    <row r="1099" spans="1:9">
      <c r="A1099" s="90"/>
      <c r="B1099" s="91" t="s">
        <v>1090</v>
      </c>
      <c r="C1099" s="91" t="s">
        <v>1089</v>
      </c>
      <c r="D1099" s="92" t="s">
        <v>1091</v>
      </c>
      <c r="E1099" s="93" t="s">
        <v>839</v>
      </c>
      <c r="F1099" s="93">
        <v>2.2460568948</v>
      </c>
      <c r="G1099" s="93">
        <v>21.83</v>
      </c>
      <c r="H1099" s="93">
        <v>49.031422013484</v>
      </c>
      <c r="I1099" s="93">
        <v>13.4763413688</v>
      </c>
    </row>
    <row r="1100" spans="1:9">
      <c r="A1100" s="90"/>
      <c r="B1100" s="91" t="s">
        <v>1007</v>
      </c>
      <c r="C1100" s="91" t="s">
        <v>1378</v>
      </c>
      <c r="D1100" s="92" t="s">
        <v>1379</v>
      </c>
      <c r="E1100" s="93" t="s">
        <v>839</v>
      </c>
      <c r="F1100" s="93">
        <v>3.96002886</v>
      </c>
      <c r="G1100" s="93">
        <v>0.08</v>
      </c>
      <c r="H1100" s="93">
        <v>0.3168023088</v>
      </c>
      <c r="I1100" s="93">
        <v>23.76017316</v>
      </c>
    </row>
    <row r="1101" spans="1:9">
      <c r="A1101" s="90"/>
      <c r="B1101" s="91" t="s">
        <v>1020</v>
      </c>
      <c r="C1101" s="91" t="s">
        <v>1019</v>
      </c>
      <c r="D1101" s="92" t="s">
        <v>1021</v>
      </c>
      <c r="E1101" s="93" t="s">
        <v>839</v>
      </c>
      <c r="F1101" s="93">
        <v>1.7648051616</v>
      </c>
      <c r="G1101" s="93">
        <v>14.49</v>
      </c>
      <c r="H1101" s="93">
        <v>25.572026791584</v>
      </c>
      <c r="I1101" s="93">
        <v>10.5888309696</v>
      </c>
    </row>
    <row r="1102" ht="25.5" spans="1:9">
      <c r="A1102" s="90"/>
      <c r="B1102" s="91" t="s">
        <v>1010</v>
      </c>
      <c r="C1102" s="91" t="s">
        <v>1009</v>
      </c>
      <c r="D1102" s="92" t="s">
        <v>1011</v>
      </c>
      <c r="E1102" s="93" t="s">
        <v>476</v>
      </c>
      <c r="F1102" s="93">
        <v>0.01014681</v>
      </c>
      <c r="G1102" s="93">
        <v>205</v>
      </c>
      <c r="H1102" s="93">
        <v>2.08009605</v>
      </c>
      <c r="I1102" s="93">
        <v>0.06088086</v>
      </c>
    </row>
    <row r="1103" spans="1:9">
      <c r="A1103" s="90"/>
      <c r="B1103" s="91" t="s">
        <v>1272</v>
      </c>
      <c r="C1103" s="91" t="s">
        <v>1271</v>
      </c>
      <c r="D1103" s="92" t="s">
        <v>1273</v>
      </c>
      <c r="E1103" s="93" t="s">
        <v>463</v>
      </c>
      <c r="F1103" s="93">
        <v>4.5869271</v>
      </c>
      <c r="G1103" s="93">
        <v>0.65</v>
      </c>
      <c r="H1103" s="93">
        <v>2.981502615</v>
      </c>
      <c r="I1103" s="93">
        <v>27.5215626</v>
      </c>
    </row>
    <row r="1104" spans="1:9">
      <c r="A1104" s="90"/>
      <c r="B1104" s="91" t="s">
        <v>1693</v>
      </c>
      <c r="C1104" s="91" t="s">
        <v>1692</v>
      </c>
      <c r="D1104" s="92" t="s">
        <v>1694</v>
      </c>
      <c r="E1104" s="93" t="s">
        <v>1695</v>
      </c>
      <c r="F1104" s="93">
        <v>0.009483</v>
      </c>
      <c r="G1104" s="93">
        <v>0.72</v>
      </c>
      <c r="H1104" s="93">
        <v>0.00682776</v>
      </c>
      <c r="I1104" s="93">
        <v>0.056898</v>
      </c>
    </row>
    <row r="1105" ht="25.5" spans="1:9">
      <c r="A1105" s="90"/>
      <c r="B1105" s="91" t="s">
        <v>1111</v>
      </c>
      <c r="C1105" s="91" t="s">
        <v>1287</v>
      </c>
      <c r="D1105" s="92" t="s">
        <v>1288</v>
      </c>
      <c r="E1105" s="93" t="s">
        <v>839</v>
      </c>
      <c r="F1105" s="93">
        <v>0.03243186</v>
      </c>
      <c r="G1105" s="93">
        <v>0.89</v>
      </c>
      <c r="H1105" s="93">
        <v>0.0288643554</v>
      </c>
      <c r="I1105" s="93">
        <v>0.19459116</v>
      </c>
    </row>
    <row r="1106" ht="25.5" spans="1:9">
      <c r="A1106" s="90"/>
      <c r="B1106" s="91" t="s">
        <v>1111</v>
      </c>
      <c r="C1106" s="91" t="s">
        <v>1351</v>
      </c>
      <c r="D1106" s="92" t="s">
        <v>1352</v>
      </c>
      <c r="E1106" s="93" t="s">
        <v>839</v>
      </c>
      <c r="F1106" s="93">
        <v>2.199429</v>
      </c>
      <c r="G1106" s="93">
        <v>1.31</v>
      </c>
      <c r="H1106" s="93">
        <v>2.88125199</v>
      </c>
      <c r="I1106" s="93">
        <v>13.196574</v>
      </c>
    </row>
    <row r="1107" ht="25.5" spans="1:9">
      <c r="A1107" s="90"/>
      <c r="B1107" s="91" t="s">
        <v>1111</v>
      </c>
      <c r="C1107" s="91" t="s">
        <v>1110</v>
      </c>
      <c r="D1107" s="92" t="s">
        <v>1112</v>
      </c>
      <c r="E1107" s="93" t="s">
        <v>839</v>
      </c>
      <c r="F1107" s="93">
        <v>1.728168</v>
      </c>
      <c r="G1107" s="93">
        <v>1.39</v>
      </c>
      <c r="H1107" s="93">
        <v>2.40215352</v>
      </c>
      <c r="I1107" s="93">
        <v>10.369008</v>
      </c>
    </row>
    <row r="1108" spans="1:9">
      <c r="A1108" s="90"/>
      <c r="B1108" s="91" t="s">
        <v>1007</v>
      </c>
      <c r="C1108" s="91" t="s">
        <v>1050</v>
      </c>
      <c r="D1108" s="92" t="s">
        <v>1051</v>
      </c>
      <c r="E1108" s="93" t="s">
        <v>839</v>
      </c>
      <c r="F1108" s="93">
        <v>3.96002886</v>
      </c>
      <c r="G1108" s="93">
        <v>1.43</v>
      </c>
      <c r="H1108" s="93">
        <v>5.6628412698</v>
      </c>
      <c r="I1108" s="93">
        <v>23.76017316</v>
      </c>
    </row>
    <row r="1109" ht="25.5" spans="1:9">
      <c r="A1109" s="90"/>
      <c r="B1109" s="91" t="s">
        <v>1111</v>
      </c>
      <c r="C1109" s="91" t="s">
        <v>1707</v>
      </c>
      <c r="D1109" s="92" t="s">
        <v>1708</v>
      </c>
      <c r="E1109" s="93" t="s">
        <v>839</v>
      </c>
      <c r="F1109" s="93">
        <v>0.03243186</v>
      </c>
      <c r="G1109" s="93">
        <v>0.01</v>
      </c>
      <c r="H1109" s="93">
        <v>0.0003243186</v>
      </c>
      <c r="I1109" s="93">
        <v>0.19459116</v>
      </c>
    </row>
    <row r="1110" ht="25.5" spans="1:9">
      <c r="A1110" s="90"/>
      <c r="B1110" s="91" t="s">
        <v>1111</v>
      </c>
      <c r="C1110" s="91" t="s">
        <v>1427</v>
      </c>
      <c r="D1110" s="92" t="s">
        <v>1428</v>
      </c>
      <c r="E1110" s="93" t="s">
        <v>839</v>
      </c>
      <c r="F1110" s="93">
        <v>2.199429</v>
      </c>
      <c r="G1110" s="93">
        <v>0.78</v>
      </c>
      <c r="H1110" s="93">
        <v>1.71555462</v>
      </c>
      <c r="I1110" s="93">
        <v>13.196574</v>
      </c>
    </row>
    <row r="1111" ht="25.5" spans="1:9">
      <c r="A1111" s="90"/>
      <c r="B1111" s="91" t="s">
        <v>1111</v>
      </c>
      <c r="C1111" s="91" t="s">
        <v>1195</v>
      </c>
      <c r="D1111" s="92" t="s">
        <v>1196</v>
      </c>
      <c r="E1111" s="93" t="s">
        <v>839</v>
      </c>
      <c r="F1111" s="93">
        <v>1.728168</v>
      </c>
      <c r="G1111" s="93">
        <v>0.61</v>
      </c>
      <c r="H1111" s="93">
        <v>1.05418248</v>
      </c>
      <c r="I1111" s="93">
        <v>10.369008</v>
      </c>
    </row>
    <row r="1112" ht="38.25" spans="1:9">
      <c r="A1112" s="85" t="s">
        <v>2346</v>
      </c>
      <c r="B1112" s="85" t="s">
        <v>583</v>
      </c>
      <c r="C1112" s="85" t="s">
        <v>2347</v>
      </c>
      <c r="D1112" s="87" t="s">
        <v>849</v>
      </c>
      <c r="E1112" s="89" t="s">
        <v>494</v>
      </c>
      <c r="F1112" s="89">
        <v>2</v>
      </c>
      <c r="G1112" s="89">
        <v>102.64</v>
      </c>
      <c r="H1112" s="89">
        <v>205.28</v>
      </c>
      <c r="I1112" s="89">
        <v>2</v>
      </c>
    </row>
    <row r="1113" ht="25.5" spans="1:9">
      <c r="A1113" s="90"/>
      <c r="B1113" s="91" t="s">
        <v>1776</v>
      </c>
      <c r="C1113" s="91" t="s">
        <v>1775</v>
      </c>
      <c r="D1113" s="92" t="s">
        <v>1777</v>
      </c>
      <c r="E1113" s="93" t="s">
        <v>494</v>
      </c>
      <c r="F1113" s="93">
        <v>1</v>
      </c>
      <c r="G1113" s="93">
        <v>5000</v>
      </c>
      <c r="H1113" s="93">
        <v>0.01</v>
      </c>
      <c r="I1113" s="93">
        <v>2</v>
      </c>
    </row>
    <row r="1114" ht="51" spans="1:9">
      <c r="A1114" s="90"/>
      <c r="B1114" s="91" t="s">
        <v>1779</v>
      </c>
      <c r="C1114" s="91" t="s">
        <v>1778</v>
      </c>
      <c r="D1114" s="92" t="s">
        <v>1780</v>
      </c>
      <c r="E1114" s="93" t="s">
        <v>494</v>
      </c>
      <c r="F1114" s="93">
        <v>1</v>
      </c>
      <c r="G1114" s="93">
        <v>10731.19</v>
      </c>
      <c r="H1114" s="93">
        <v>0</v>
      </c>
      <c r="I1114" s="93">
        <v>2</v>
      </c>
    </row>
    <row r="1115" ht="25.5" spans="1:9">
      <c r="A1115" s="90"/>
      <c r="B1115" s="91" t="s">
        <v>1421</v>
      </c>
      <c r="C1115" s="91" t="s">
        <v>1420</v>
      </c>
      <c r="D1115" s="92" t="s">
        <v>1422</v>
      </c>
      <c r="E1115" s="93" t="s">
        <v>494</v>
      </c>
      <c r="F1115" s="93">
        <v>1</v>
      </c>
      <c r="G1115" s="93">
        <v>15839.74</v>
      </c>
      <c r="H1115" s="93">
        <v>0</v>
      </c>
      <c r="I1115" s="93">
        <v>2</v>
      </c>
    </row>
    <row r="1116" spans="1:9">
      <c r="A1116" s="90"/>
      <c r="B1116" s="91" t="s">
        <v>1007</v>
      </c>
      <c r="C1116" s="91" t="s">
        <v>1048</v>
      </c>
      <c r="D1116" s="92" t="s">
        <v>1049</v>
      </c>
      <c r="E1116" s="93" t="s">
        <v>839</v>
      </c>
      <c r="F1116" s="93">
        <v>1</v>
      </c>
      <c r="G1116" s="93">
        <v>1.5</v>
      </c>
      <c r="H1116" s="93">
        <v>2.53</v>
      </c>
      <c r="I1116" s="93">
        <v>2</v>
      </c>
    </row>
    <row r="1117" spans="1:9">
      <c r="A1117" s="90"/>
      <c r="B1117" s="91" t="s">
        <v>1020</v>
      </c>
      <c r="C1117" s="91" t="s">
        <v>1432</v>
      </c>
      <c r="D1117" s="92" t="s">
        <v>1433</v>
      </c>
      <c r="E1117" s="93" t="s">
        <v>839</v>
      </c>
      <c r="F1117" s="93">
        <v>0.08772176034</v>
      </c>
      <c r="G1117" s="93">
        <v>15.35</v>
      </c>
      <c r="H1117" s="93">
        <v>1.34</v>
      </c>
      <c r="I1117" s="93">
        <v>0.17544352068</v>
      </c>
    </row>
    <row r="1118" spans="1:9">
      <c r="A1118" s="90"/>
      <c r="B1118" s="91" t="s">
        <v>1007</v>
      </c>
      <c r="C1118" s="91" t="s">
        <v>1006</v>
      </c>
      <c r="D1118" s="92" t="s">
        <v>1008</v>
      </c>
      <c r="E1118" s="93" t="s">
        <v>839</v>
      </c>
      <c r="F1118" s="93">
        <v>1.69194991</v>
      </c>
      <c r="G1118" s="93">
        <v>3.95</v>
      </c>
      <c r="H1118" s="93">
        <v>6.68</v>
      </c>
      <c r="I1118" s="93">
        <v>3.38389982</v>
      </c>
    </row>
    <row r="1119" spans="1:9">
      <c r="A1119" s="90"/>
      <c r="B1119" s="91" t="s">
        <v>1150</v>
      </c>
      <c r="C1119" s="91" t="s">
        <v>1149</v>
      </c>
      <c r="D1119" s="92" t="s">
        <v>1151</v>
      </c>
      <c r="E1119" s="93" t="s">
        <v>839</v>
      </c>
      <c r="F1119" s="93">
        <v>0.53657543916</v>
      </c>
      <c r="G1119" s="93">
        <v>21.83</v>
      </c>
      <c r="H1119" s="93">
        <v>11.71</v>
      </c>
      <c r="I1119" s="93">
        <v>1.07315087832</v>
      </c>
    </row>
    <row r="1120" spans="1:9">
      <c r="A1120" s="90"/>
      <c r="B1120" s="91" t="s">
        <v>1506</v>
      </c>
      <c r="C1120" s="91" t="s">
        <v>1505</v>
      </c>
      <c r="D1120" s="92" t="s">
        <v>1507</v>
      </c>
      <c r="E1120" s="93" t="s">
        <v>839</v>
      </c>
      <c r="F1120" s="93">
        <v>0.02311550675</v>
      </c>
      <c r="G1120" s="93">
        <v>18</v>
      </c>
      <c r="H1120" s="93">
        <v>0.41</v>
      </c>
      <c r="I1120" s="93">
        <v>0.0462310135</v>
      </c>
    </row>
    <row r="1121" spans="1:9">
      <c r="A1121" s="90"/>
      <c r="B1121" s="91" t="s">
        <v>1108</v>
      </c>
      <c r="C1121" s="91" t="s">
        <v>1127</v>
      </c>
      <c r="D1121" s="92" t="s">
        <v>1128</v>
      </c>
      <c r="E1121" s="93" t="s">
        <v>839</v>
      </c>
      <c r="F1121" s="93">
        <v>0.00087397056</v>
      </c>
      <c r="G1121" s="93">
        <v>18</v>
      </c>
      <c r="H1121" s="93">
        <v>0.01</v>
      </c>
      <c r="I1121" s="93">
        <v>0.00174794112</v>
      </c>
    </row>
    <row r="1122" spans="1:9">
      <c r="A1122" s="90"/>
      <c r="B1122" s="91" t="s">
        <v>1090</v>
      </c>
      <c r="C1122" s="91" t="s">
        <v>1089</v>
      </c>
      <c r="D1122" s="92" t="s">
        <v>1091</v>
      </c>
      <c r="E1122" s="93" t="s">
        <v>839</v>
      </c>
      <c r="F1122" s="93">
        <v>0.1603202304</v>
      </c>
      <c r="G1122" s="93">
        <v>21.83</v>
      </c>
      <c r="H1122" s="93">
        <v>3.49</v>
      </c>
      <c r="I1122" s="93">
        <v>0.3206404608</v>
      </c>
    </row>
    <row r="1123" spans="1:9">
      <c r="A1123" s="90"/>
      <c r="B1123" s="91" t="s">
        <v>1007</v>
      </c>
      <c r="C1123" s="91" t="s">
        <v>1378</v>
      </c>
      <c r="D1123" s="92" t="s">
        <v>1379</v>
      </c>
      <c r="E1123" s="93" t="s">
        <v>839</v>
      </c>
      <c r="F1123" s="93">
        <v>1.69194991</v>
      </c>
      <c r="G1123" s="93">
        <v>0.08</v>
      </c>
      <c r="H1123" s="93">
        <v>0.13</v>
      </c>
      <c r="I1123" s="93">
        <v>3.38389982</v>
      </c>
    </row>
    <row r="1124" spans="1:9">
      <c r="A1124" s="90"/>
      <c r="B1124" s="91" t="s">
        <v>1020</v>
      </c>
      <c r="C1124" s="91" t="s">
        <v>1019</v>
      </c>
      <c r="D1124" s="92" t="s">
        <v>1021</v>
      </c>
      <c r="E1124" s="93" t="s">
        <v>839</v>
      </c>
      <c r="F1124" s="93">
        <v>0.912946580892</v>
      </c>
      <c r="G1124" s="93">
        <v>14.49</v>
      </c>
      <c r="H1124" s="93">
        <v>13.22</v>
      </c>
      <c r="I1124" s="93">
        <v>1.825893161784</v>
      </c>
    </row>
    <row r="1125" spans="1:9">
      <c r="A1125" s="90"/>
      <c r="B1125" s="91" t="s">
        <v>1158</v>
      </c>
      <c r="C1125" s="91" t="s">
        <v>1380</v>
      </c>
      <c r="D1125" s="92" t="s">
        <v>1381</v>
      </c>
      <c r="E1125" s="93" t="s">
        <v>463</v>
      </c>
      <c r="F1125" s="93">
        <v>2.2577</v>
      </c>
      <c r="G1125" s="93">
        <v>8.25</v>
      </c>
      <c r="H1125" s="93">
        <v>18.62</v>
      </c>
      <c r="I1125" s="93">
        <v>4.5154</v>
      </c>
    </row>
    <row r="1126" ht="25.5" spans="1:9">
      <c r="A1126" s="90"/>
      <c r="B1126" s="91" t="s">
        <v>1123</v>
      </c>
      <c r="C1126" s="91" t="s">
        <v>1361</v>
      </c>
      <c r="D1126" s="92" t="s">
        <v>1362</v>
      </c>
      <c r="E1126" s="93" t="s">
        <v>463</v>
      </c>
      <c r="F1126" s="93">
        <v>0.05275</v>
      </c>
      <c r="G1126" s="93">
        <v>19.38</v>
      </c>
      <c r="H1126" s="93">
        <v>1.02</v>
      </c>
      <c r="I1126" s="93">
        <v>0.1055</v>
      </c>
    </row>
    <row r="1127" ht="25.5" spans="1:9">
      <c r="A1127" s="90"/>
      <c r="B1127" s="91" t="s">
        <v>1519</v>
      </c>
      <c r="C1127" s="91" t="s">
        <v>1518</v>
      </c>
      <c r="D1127" s="92" t="s">
        <v>1520</v>
      </c>
      <c r="E1127" s="93" t="s">
        <v>476</v>
      </c>
      <c r="F1127" s="93">
        <v>0.0604565</v>
      </c>
      <c r="G1127" s="93">
        <v>207.68</v>
      </c>
      <c r="H1127" s="93">
        <v>12.55</v>
      </c>
      <c r="I1127" s="93">
        <v>0.120913</v>
      </c>
    </row>
    <row r="1128" spans="1:9">
      <c r="A1128" s="90"/>
      <c r="B1128" s="91" t="s">
        <v>1272</v>
      </c>
      <c r="C1128" s="91" t="s">
        <v>1271</v>
      </c>
      <c r="D1128" s="92" t="s">
        <v>1273</v>
      </c>
      <c r="E1128" s="93" t="s">
        <v>463</v>
      </c>
      <c r="F1128" s="93">
        <v>18.34</v>
      </c>
      <c r="G1128" s="93">
        <v>0.65</v>
      </c>
      <c r="H1128" s="93">
        <v>11.92</v>
      </c>
      <c r="I1128" s="93">
        <v>36.68</v>
      </c>
    </row>
    <row r="1129" spans="1:9">
      <c r="A1129" s="90"/>
      <c r="B1129" s="91" t="s">
        <v>1693</v>
      </c>
      <c r="C1129" s="91" t="s">
        <v>1692</v>
      </c>
      <c r="D1129" s="92" t="s">
        <v>1694</v>
      </c>
      <c r="E1129" s="93" t="s">
        <v>1695</v>
      </c>
      <c r="F1129" s="93">
        <v>0.03206225</v>
      </c>
      <c r="G1129" s="93">
        <v>0.72</v>
      </c>
      <c r="H1129" s="93">
        <v>0.02</v>
      </c>
      <c r="I1129" s="93">
        <v>0.0641245</v>
      </c>
    </row>
    <row r="1130" ht="25.5" spans="1:9">
      <c r="A1130" s="90"/>
      <c r="B1130" s="91" t="s">
        <v>1111</v>
      </c>
      <c r="C1130" s="91" t="s">
        <v>1287</v>
      </c>
      <c r="D1130" s="92" t="s">
        <v>1288</v>
      </c>
      <c r="E1130" s="93" t="s">
        <v>839</v>
      </c>
      <c r="F1130" s="93">
        <v>0.023789</v>
      </c>
      <c r="G1130" s="93">
        <v>0.89</v>
      </c>
      <c r="H1130" s="93">
        <v>0.02</v>
      </c>
      <c r="I1130" s="93">
        <v>0.047578</v>
      </c>
    </row>
    <row r="1131" ht="25.5" spans="1:9">
      <c r="A1131" s="90"/>
      <c r="B1131" s="91" t="s">
        <v>1111</v>
      </c>
      <c r="C1131" s="91" t="s">
        <v>1351</v>
      </c>
      <c r="D1131" s="92" t="s">
        <v>1352</v>
      </c>
      <c r="E1131" s="93" t="s">
        <v>839</v>
      </c>
      <c r="F1131" s="93">
        <v>0.774167</v>
      </c>
      <c r="G1131" s="93">
        <v>1.31</v>
      </c>
      <c r="H1131" s="93">
        <v>1.01</v>
      </c>
      <c r="I1131" s="93">
        <v>1.548334</v>
      </c>
    </row>
    <row r="1132" ht="25.5" spans="1:9">
      <c r="A1132" s="90"/>
      <c r="B1132" s="91" t="s">
        <v>1111</v>
      </c>
      <c r="C1132" s="91" t="s">
        <v>1110</v>
      </c>
      <c r="D1132" s="92" t="s">
        <v>1112</v>
      </c>
      <c r="E1132" s="93" t="s">
        <v>839</v>
      </c>
      <c r="F1132" s="93">
        <v>0.89399391</v>
      </c>
      <c r="G1132" s="93">
        <v>1.39</v>
      </c>
      <c r="H1132" s="93">
        <v>1.24</v>
      </c>
      <c r="I1132" s="93">
        <v>1.78798782</v>
      </c>
    </row>
    <row r="1133" ht="25.5" spans="1:9">
      <c r="A1133" s="90"/>
      <c r="B1133" s="91" t="s">
        <v>1490</v>
      </c>
      <c r="C1133" s="91" t="s">
        <v>1489</v>
      </c>
      <c r="D1133" s="92" t="s">
        <v>1491</v>
      </c>
      <c r="E1133" s="93" t="s">
        <v>494</v>
      </c>
      <c r="F1133" s="93">
        <v>2.5109</v>
      </c>
      <c r="G1133" s="93">
        <v>0.22</v>
      </c>
      <c r="H1133" s="93">
        <v>0.55</v>
      </c>
      <c r="I1133" s="93">
        <v>5.0218</v>
      </c>
    </row>
    <row r="1134" spans="1:9">
      <c r="A1134" s="90"/>
      <c r="B1134" s="91" t="s">
        <v>1007</v>
      </c>
      <c r="C1134" s="91" t="s">
        <v>1050</v>
      </c>
      <c r="D1134" s="92" t="s">
        <v>1051</v>
      </c>
      <c r="E1134" s="93" t="s">
        <v>839</v>
      </c>
      <c r="F1134" s="93">
        <v>1.69194991</v>
      </c>
      <c r="G1134" s="93">
        <v>1.43</v>
      </c>
      <c r="H1134" s="93">
        <v>2.41</v>
      </c>
      <c r="I1134" s="93">
        <v>3.38389982</v>
      </c>
    </row>
    <row r="1135" ht="25.5" spans="1:9">
      <c r="A1135" s="90"/>
      <c r="B1135" s="91" t="s">
        <v>1111</v>
      </c>
      <c r="C1135" s="91" t="s">
        <v>1707</v>
      </c>
      <c r="D1135" s="92" t="s">
        <v>1708</v>
      </c>
      <c r="E1135" s="93" t="s">
        <v>839</v>
      </c>
      <c r="F1135" s="93">
        <v>0.023789</v>
      </c>
      <c r="G1135" s="93">
        <v>0.01</v>
      </c>
      <c r="H1135" s="93">
        <v>0</v>
      </c>
      <c r="I1135" s="93">
        <v>0.047578</v>
      </c>
    </row>
    <row r="1136" ht="25.5" spans="1:9">
      <c r="A1136" s="90"/>
      <c r="B1136" s="91" t="s">
        <v>1111</v>
      </c>
      <c r="C1136" s="91" t="s">
        <v>1427</v>
      </c>
      <c r="D1136" s="92" t="s">
        <v>1428</v>
      </c>
      <c r="E1136" s="93" t="s">
        <v>839</v>
      </c>
      <c r="F1136" s="93">
        <v>0.774167</v>
      </c>
      <c r="G1136" s="93">
        <v>0.78</v>
      </c>
      <c r="H1136" s="93">
        <v>0.6</v>
      </c>
      <c r="I1136" s="93">
        <v>1.548334</v>
      </c>
    </row>
    <row r="1137" ht="25.5" spans="1:9">
      <c r="A1137" s="90"/>
      <c r="B1137" s="91" t="s">
        <v>1111</v>
      </c>
      <c r="C1137" s="91" t="s">
        <v>1195</v>
      </c>
      <c r="D1137" s="92" t="s">
        <v>1196</v>
      </c>
      <c r="E1137" s="93" t="s">
        <v>839</v>
      </c>
      <c r="F1137" s="93">
        <v>0.89399391</v>
      </c>
      <c r="G1137" s="93">
        <v>0.61</v>
      </c>
      <c r="H1137" s="93">
        <v>0.54</v>
      </c>
      <c r="I1137" s="93">
        <v>1.78798782</v>
      </c>
    </row>
    <row r="1138" spans="1:9">
      <c r="A1138" s="90"/>
      <c r="B1138" s="91" t="s">
        <v>985</v>
      </c>
      <c r="C1138" s="91" t="s">
        <v>1227</v>
      </c>
      <c r="D1138" s="92" t="s">
        <v>1228</v>
      </c>
      <c r="E1138" s="93" t="s">
        <v>215</v>
      </c>
      <c r="F1138" s="93">
        <v>0.00106704</v>
      </c>
      <c r="G1138" s="93">
        <v>5.96</v>
      </c>
      <c r="H1138" s="93">
        <v>0</v>
      </c>
      <c r="I1138" s="93">
        <v>0.00213408</v>
      </c>
    </row>
    <row r="1139" spans="1:9">
      <c r="A1139" s="90"/>
      <c r="B1139" s="91" t="s">
        <v>1393</v>
      </c>
      <c r="C1139" s="91" t="s">
        <v>1392</v>
      </c>
      <c r="D1139" s="92" t="s">
        <v>1394</v>
      </c>
      <c r="E1139" s="93" t="s">
        <v>476</v>
      </c>
      <c r="F1139" s="93">
        <v>0.0136895</v>
      </c>
      <c r="G1139" s="93">
        <v>197.39</v>
      </c>
      <c r="H1139" s="93">
        <v>2.7</v>
      </c>
      <c r="I1139" s="93">
        <v>0.027379</v>
      </c>
    </row>
    <row r="1140" spans="1:9">
      <c r="A1140" s="90"/>
      <c r="B1140" s="91" t="s">
        <v>1040</v>
      </c>
      <c r="C1140" s="91" t="s">
        <v>1039</v>
      </c>
      <c r="D1140" s="92" t="s">
        <v>1041</v>
      </c>
      <c r="E1140" s="93" t="s">
        <v>476</v>
      </c>
      <c r="F1140" s="93">
        <v>0.0493485</v>
      </c>
      <c r="G1140" s="93">
        <v>198.43</v>
      </c>
      <c r="H1140" s="93">
        <v>9.79</v>
      </c>
      <c r="I1140" s="93">
        <v>0.098697</v>
      </c>
    </row>
    <row r="1141" ht="25.5" spans="1:9">
      <c r="A1141" s="90"/>
      <c r="B1141" s="91" t="s">
        <v>1634</v>
      </c>
      <c r="C1141" s="91" t="s">
        <v>1633</v>
      </c>
      <c r="D1141" s="92" t="s">
        <v>1635</v>
      </c>
      <c r="E1141" s="93" t="s">
        <v>494</v>
      </c>
      <c r="F1141" s="93">
        <v>1.68728e-6</v>
      </c>
      <c r="G1141" s="93">
        <v>3390.99</v>
      </c>
      <c r="H1141" s="93">
        <v>0</v>
      </c>
      <c r="I1141" s="93">
        <v>3.37456e-6</v>
      </c>
    </row>
    <row r="1142" ht="25.5" spans="1:9">
      <c r="A1142" s="85" t="s">
        <v>2348</v>
      </c>
      <c r="B1142" s="85" t="s">
        <v>495</v>
      </c>
      <c r="C1142" s="85" t="s">
        <v>2349</v>
      </c>
      <c r="D1142" s="87" t="s">
        <v>496</v>
      </c>
      <c r="E1142" s="89" t="s">
        <v>466</v>
      </c>
      <c r="F1142" s="89">
        <v>413.6</v>
      </c>
      <c r="G1142" s="89">
        <v>223.57</v>
      </c>
      <c r="H1142" s="89">
        <v>92468.55</v>
      </c>
      <c r="I1142" s="89">
        <v>413.6</v>
      </c>
    </row>
    <row r="1143" ht="38.25" spans="1:9">
      <c r="A1143" s="90"/>
      <c r="B1143" s="91" t="s">
        <v>1718</v>
      </c>
      <c r="C1143" s="91" t="s">
        <v>1717</v>
      </c>
      <c r="D1143" s="92" t="s">
        <v>1719</v>
      </c>
      <c r="E1143" s="93" t="s">
        <v>494</v>
      </c>
      <c r="F1143" s="93">
        <v>1</v>
      </c>
      <c r="G1143" s="93">
        <v>12782.95</v>
      </c>
      <c r="H1143" s="93">
        <v>0.079212106265</v>
      </c>
      <c r="I1143" s="93">
        <v>413.6</v>
      </c>
    </row>
    <row r="1144" ht="51" spans="1:9">
      <c r="A1144" s="90"/>
      <c r="B1144" s="91" t="s">
        <v>1779</v>
      </c>
      <c r="C1144" s="91" t="s">
        <v>1778</v>
      </c>
      <c r="D1144" s="92" t="s">
        <v>1780</v>
      </c>
      <c r="E1144" s="93" t="s">
        <v>494</v>
      </c>
      <c r="F1144" s="93">
        <v>1</v>
      </c>
      <c r="G1144" s="93">
        <v>10731.19</v>
      </c>
      <c r="H1144" s="93">
        <v>0.0067881215464</v>
      </c>
      <c r="I1144" s="93">
        <v>413.6</v>
      </c>
    </row>
    <row r="1145" spans="1:9">
      <c r="A1145" s="90"/>
      <c r="B1145" s="91" t="s">
        <v>1007</v>
      </c>
      <c r="C1145" s="91" t="s">
        <v>1048</v>
      </c>
      <c r="D1145" s="92" t="s">
        <v>1049</v>
      </c>
      <c r="E1145" s="93" t="s">
        <v>839</v>
      </c>
      <c r="F1145" s="93">
        <v>1</v>
      </c>
      <c r="G1145" s="93">
        <v>1.5</v>
      </c>
      <c r="H1145" s="93">
        <v>1.59783</v>
      </c>
      <c r="I1145" s="93">
        <v>413.6</v>
      </c>
    </row>
    <row r="1146" spans="1:9">
      <c r="A1146" s="90"/>
      <c r="B1146" s="91" t="s">
        <v>1020</v>
      </c>
      <c r="C1146" s="91" t="s">
        <v>1432</v>
      </c>
      <c r="D1146" s="92" t="s">
        <v>1433</v>
      </c>
      <c r="E1146" s="93" t="s">
        <v>839</v>
      </c>
      <c r="F1146" s="93">
        <v>0.0251671152</v>
      </c>
      <c r="G1146" s="93">
        <v>15.35</v>
      </c>
      <c r="H1146" s="93">
        <v>0.38631521832</v>
      </c>
      <c r="I1146" s="93">
        <v>10.40911884672</v>
      </c>
    </row>
    <row r="1147" spans="1:9">
      <c r="A1147" s="90"/>
      <c r="B1147" s="91" t="s">
        <v>1007</v>
      </c>
      <c r="C1147" s="91" t="s">
        <v>1006</v>
      </c>
      <c r="D1147" s="92" t="s">
        <v>1008</v>
      </c>
      <c r="E1147" s="93" t="s">
        <v>839</v>
      </c>
      <c r="F1147" s="93">
        <v>1.06522</v>
      </c>
      <c r="G1147" s="93">
        <v>3.95</v>
      </c>
      <c r="H1147" s="93">
        <v>4.207619</v>
      </c>
      <c r="I1147" s="93">
        <v>440.574992</v>
      </c>
    </row>
    <row r="1148" spans="1:9">
      <c r="A1148" s="90"/>
      <c r="B1148" s="91" t="s">
        <v>1150</v>
      </c>
      <c r="C1148" s="91" t="s">
        <v>1149</v>
      </c>
      <c r="D1148" s="92" t="s">
        <v>1151</v>
      </c>
      <c r="E1148" s="93" t="s">
        <v>839</v>
      </c>
      <c r="F1148" s="93">
        <v>0.0755013456</v>
      </c>
      <c r="G1148" s="93">
        <v>21.83</v>
      </c>
      <c r="H1148" s="93">
        <v>1.648194374448</v>
      </c>
      <c r="I1148" s="93">
        <v>31.22735654016</v>
      </c>
    </row>
    <row r="1149" spans="1:9">
      <c r="A1149" s="90"/>
      <c r="B1149" s="91" t="s">
        <v>1020</v>
      </c>
      <c r="C1149" s="91" t="s">
        <v>1094</v>
      </c>
      <c r="D1149" s="92" t="s">
        <v>1095</v>
      </c>
      <c r="E1149" s="93" t="s">
        <v>839</v>
      </c>
      <c r="F1149" s="93">
        <v>0.146531344</v>
      </c>
      <c r="G1149" s="93">
        <v>15.35</v>
      </c>
      <c r="H1149" s="93">
        <v>2.2492561304</v>
      </c>
      <c r="I1149" s="93">
        <v>60.6053638784</v>
      </c>
    </row>
    <row r="1150" spans="1:9">
      <c r="A1150" s="90"/>
      <c r="B1150" s="91" t="s">
        <v>993</v>
      </c>
      <c r="C1150" s="91" t="s">
        <v>992</v>
      </c>
      <c r="D1150" s="92" t="s">
        <v>994</v>
      </c>
      <c r="E1150" s="93" t="s">
        <v>839</v>
      </c>
      <c r="F1150" s="93">
        <v>0.238419978</v>
      </c>
      <c r="G1150" s="93">
        <v>21.83</v>
      </c>
      <c r="H1150" s="93">
        <v>5.20470811974</v>
      </c>
      <c r="I1150" s="93">
        <v>98.6105029008</v>
      </c>
    </row>
    <row r="1151" spans="1:9">
      <c r="A1151" s="90"/>
      <c r="B1151" s="91" t="s">
        <v>1090</v>
      </c>
      <c r="C1151" s="91" t="s">
        <v>1089</v>
      </c>
      <c r="D1151" s="92" t="s">
        <v>1091</v>
      </c>
      <c r="E1151" s="93" t="s">
        <v>839</v>
      </c>
      <c r="F1151" s="93">
        <v>0.37432086</v>
      </c>
      <c r="G1151" s="93">
        <v>21.83</v>
      </c>
      <c r="H1151" s="93">
        <v>8.1714243738</v>
      </c>
      <c r="I1151" s="93">
        <v>154.819107696</v>
      </c>
    </row>
    <row r="1152" spans="1:9">
      <c r="A1152" s="90"/>
      <c r="B1152" s="91" t="s">
        <v>1007</v>
      </c>
      <c r="C1152" s="91" t="s">
        <v>1378</v>
      </c>
      <c r="D1152" s="92" t="s">
        <v>1379</v>
      </c>
      <c r="E1152" s="93" t="s">
        <v>839</v>
      </c>
      <c r="F1152" s="93">
        <v>1.06522</v>
      </c>
      <c r="G1152" s="93">
        <v>0.08</v>
      </c>
      <c r="H1152" s="93">
        <v>0.0852176</v>
      </c>
      <c r="I1152" s="93">
        <v>440.574992</v>
      </c>
    </row>
    <row r="1153" spans="1:9">
      <c r="A1153" s="90"/>
      <c r="B1153" s="91" t="s">
        <v>1020</v>
      </c>
      <c r="C1153" s="91" t="s">
        <v>1019</v>
      </c>
      <c r="D1153" s="92" t="s">
        <v>1021</v>
      </c>
      <c r="E1153" s="93" t="s">
        <v>839</v>
      </c>
      <c r="F1153" s="93">
        <v>0.22369386</v>
      </c>
      <c r="G1153" s="93">
        <v>14.49</v>
      </c>
      <c r="H1153" s="93">
        <v>3.2413240314</v>
      </c>
      <c r="I1153" s="93">
        <v>92.519780496</v>
      </c>
    </row>
    <row r="1154" ht="25.5" spans="1:9">
      <c r="A1154" s="90"/>
      <c r="B1154" s="91" t="s">
        <v>1103</v>
      </c>
      <c r="C1154" s="91" t="s">
        <v>1823</v>
      </c>
      <c r="D1154" s="92" t="s">
        <v>1824</v>
      </c>
      <c r="E1154" s="93" t="s">
        <v>494</v>
      </c>
      <c r="F1154" s="93">
        <v>1.0976e-6</v>
      </c>
      <c r="G1154" s="93">
        <v>8337.53</v>
      </c>
      <c r="H1154" s="93">
        <v>0.009151272928</v>
      </c>
      <c r="I1154" s="93">
        <v>0.00045396736</v>
      </c>
    </row>
    <row r="1155" ht="25.5" spans="1:9">
      <c r="A1155" s="90"/>
      <c r="B1155" s="91" t="s">
        <v>1123</v>
      </c>
      <c r="C1155" s="91" t="s">
        <v>1361</v>
      </c>
      <c r="D1155" s="92" t="s">
        <v>1362</v>
      </c>
      <c r="E1155" s="93" t="s">
        <v>463</v>
      </c>
      <c r="F1155" s="93">
        <v>0.03421</v>
      </c>
      <c r="G1155" s="93">
        <v>19.38</v>
      </c>
      <c r="H1155" s="93">
        <v>0.6629898</v>
      </c>
      <c r="I1155" s="93">
        <v>14.149256</v>
      </c>
    </row>
    <row r="1156" ht="38.25" spans="1:9">
      <c r="A1156" s="90"/>
      <c r="B1156" s="91" t="s">
        <v>1063</v>
      </c>
      <c r="C1156" s="91" t="s">
        <v>1062</v>
      </c>
      <c r="D1156" s="92" t="s">
        <v>1064</v>
      </c>
      <c r="E1156" s="93" t="s">
        <v>476</v>
      </c>
      <c r="F1156" s="93">
        <v>0.159</v>
      </c>
      <c r="G1156" s="93">
        <v>539.62</v>
      </c>
      <c r="H1156" s="93">
        <v>85.79958</v>
      </c>
      <c r="I1156" s="93">
        <v>65.7624</v>
      </c>
    </row>
    <row r="1157" ht="25.5" spans="1:9">
      <c r="A1157" s="90"/>
      <c r="B1157" s="91" t="s">
        <v>1586</v>
      </c>
      <c r="C1157" s="91" t="s">
        <v>1585</v>
      </c>
      <c r="D1157" s="92" t="s">
        <v>1587</v>
      </c>
      <c r="E1157" s="93" t="s">
        <v>215</v>
      </c>
      <c r="F1157" s="93">
        <v>0.0017</v>
      </c>
      <c r="G1157" s="93">
        <v>7.16</v>
      </c>
      <c r="H1157" s="93">
        <v>0.012172</v>
      </c>
      <c r="I1157" s="93">
        <v>0.70312</v>
      </c>
    </row>
    <row r="1158" spans="1:9">
      <c r="A1158" s="90"/>
      <c r="B1158" s="91" t="s">
        <v>1123</v>
      </c>
      <c r="C1158" s="91" t="s">
        <v>1122</v>
      </c>
      <c r="D1158" s="92" t="s">
        <v>1124</v>
      </c>
      <c r="E1158" s="93" t="s">
        <v>463</v>
      </c>
      <c r="F1158" s="93">
        <v>4</v>
      </c>
      <c r="G1158" s="93">
        <v>9.17</v>
      </c>
      <c r="H1158" s="93">
        <v>36.68</v>
      </c>
      <c r="I1158" s="93">
        <v>1654.4</v>
      </c>
    </row>
    <row r="1159" spans="1:9">
      <c r="A1159" s="90"/>
      <c r="B1159" s="91" t="s">
        <v>1693</v>
      </c>
      <c r="C1159" s="91" t="s">
        <v>1692</v>
      </c>
      <c r="D1159" s="92" t="s">
        <v>1694</v>
      </c>
      <c r="E1159" s="93" t="s">
        <v>1695</v>
      </c>
      <c r="F1159" s="93">
        <v>0.004134</v>
      </c>
      <c r="G1159" s="93">
        <v>0.72</v>
      </c>
      <c r="H1159" s="93">
        <v>0.00297648</v>
      </c>
      <c r="I1159" s="93">
        <v>1.7098224</v>
      </c>
    </row>
    <row r="1160" ht="25.5" spans="1:9">
      <c r="A1160" s="90"/>
      <c r="B1160" s="91" t="s">
        <v>1111</v>
      </c>
      <c r="C1160" s="91" t="s">
        <v>1174</v>
      </c>
      <c r="D1160" s="92" t="s">
        <v>1175</v>
      </c>
      <c r="E1160" s="93" t="s">
        <v>839</v>
      </c>
      <c r="F1160" s="93">
        <v>0.3801</v>
      </c>
      <c r="G1160" s="93">
        <v>1.43</v>
      </c>
      <c r="H1160" s="93">
        <v>0.543543</v>
      </c>
      <c r="I1160" s="93">
        <v>157.20936</v>
      </c>
    </row>
    <row r="1161" ht="25.5" spans="1:9">
      <c r="A1161" s="90"/>
      <c r="B1161" s="91" t="s">
        <v>1111</v>
      </c>
      <c r="C1161" s="91" t="s">
        <v>1351</v>
      </c>
      <c r="D1161" s="92" t="s">
        <v>1352</v>
      </c>
      <c r="E1161" s="93" t="s">
        <v>839</v>
      </c>
      <c r="F1161" s="93">
        <v>0.46607</v>
      </c>
      <c r="G1161" s="93">
        <v>1.31</v>
      </c>
      <c r="H1161" s="93">
        <v>0.6105517</v>
      </c>
      <c r="I1161" s="93">
        <v>192.766552</v>
      </c>
    </row>
    <row r="1162" ht="25.5" spans="1:9">
      <c r="A1162" s="90"/>
      <c r="B1162" s="91" t="s">
        <v>1111</v>
      </c>
      <c r="C1162" s="91" t="s">
        <v>1110</v>
      </c>
      <c r="D1162" s="92" t="s">
        <v>1112</v>
      </c>
      <c r="E1162" s="93" t="s">
        <v>839</v>
      </c>
      <c r="F1162" s="93">
        <v>0.21905</v>
      </c>
      <c r="G1162" s="93">
        <v>1.39</v>
      </c>
      <c r="H1162" s="93">
        <v>0.3044795</v>
      </c>
      <c r="I1162" s="93">
        <v>90.59908</v>
      </c>
    </row>
    <row r="1163" spans="1:9">
      <c r="A1163" s="90"/>
      <c r="B1163" s="91" t="s">
        <v>1007</v>
      </c>
      <c r="C1163" s="91" t="s">
        <v>1050</v>
      </c>
      <c r="D1163" s="92" t="s">
        <v>1051</v>
      </c>
      <c r="E1163" s="93" t="s">
        <v>839</v>
      </c>
      <c r="F1163" s="93">
        <v>1.06522</v>
      </c>
      <c r="G1163" s="93">
        <v>1.43</v>
      </c>
      <c r="H1163" s="93">
        <v>1.5232646</v>
      </c>
      <c r="I1163" s="93">
        <v>440.574992</v>
      </c>
    </row>
    <row r="1164" ht="25.5" spans="1:9">
      <c r="A1164" s="90"/>
      <c r="B1164" s="91" t="s">
        <v>1111</v>
      </c>
      <c r="C1164" s="91" t="s">
        <v>1310</v>
      </c>
      <c r="D1164" s="92" t="s">
        <v>1311</v>
      </c>
      <c r="E1164" s="93" t="s">
        <v>839</v>
      </c>
      <c r="F1164" s="93">
        <v>0.3801</v>
      </c>
      <c r="G1164" s="93">
        <v>0.44</v>
      </c>
      <c r="H1164" s="93">
        <v>0.167244</v>
      </c>
      <c r="I1164" s="93">
        <v>157.20936</v>
      </c>
    </row>
    <row r="1165" ht="25.5" spans="1:9">
      <c r="A1165" s="90"/>
      <c r="B1165" s="91" t="s">
        <v>1111</v>
      </c>
      <c r="C1165" s="91" t="s">
        <v>1427</v>
      </c>
      <c r="D1165" s="92" t="s">
        <v>1428</v>
      </c>
      <c r="E1165" s="93" t="s">
        <v>839</v>
      </c>
      <c r="F1165" s="93">
        <v>0.46607</v>
      </c>
      <c r="G1165" s="93">
        <v>0.78</v>
      </c>
      <c r="H1165" s="93">
        <v>0.3635346</v>
      </c>
      <c r="I1165" s="93">
        <v>192.766552</v>
      </c>
    </row>
    <row r="1166" ht="25.5" spans="1:9">
      <c r="A1166" s="90"/>
      <c r="B1166" s="91" t="s">
        <v>1111</v>
      </c>
      <c r="C1166" s="91" t="s">
        <v>1195</v>
      </c>
      <c r="D1166" s="92" t="s">
        <v>1196</v>
      </c>
      <c r="E1166" s="93" t="s">
        <v>839</v>
      </c>
      <c r="F1166" s="93">
        <v>0.21905</v>
      </c>
      <c r="G1166" s="93">
        <v>0.61</v>
      </c>
      <c r="H1166" s="93">
        <v>0.1336205</v>
      </c>
      <c r="I1166" s="93">
        <v>90.59908</v>
      </c>
    </row>
    <row r="1167" spans="1:9">
      <c r="A1167" s="90"/>
      <c r="B1167" s="91" t="s">
        <v>985</v>
      </c>
      <c r="C1167" s="91" t="s">
        <v>1227</v>
      </c>
      <c r="D1167" s="92" t="s">
        <v>1228</v>
      </c>
      <c r="E1167" s="93" t="s">
        <v>215</v>
      </c>
      <c r="F1167" s="93">
        <v>0.034188</v>
      </c>
      <c r="G1167" s="93">
        <v>5.96</v>
      </c>
      <c r="H1167" s="93">
        <v>0.20376048</v>
      </c>
      <c r="I1167" s="93">
        <v>14.1401568</v>
      </c>
    </row>
    <row r="1168" spans="1:9">
      <c r="A1168" s="90"/>
      <c r="B1168" s="91" t="s">
        <v>1334</v>
      </c>
      <c r="C1168" s="91" t="s">
        <v>1444</v>
      </c>
      <c r="D1168" s="92" t="s">
        <v>1445</v>
      </c>
      <c r="E1168" s="93" t="s">
        <v>466</v>
      </c>
      <c r="F1168" s="93">
        <v>1.04</v>
      </c>
      <c r="G1168" s="93">
        <v>2.76</v>
      </c>
      <c r="H1168" s="93">
        <v>2.8704</v>
      </c>
      <c r="I1168" s="93">
        <v>430.144</v>
      </c>
    </row>
    <row r="1169" spans="1:9">
      <c r="A1169" s="90"/>
      <c r="B1169" s="91" t="s">
        <v>1040</v>
      </c>
      <c r="C1169" s="91" t="s">
        <v>1039</v>
      </c>
      <c r="D1169" s="92" t="s">
        <v>1041</v>
      </c>
      <c r="E1169" s="93" t="s">
        <v>476</v>
      </c>
      <c r="F1169" s="93">
        <v>0.119</v>
      </c>
      <c r="G1169" s="93">
        <v>198.43</v>
      </c>
      <c r="H1169" s="93">
        <v>23.61317</v>
      </c>
      <c r="I1169" s="93">
        <v>49.2184</v>
      </c>
    </row>
    <row r="1170" spans="1:9">
      <c r="A1170" s="90"/>
      <c r="B1170" s="91" t="s">
        <v>1120</v>
      </c>
      <c r="C1170" s="91" t="s">
        <v>1119</v>
      </c>
      <c r="D1170" s="92" t="s">
        <v>1121</v>
      </c>
      <c r="E1170" s="93" t="s">
        <v>112</v>
      </c>
      <c r="F1170" s="93">
        <v>0.037</v>
      </c>
      <c r="G1170" s="93">
        <v>7.78</v>
      </c>
      <c r="H1170" s="93">
        <v>0.28786</v>
      </c>
      <c r="I1170" s="93">
        <v>15.3032</v>
      </c>
    </row>
    <row r="1171" spans="1:9">
      <c r="A1171" s="90"/>
      <c r="B1171" s="91" t="s">
        <v>1251</v>
      </c>
      <c r="C1171" s="91" t="s">
        <v>1596</v>
      </c>
      <c r="D1171" s="92" t="s">
        <v>1597</v>
      </c>
      <c r="E1171" s="93" t="s">
        <v>463</v>
      </c>
      <c r="F1171" s="93">
        <v>0.0095</v>
      </c>
      <c r="G1171" s="93">
        <v>18.72</v>
      </c>
      <c r="H1171" s="93">
        <v>0.17784</v>
      </c>
      <c r="I1171" s="93">
        <v>3.9292</v>
      </c>
    </row>
    <row r="1172" spans="1:9">
      <c r="A1172" s="90"/>
      <c r="B1172" s="91" t="s">
        <v>1602</v>
      </c>
      <c r="C1172" s="91" t="s">
        <v>1601</v>
      </c>
      <c r="D1172" s="92" t="s">
        <v>1603</v>
      </c>
      <c r="E1172" s="93" t="s">
        <v>112</v>
      </c>
      <c r="F1172" s="93">
        <v>0.044</v>
      </c>
      <c r="G1172" s="93">
        <v>2.72</v>
      </c>
      <c r="H1172" s="93">
        <v>0.11968</v>
      </c>
      <c r="I1172" s="93">
        <v>18.1984</v>
      </c>
    </row>
    <row r="1173" ht="25.5" spans="1:9">
      <c r="A1173" s="90"/>
      <c r="B1173" s="91" t="s">
        <v>1193</v>
      </c>
      <c r="C1173" s="91" t="s">
        <v>1466</v>
      </c>
      <c r="D1173" s="92" t="s">
        <v>1467</v>
      </c>
      <c r="E1173" s="93" t="s">
        <v>112</v>
      </c>
      <c r="F1173" s="93">
        <v>0.138</v>
      </c>
      <c r="G1173" s="93">
        <v>18.37</v>
      </c>
      <c r="H1173" s="93">
        <v>2.53506</v>
      </c>
      <c r="I1173" s="93">
        <v>57.0768</v>
      </c>
    </row>
    <row r="1174" ht="25.5" spans="1:9">
      <c r="A1174" s="90"/>
      <c r="B1174" s="91" t="s">
        <v>1130</v>
      </c>
      <c r="C1174" s="91" t="s">
        <v>1129</v>
      </c>
      <c r="D1174" s="92" t="s">
        <v>1131</v>
      </c>
      <c r="E1174" s="93" t="s">
        <v>466</v>
      </c>
      <c r="F1174" s="93">
        <v>1.21912</v>
      </c>
      <c r="G1174" s="93">
        <v>27.68</v>
      </c>
      <c r="H1174" s="93">
        <v>33.7452416</v>
      </c>
      <c r="I1174" s="93">
        <v>504.228032</v>
      </c>
    </row>
    <row r="1175" ht="25.5" spans="1:9">
      <c r="A1175" s="90"/>
      <c r="B1175" s="91" t="s">
        <v>1334</v>
      </c>
      <c r="C1175" s="91" t="s">
        <v>1333</v>
      </c>
      <c r="D1175" s="92" t="s">
        <v>1335</v>
      </c>
      <c r="E1175" s="93" t="s">
        <v>112</v>
      </c>
      <c r="F1175" s="93">
        <v>1.00142</v>
      </c>
      <c r="G1175" s="93">
        <v>6.31</v>
      </c>
      <c r="H1175" s="93">
        <v>6.3189602</v>
      </c>
      <c r="I1175" s="93">
        <v>414.187312</v>
      </c>
    </row>
    <row r="1176" ht="25.5" spans="1:9">
      <c r="A1176" s="90"/>
      <c r="B1176" s="91" t="s">
        <v>1634</v>
      </c>
      <c r="C1176" s="91" t="s">
        <v>1633</v>
      </c>
      <c r="D1176" s="92" t="s">
        <v>1635</v>
      </c>
      <c r="E1176" s="93" t="s">
        <v>494</v>
      </c>
      <c r="F1176" s="93">
        <v>3.20628e-6</v>
      </c>
      <c r="G1176" s="93">
        <v>3390.99</v>
      </c>
      <c r="H1176" s="93">
        <v>0.0108724634172</v>
      </c>
      <c r="I1176" s="93">
        <v>0.001326117408</v>
      </c>
    </row>
    <row r="1177" ht="38.25" spans="1:9">
      <c r="A1177" s="85" t="s">
        <v>2350</v>
      </c>
      <c r="B1177" s="85" t="s">
        <v>2351</v>
      </c>
      <c r="C1177" s="85" t="s">
        <v>2352</v>
      </c>
      <c r="D1177" s="87" t="s">
        <v>850</v>
      </c>
      <c r="E1177" s="89" t="s">
        <v>466</v>
      </c>
      <c r="F1177" s="89">
        <v>330</v>
      </c>
      <c r="G1177" s="89">
        <v>149.67</v>
      </c>
      <c r="H1177" s="89">
        <v>49391.1</v>
      </c>
      <c r="I1177" s="89">
        <v>330</v>
      </c>
    </row>
    <row r="1178" spans="1:9">
      <c r="A1178" s="90"/>
      <c r="B1178" s="91" t="s">
        <v>1007</v>
      </c>
      <c r="C1178" s="91" t="s">
        <v>1048</v>
      </c>
      <c r="D1178" s="92" t="s">
        <v>1049</v>
      </c>
      <c r="E1178" s="93" t="s">
        <v>839</v>
      </c>
      <c r="F1178" s="93">
        <v>1</v>
      </c>
      <c r="G1178" s="93">
        <v>1.5</v>
      </c>
      <c r="H1178" s="93">
        <v>4.05</v>
      </c>
      <c r="I1178" s="93">
        <v>330</v>
      </c>
    </row>
    <row r="1179" spans="1:9">
      <c r="A1179" s="90"/>
      <c r="B1179" s="91" t="s">
        <v>1007</v>
      </c>
      <c r="C1179" s="91" t="s">
        <v>1006</v>
      </c>
      <c r="D1179" s="92" t="s">
        <v>1008</v>
      </c>
      <c r="E1179" s="93" t="s">
        <v>839</v>
      </c>
      <c r="F1179" s="93">
        <v>2.7</v>
      </c>
      <c r="G1179" s="93">
        <v>3.95</v>
      </c>
      <c r="H1179" s="93">
        <v>10.665</v>
      </c>
      <c r="I1179" s="93">
        <v>891</v>
      </c>
    </row>
    <row r="1180" spans="1:9">
      <c r="A1180" s="90"/>
      <c r="B1180" s="91" t="s">
        <v>1020</v>
      </c>
      <c r="C1180" s="91" t="s">
        <v>1094</v>
      </c>
      <c r="D1180" s="92" t="s">
        <v>1095</v>
      </c>
      <c r="E1180" s="93" t="s">
        <v>839</v>
      </c>
      <c r="F1180" s="93">
        <v>1.369926</v>
      </c>
      <c r="G1180" s="93">
        <v>15.35</v>
      </c>
      <c r="H1180" s="93">
        <v>21.0283641</v>
      </c>
      <c r="I1180" s="93">
        <v>452.07558</v>
      </c>
    </row>
    <row r="1181" spans="1:9">
      <c r="A1181" s="90"/>
      <c r="B1181" s="91" t="s">
        <v>993</v>
      </c>
      <c r="C1181" s="91" t="s">
        <v>992</v>
      </c>
      <c r="D1181" s="92" t="s">
        <v>994</v>
      </c>
      <c r="E1181" s="93" t="s">
        <v>839</v>
      </c>
      <c r="F1181" s="93">
        <v>1.365579</v>
      </c>
      <c r="G1181" s="93">
        <v>21.83</v>
      </c>
      <c r="H1181" s="93">
        <v>29.81058957</v>
      </c>
      <c r="I1181" s="93">
        <v>450.64107</v>
      </c>
    </row>
    <row r="1182" spans="1:9">
      <c r="A1182" s="90"/>
      <c r="B1182" s="91" t="s">
        <v>1007</v>
      </c>
      <c r="C1182" s="91" t="s">
        <v>1378</v>
      </c>
      <c r="D1182" s="92" t="s">
        <v>1379</v>
      </c>
      <c r="E1182" s="93" t="s">
        <v>839</v>
      </c>
      <c r="F1182" s="93">
        <v>2.7</v>
      </c>
      <c r="G1182" s="93">
        <v>0.08</v>
      </c>
      <c r="H1182" s="93">
        <v>0.216</v>
      </c>
      <c r="I1182" s="93">
        <v>891</v>
      </c>
    </row>
    <row r="1183" ht="25.5" spans="1:9">
      <c r="A1183" s="90"/>
      <c r="B1183" s="91" t="s">
        <v>1385</v>
      </c>
      <c r="C1183" s="91" t="s">
        <v>1384</v>
      </c>
      <c r="D1183" s="92" t="s">
        <v>1386</v>
      </c>
      <c r="E1183" s="93" t="s">
        <v>466</v>
      </c>
      <c r="F1183" s="93">
        <v>0.26446281</v>
      </c>
      <c r="G1183" s="93">
        <v>23.97</v>
      </c>
      <c r="H1183" s="93">
        <v>6.33</v>
      </c>
      <c r="I1183" s="93">
        <v>87.2727273</v>
      </c>
    </row>
    <row r="1184" ht="25.5" spans="1:9">
      <c r="A1184" s="90"/>
      <c r="B1184" s="91" t="s">
        <v>1586</v>
      </c>
      <c r="C1184" s="91" t="s">
        <v>1585</v>
      </c>
      <c r="D1184" s="92" t="s">
        <v>1587</v>
      </c>
      <c r="E1184" s="93" t="s">
        <v>215</v>
      </c>
      <c r="F1184" s="93">
        <v>0.1</v>
      </c>
      <c r="G1184" s="93">
        <v>7.16</v>
      </c>
      <c r="H1184" s="93">
        <v>0.71</v>
      </c>
      <c r="I1184" s="93">
        <v>33</v>
      </c>
    </row>
    <row r="1185" ht="25.5" spans="1:9">
      <c r="A1185" s="90"/>
      <c r="B1185" s="91" t="s">
        <v>1111</v>
      </c>
      <c r="C1185" s="91" t="s">
        <v>1174</v>
      </c>
      <c r="D1185" s="92" t="s">
        <v>1175</v>
      </c>
      <c r="E1185" s="93" t="s">
        <v>839</v>
      </c>
      <c r="F1185" s="93">
        <v>2.7</v>
      </c>
      <c r="G1185" s="93">
        <v>1.43</v>
      </c>
      <c r="H1185" s="93">
        <v>3.861</v>
      </c>
      <c r="I1185" s="93">
        <v>891</v>
      </c>
    </row>
    <row r="1186" spans="1:9">
      <c r="A1186" s="90"/>
      <c r="B1186" s="91" t="s">
        <v>1007</v>
      </c>
      <c r="C1186" s="91" t="s">
        <v>1050</v>
      </c>
      <c r="D1186" s="92" t="s">
        <v>1051</v>
      </c>
      <c r="E1186" s="93" t="s">
        <v>839</v>
      </c>
      <c r="F1186" s="93">
        <v>2.7</v>
      </c>
      <c r="G1186" s="93">
        <v>1.43</v>
      </c>
      <c r="H1186" s="93">
        <v>3.861</v>
      </c>
      <c r="I1186" s="93">
        <v>891</v>
      </c>
    </row>
    <row r="1187" ht="25.5" spans="1:9">
      <c r="A1187" s="90"/>
      <c r="B1187" s="91" t="s">
        <v>1111</v>
      </c>
      <c r="C1187" s="91" t="s">
        <v>1310</v>
      </c>
      <c r="D1187" s="92" t="s">
        <v>1311</v>
      </c>
      <c r="E1187" s="93" t="s">
        <v>839</v>
      </c>
      <c r="F1187" s="93">
        <v>2.7</v>
      </c>
      <c r="G1187" s="93">
        <v>0.44</v>
      </c>
      <c r="H1187" s="93">
        <v>1.188</v>
      </c>
      <c r="I1187" s="93">
        <v>891</v>
      </c>
    </row>
    <row r="1188" spans="1:9">
      <c r="A1188" s="90"/>
      <c r="B1188" s="91" t="s">
        <v>1120</v>
      </c>
      <c r="C1188" s="91" t="s">
        <v>1119</v>
      </c>
      <c r="D1188" s="92" t="s">
        <v>1121</v>
      </c>
      <c r="E1188" s="93" t="s">
        <v>112</v>
      </c>
      <c r="F1188" s="93">
        <v>3</v>
      </c>
      <c r="G1188" s="93">
        <v>7.78</v>
      </c>
      <c r="H1188" s="93">
        <v>23.34</v>
      </c>
      <c r="I1188" s="93">
        <v>990</v>
      </c>
    </row>
    <row r="1189" spans="1:9">
      <c r="A1189" s="90"/>
      <c r="B1189" s="91" t="s">
        <v>1251</v>
      </c>
      <c r="C1189" s="91" t="s">
        <v>1250</v>
      </c>
      <c r="D1189" s="92" t="s">
        <v>1252</v>
      </c>
      <c r="E1189" s="93" t="s">
        <v>463</v>
      </c>
      <c r="F1189" s="93">
        <v>0.25</v>
      </c>
      <c r="G1189" s="93">
        <v>18.4</v>
      </c>
      <c r="H1189" s="93">
        <v>4.6</v>
      </c>
      <c r="I1189" s="93">
        <v>82.5</v>
      </c>
    </row>
    <row r="1190" spans="1:9">
      <c r="A1190" s="90"/>
      <c r="B1190" s="91" t="s">
        <v>1283</v>
      </c>
      <c r="C1190" s="91" t="s">
        <v>1282</v>
      </c>
      <c r="D1190" s="92" t="s">
        <v>1284</v>
      </c>
      <c r="E1190" s="93" t="s">
        <v>112</v>
      </c>
      <c r="F1190" s="93">
        <v>2.3</v>
      </c>
      <c r="G1190" s="93">
        <v>3.94</v>
      </c>
      <c r="H1190" s="93">
        <v>9.06</v>
      </c>
      <c r="I1190" s="93">
        <v>759</v>
      </c>
    </row>
    <row r="1191" spans="1:9">
      <c r="A1191" s="90"/>
      <c r="B1191" s="91" t="s">
        <v>1163</v>
      </c>
      <c r="C1191" s="91" t="s">
        <v>1162</v>
      </c>
      <c r="D1191" s="92" t="s">
        <v>1164</v>
      </c>
      <c r="E1191" s="93" t="s">
        <v>112</v>
      </c>
      <c r="F1191" s="93">
        <v>2.4</v>
      </c>
      <c r="G1191" s="93">
        <v>12.9</v>
      </c>
      <c r="H1191" s="93">
        <v>30.96</v>
      </c>
      <c r="I1191" s="93">
        <v>792</v>
      </c>
    </row>
    <row r="1192" ht="38.25" spans="1:9">
      <c r="A1192" s="85" t="s">
        <v>2353</v>
      </c>
      <c r="B1192" s="85" t="s">
        <v>851</v>
      </c>
      <c r="C1192" s="85" t="s">
        <v>2354</v>
      </c>
      <c r="D1192" s="87" t="s">
        <v>852</v>
      </c>
      <c r="E1192" s="89" t="s">
        <v>476</v>
      </c>
      <c r="F1192" s="89">
        <v>58</v>
      </c>
      <c r="G1192" s="89">
        <v>46.08</v>
      </c>
      <c r="H1192" s="89">
        <v>2672.64</v>
      </c>
      <c r="I1192" s="89">
        <v>58</v>
      </c>
    </row>
    <row r="1193" spans="1:9">
      <c r="A1193" s="90"/>
      <c r="B1193" s="91" t="s">
        <v>1007</v>
      </c>
      <c r="C1193" s="91" t="s">
        <v>1048</v>
      </c>
      <c r="D1193" s="92" t="s">
        <v>1049</v>
      </c>
      <c r="E1193" s="93" t="s">
        <v>839</v>
      </c>
      <c r="F1193" s="93">
        <v>1</v>
      </c>
      <c r="G1193" s="93">
        <v>1.5</v>
      </c>
      <c r="H1193" s="93">
        <v>2.6895</v>
      </c>
      <c r="I1193" s="93">
        <v>58</v>
      </c>
    </row>
    <row r="1194" spans="1:9">
      <c r="A1194" s="90"/>
      <c r="B1194" s="91" t="s">
        <v>1007</v>
      </c>
      <c r="C1194" s="91" t="s">
        <v>1006</v>
      </c>
      <c r="D1194" s="92" t="s">
        <v>1008</v>
      </c>
      <c r="E1194" s="93" t="s">
        <v>839</v>
      </c>
      <c r="F1194" s="93">
        <v>1.793</v>
      </c>
      <c r="G1194" s="93">
        <v>3.95</v>
      </c>
      <c r="H1194" s="93">
        <v>7.08235</v>
      </c>
      <c r="I1194" s="93">
        <v>103.994</v>
      </c>
    </row>
    <row r="1195" spans="1:9">
      <c r="A1195" s="90"/>
      <c r="B1195" s="91" t="s">
        <v>993</v>
      </c>
      <c r="C1195" s="91" t="s">
        <v>992</v>
      </c>
      <c r="D1195" s="92" t="s">
        <v>994</v>
      </c>
      <c r="E1195" s="93" t="s">
        <v>839</v>
      </c>
      <c r="F1195" s="93">
        <v>0.22658496</v>
      </c>
      <c r="G1195" s="93">
        <v>21.83</v>
      </c>
      <c r="H1195" s="93">
        <v>4.9463496768</v>
      </c>
      <c r="I1195" s="93">
        <v>13.14192768</v>
      </c>
    </row>
    <row r="1196" spans="1:9">
      <c r="A1196" s="90"/>
      <c r="B1196" s="91" t="s">
        <v>1090</v>
      </c>
      <c r="C1196" s="91" t="s">
        <v>1089</v>
      </c>
      <c r="D1196" s="92" t="s">
        <v>1091</v>
      </c>
      <c r="E1196" s="93" t="s">
        <v>839</v>
      </c>
      <c r="F1196" s="93">
        <v>0.2287488</v>
      </c>
      <c r="G1196" s="93">
        <v>21.83</v>
      </c>
      <c r="H1196" s="93">
        <v>4.993586304</v>
      </c>
      <c r="I1196" s="93">
        <v>13.2674304</v>
      </c>
    </row>
    <row r="1197" spans="1:9">
      <c r="A1197" s="90"/>
      <c r="B1197" s="91" t="s">
        <v>1007</v>
      </c>
      <c r="C1197" s="91" t="s">
        <v>1378</v>
      </c>
      <c r="D1197" s="92" t="s">
        <v>1379</v>
      </c>
      <c r="E1197" s="93" t="s">
        <v>839</v>
      </c>
      <c r="F1197" s="93">
        <v>1.793</v>
      </c>
      <c r="G1197" s="93">
        <v>0.08</v>
      </c>
      <c r="H1197" s="93">
        <v>0.14344</v>
      </c>
      <c r="I1197" s="93">
        <v>103.994</v>
      </c>
    </row>
    <row r="1198" spans="1:9">
      <c r="A1198" s="90"/>
      <c r="B1198" s="91" t="s">
        <v>1020</v>
      </c>
      <c r="C1198" s="91" t="s">
        <v>1019</v>
      </c>
      <c r="D1198" s="92" t="s">
        <v>1021</v>
      </c>
      <c r="E1198" s="93" t="s">
        <v>839</v>
      </c>
      <c r="F1198" s="93">
        <v>1.373514</v>
      </c>
      <c r="G1198" s="93">
        <v>14.49</v>
      </c>
      <c r="H1198" s="93">
        <v>19.90221786</v>
      </c>
      <c r="I1198" s="93">
        <v>79.663812</v>
      </c>
    </row>
    <row r="1199" spans="1:9">
      <c r="A1199" s="90"/>
      <c r="B1199" s="91" t="s">
        <v>1693</v>
      </c>
      <c r="C1199" s="91" t="s">
        <v>1692</v>
      </c>
      <c r="D1199" s="92" t="s">
        <v>1694</v>
      </c>
      <c r="E1199" s="93" t="s">
        <v>1695</v>
      </c>
      <c r="F1199" s="93">
        <v>0.04888</v>
      </c>
      <c r="G1199" s="93">
        <v>0.72</v>
      </c>
      <c r="H1199" s="93">
        <v>0.0351936</v>
      </c>
      <c r="I1199" s="93">
        <v>2.83504</v>
      </c>
    </row>
    <row r="1200" ht="25.5" spans="1:9">
      <c r="A1200" s="90"/>
      <c r="B1200" s="91" t="s">
        <v>1111</v>
      </c>
      <c r="C1200" s="91" t="s">
        <v>1174</v>
      </c>
      <c r="D1200" s="92" t="s">
        <v>1175</v>
      </c>
      <c r="E1200" s="93" t="s">
        <v>839</v>
      </c>
      <c r="F1200" s="93">
        <v>0.224</v>
      </c>
      <c r="G1200" s="93">
        <v>1.43</v>
      </c>
      <c r="H1200" s="93">
        <v>0.32032</v>
      </c>
      <c r="I1200" s="93">
        <v>12.992</v>
      </c>
    </row>
    <row r="1201" ht="25.5" spans="1:9">
      <c r="A1201" s="90"/>
      <c r="B1201" s="91" t="s">
        <v>1111</v>
      </c>
      <c r="C1201" s="91" t="s">
        <v>1351</v>
      </c>
      <c r="D1201" s="92" t="s">
        <v>1352</v>
      </c>
      <c r="E1201" s="93" t="s">
        <v>839</v>
      </c>
      <c r="F1201" s="93">
        <v>0.224</v>
      </c>
      <c r="G1201" s="93">
        <v>1.31</v>
      </c>
      <c r="H1201" s="93">
        <v>0.29344</v>
      </c>
      <c r="I1201" s="93">
        <v>12.992</v>
      </c>
    </row>
    <row r="1202" ht="25.5" spans="1:9">
      <c r="A1202" s="90"/>
      <c r="B1202" s="91" t="s">
        <v>1111</v>
      </c>
      <c r="C1202" s="91" t="s">
        <v>1110</v>
      </c>
      <c r="D1202" s="92" t="s">
        <v>1112</v>
      </c>
      <c r="E1202" s="93" t="s">
        <v>839</v>
      </c>
      <c r="F1202" s="93">
        <v>1.345</v>
      </c>
      <c r="G1202" s="93">
        <v>1.39</v>
      </c>
      <c r="H1202" s="93">
        <v>1.86955</v>
      </c>
      <c r="I1202" s="93">
        <v>78.01</v>
      </c>
    </row>
    <row r="1203" spans="1:9">
      <c r="A1203" s="90"/>
      <c r="B1203" s="91" t="s">
        <v>1007</v>
      </c>
      <c r="C1203" s="91" t="s">
        <v>1050</v>
      </c>
      <c r="D1203" s="92" t="s">
        <v>1051</v>
      </c>
      <c r="E1203" s="93" t="s">
        <v>839</v>
      </c>
      <c r="F1203" s="93">
        <v>1.793</v>
      </c>
      <c r="G1203" s="93">
        <v>1.43</v>
      </c>
      <c r="H1203" s="93">
        <v>2.56399</v>
      </c>
      <c r="I1203" s="93">
        <v>103.994</v>
      </c>
    </row>
    <row r="1204" ht="25.5" spans="1:9">
      <c r="A1204" s="90"/>
      <c r="B1204" s="91" t="s">
        <v>1111</v>
      </c>
      <c r="C1204" s="91" t="s">
        <v>1310</v>
      </c>
      <c r="D1204" s="92" t="s">
        <v>1311</v>
      </c>
      <c r="E1204" s="93" t="s">
        <v>839</v>
      </c>
      <c r="F1204" s="93">
        <v>0.224</v>
      </c>
      <c r="G1204" s="93">
        <v>0.44</v>
      </c>
      <c r="H1204" s="93">
        <v>0.09856</v>
      </c>
      <c r="I1204" s="93">
        <v>12.992</v>
      </c>
    </row>
    <row r="1205" ht="25.5" spans="1:9">
      <c r="A1205" s="90"/>
      <c r="B1205" s="91" t="s">
        <v>1111</v>
      </c>
      <c r="C1205" s="91" t="s">
        <v>1427</v>
      </c>
      <c r="D1205" s="92" t="s">
        <v>1428</v>
      </c>
      <c r="E1205" s="93" t="s">
        <v>839</v>
      </c>
      <c r="F1205" s="93">
        <v>0.224</v>
      </c>
      <c r="G1205" s="93">
        <v>0.78</v>
      </c>
      <c r="H1205" s="93">
        <v>0.17472</v>
      </c>
      <c r="I1205" s="93">
        <v>12.992</v>
      </c>
    </row>
    <row r="1206" ht="25.5" spans="1:9">
      <c r="A1206" s="90"/>
      <c r="B1206" s="91" t="s">
        <v>1111</v>
      </c>
      <c r="C1206" s="91" t="s">
        <v>1195</v>
      </c>
      <c r="D1206" s="92" t="s">
        <v>1196</v>
      </c>
      <c r="E1206" s="93" t="s">
        <v>839</v>
      </c>
      <c r="F1206" s="93">
        <v>1.345</v>
      </c>
      <c r="G1206" s="93">
        <v>0.61</v>
      </c>
      <c r="H1206" s="93">
        <v>0.82045</v>
      </c>
      <c r="I1206" s="93">
        <v>78.01</v>
      </c>
    </row>
    <row r="1207" ht="25.5" spans="1:9">
      <c r="A1207" s="90"/>
      <c r="B1207" s="91" t="s">
        <v>1634</v>
      </c>
      <c r="C1207" s="91" t="s">
        <v>1633</v>
      </c>
      <c r="D1207" s="92" t="s">
        <v>1635</v>
      </c>
      <c r="E1207" s="93" t="s">
        <v>494</v>
      </c>
      <c r="F1207" s="93">
        <v>4.47024e-5</v>
      </c>
      <c r="G1207" s="93">
        <v>3390.99</v>
      </c>
      <c r="H1207" s="93">
        <v>0.151585391376</v>
      </c>
      <c r="I1207" s="93">
        <v>0.0025927392</v>
      </c>
    </row>
    <row r="1208" ht="25.5" spans="1:9">
      <c r="A1208" s="85" t="s">
        <v>2355</v>
      </c>
      <c r="B1208" s="85" t="s">
        <v>853</v>
      </c>
      <c r="C1208" s="85" t="s">
        <v>2356</v>
      </c>
      <c r="D1208" s="87" t="s">
        <v>854</v>
      </c>
      <c r="E1208" s="89" t="s">
        <v>476</v>
      </c>
      <c r="F1208" s="89">
        <v>1.2</v>
      </c>
      <c r="G1208" s="89">
        <v>300.39</v>
      </c>
      <c r="H1208" s="89">
        <v>360.46</v>
      </c>
      <c r="I1208" s="89">
        <v>1.2</v>
      </c>
    </row>
    <row r="1209" ht="51" spans="1:9">
      <c r="A1209" s="90"/>
      <c r="B1209" s="91" t="s">
        <v>1779</v>
      </c>
      <c r="C1209" s="91" t="s">
        <v>1778</v>
      </c>
      <c r="D1209" s="92" t="s">
        <v>1780</v>
      </c>
      <c r="E1209" s="93" t="s">
        <v>494</v>
      </c>
      <c r="F1209" s="93">
        <v>1</v>
      </c>
      <c r="G1209" s="93">
        <v>10731.19</v>
      </c>
      <c r="H1209" s="93">
        <v>0.067881215464</v>
      </c>
      <c r="I1209" s="93">
        <v>1.2</v>
      </c>
    </row>
    <row r="1210" spans="1:9">
      <c r="A1210" s="90"/>
      <c r="B1210" s="91" t="s">
        <v>1007</v>
      </c>
      <c r="C1210" s="91" t="s">
        <v>1048</v>
      </c>
      <c r="D1210" s="92" t="s">
        <v>1049</v>
      </c>
      <c r="E1210" s="93" t="s">
        <v>839</v>
      </c>
      <c r="F1210" s="93">
        <v>1</v>
      </c>
      <c r="G1210" s="93">
        <v>1.5</v>
      </c>
      <c r="H1210" s="93">
        <v>3.3195</v>
      </c>
      <c r="I1210" s="93">
        <v>1.2</v>
      </c>
    </row>
    <row r="1211" spans="1:9">
      <c r="A1211" s="90"/>
      <c r="B1211" s="91" t="s">
        <v>1007</v>
      </c>
      <c r="C1211" s="91" t="s">
        <v>1006</v>
      </c>
      <c r="D1211" s="92" t="s">
        <v>1008</v>
      </c>
      <c r="E1211" s="93" t="s">
        <v>839</v>
      </c>
      <c r="F1211" s="93">
        <v>2.213</v>
      </c>
      <c r="G1211" s="93">
        <v>3.95</v>
      </c>
      <c r="H1211" s="93">
        <v>8.74135</v>
      </c>
      <c r="I1211" s="93">
        <v>2.6556</v>
      </c>
    </row>
    <row r="1212" spans="1:9">
      <c r="A1212" s="90"/>
      <c r="B1212" s="91" t="s">
        <v>1090</v>
      </c>
      <c r="C1212" s="91" t="s">
        <v>1089</v>
      </c>
      <c r="D1212" s="92" t="s">
        <v>1091</v>
      </c>
      <c r="E1212" s="93" t="s">
        <v>839</v>
      </c>
      <c r="F1212" s="93">
        <v>1.6124748</v>
      </c>
      <c r="G1212" s="93">
        <v>21.83</v>
      </c>
      <c r="H1212" s="93">
        <v>35.200324884</v>
      </c>
      <c r="I1212" s="93">
        <v>1.93496976</v>
      </c>
    </row>
    <row r="1213" spans="1:9">
      <c r="A1213" s="90"/>
      <c r="B1213" s="91" t="s">
        <v>1007</v>
      </c>
      <c r="C1213" s="91" t="s">
        <v>1378</v>
      </c>
      <c r="D1213" s="92" t="s">
        <v>1379</v>
      </c>
      <c r="E1213" s="93" t="s">
        <v>839</v>
      </c>
      <c r="F1213" s="93">
        <v>2.213</v>
      </c>
      <c r="G1213" s="93">
        <v>0.08</v>
      </c>
      <c r="H1213" s="93">
        <v>0.17704</v>
      </c>
      <c r="I1213" s="93">
        <v>2.6556</v>
      </c>
    </row>
    <row r="1214" spans="1:9">
      <c r="A1214" s="90"/>
      <c r="B1214" s="91" t="s">
        <v>1020</v>
      </c>
      <c r="C1214" s="91" t="s">
        <v>1019</v>
      </c>
      <c r="D1214" s="92" t="s">
        <v>1021</v>
      </c>
      <c r="E1214" s="93" t="s">
        <v>839</v>
      </c>
      <c r="F1214" s="93">
        <v>0.6474408</v>
      </c>
      <c r="G1214" s="93">
        <v>14.49</v>
      </c>
      <c r="H1214" s="93">
        <v>9.381417192</v>
      </c>
      <c r="I1214" s="93">
        <v>0.77692896</v>
      </c>
    </row>
    <row r="1215" ht="25.5" spans="1:9">
      <c r="A1215" s="90"/>
      <c r="B1215" s="91" t="s">
        <v>1111</v>
      </c>
      <c r="C1215" s="91" t="s">
        <v>1351</v>
      </c>
      <c r="D1215" s="92" t="s">
        <v>1352</v>
      </c>
      <c r="E1215" s="93" t="s">
        <v>839</v>
      </c>
      <c r="F1215" s="93">
        <v>1.579</v>
      </c>
      <c r="G1215" s="93">
        <v>1.31</v>
      </c>
      <c r="H1215" s="93">
        <v>2.06849</v>
      </c>
      <c r="I1215" s="93">
        <v>1.8948</v>
      </c>
    </row>
    <row r="1216" ht="25.5" spans="1:9">
      <c r="A1216" s="90"/>
      <c r="B1216" s="91" t="s">
        <v>1111</v>
      </c>
      <c r="C1216" s="91" t="s">
        <v>1110</v>
      </c>
      <c r="D1216" s="92" t="s">
        <v>1112</v>
      </c>
      <c r="E1216" s="93" t="s">
        <v>839</v>
      </c>
      <c r="F1216" s="93">
        <v>0.634</v>
      </c>
      <c r="G1216" s="93">
        <v>1.39</v>
      </c>
      <c r="H1216" s="93">
        <v>0.88126</v>
      </c>
      <c r="I1216" s="93">
        <v>0.7608</v>
      </c>
    </row>
    <row r="1217" spans="1:9">
      <c r="A1217" s="90"/>
      <c r="B1217" s="91" t="s">
        <v>1007</v>
      </c>
      <c r="C1217" s="91" t="s">
        <v>1050</v>
      </c>
      <c r="D1217" s="92" t="s">
        <v>1051</v>
      </c>
      <c r="E1217" s="93" t="s">
        <v>839</v>
      </c>
      <c r="F1217" s="93">
        <v>2.213</v>
      </c>
      <c r="G1217" s="93">
        <v>1.43</v>
      </c>
      <c r="H1217" s="93">
        <v>3.16459</v>
      </c>
      <c r="I1217" s="93">
        <v>2.6556</v>
      </c>
    </row>
    <row r="1218" ht="25.5" spans="1:9">
      <c r="A1218" s="90"/>
      <c r="B1218" s="91" t="s">
        <v>1111</v>
      </c>
      <c r="C1218" s="91" t="s">
        <v>1427</v>
      </c>
      <c r="D1218" s="92" t="s">
        <v>1428</v>
      </c>
      <c r="E1218" s="93" t="s">
        <v>839</v>
      </c>
      <c r="F1218" s="93">
        <v>1.579</v>
      </c>
      <c r="G1218" s="93">
        <v>0.78</v>
      </c>
      <c r="H1218" s="93">
        <v>1.23162</v>
      </c>
      <c r="I1218" s="93">
        <v>1.8948</v>
      </c>
    </row>
    <row r="1219" ht="25.5" spans="1:9">
      <c r="A1219" s="90"/>
      <c r="B1219" s="91" t="s">
        <v>1111</v>
      </c>
      <c r="C1219" s="91" t="s">
        <v>1195</v>
      </c>
      <c r="D1219" s="92" t="s">
        <v>1196</v>
      </c>
      <c r="E1219" s="93" t="s">
        <v>839</v>
      </c>
      <c r="F1219" s="93">
        <v>0.634</v>
      </c>
      <c r="G1219" s="93">
        <v>0.61</v>
      </c>
      <c r="H1219" s="93">
        <v>0.38674</v>
      </c>
      <c r="I1219" s="93">
        <v>0.7608</v>
      </c>
    </row>
    <row r="1220" spans="1:9">
      <c r="A1220" s="90"/>
      <c r="B1220" s="91" t="s">
        <v>985</v>
      </c>
      <c r="C1220" s="91" t="s">
        <v>1227</v>
      </c>
      <c r="D1220" s="92" t="s">
        <v>1228</v>
      </c>
      <c r="E1220" s="93" t="s">
        <v>215</v>
      </c>
      <c r="F1220" s="93">
        <v>0.04608</v>
      </c>
      <c r="G1220" s="93">
        <v>5.96</v>
      </c>
      <c r="H1220" s="93">
        <v>0.2746368</v>
      </c>
      <c r="I1220" s="93">
        <v>0.055296</v>
      </c>
    </row>
    <row r="1221" spans="1:9">
      <c r="A1221" s="90"/>
      <c r="B1221" s="91" t="s">
        <v>1393</v>
      </c>
      <c r="C1221" s="91" t="s">
        <v>1392</v>
      </c>
      <c r="D1221" s="92" t="s">
        <v>1394</v>
      </c>
      <c r="E1221" s="93" t="s">
        <v>476</v>
      </c>
      <c r="F1221" s="93">
        <v>0.595</v>
      </c>
      <c r="G1221" s="93">
        <v>197.39</v>
      </c>
      <c r="H1221" s="93">
        <v>117.44</v>
      </c>
      <c r="I1221" s="93">
        <v>0.714</v>
      </c>
    </row>
    <row r="1222" spans="1:9">
      <c r="A1222" s="90"/>
      <c r="B1222" s="91" t="s">
        <v>1040</v>
      </c>
      <c r="C1222" s="91" t="s">
        <v>1039</v>
      </c>
      <c r="D1222" s="92" t="s">
        <v>1041</v>
      </c>
      <c r="E1222" s="93" t="s">
        <v>476</v>
      </c>
      <c r="F1222" s="93">
        <v>0.595</v>
      </c>
      <c r="G1222" s="93">
        <v>198.43</v>
      </c>
      <c r="H1222" s="93">
        <v>118.06</v>
      </c>
      <c r="I1222" s="93">
        <v>0.714</v>
      </c>
    </row>
    <row r="1223" ht="38.25" spans="1:9">
      <c r="A1223" s="85" t="s">
        <v>2357</v>
      </c>
      <c r="B1223" s="85" t="s">
        <v>546</v>
      </c>
      <c r="C1223" s="85" t="s">
        <v>2358</v>
      </c>
      <c r="D1223" s="87" t="s">
        <v>855</v>
      </c>
      <c r="E1223" s="89" t="s">
        <v>476</v>
      </c>
      <c r="F1223" s="89">
        <v>126.6</v>
      </c>
      <c r="G1223" s="89">
        <v>301.02</v>
      </c>
      <c r="H1223" s="89">
        <v>38109.13</v>
      </c>
      <c r="I1223" s="89">
        <v>126.6</v>
      </c>
    </row>
    <row r="1224" ht="51" spans="1:9">
      <c r="A1224" s="90"/>
      <c r="B1224" s="91" t="s">
        <v>1779</v>
      </c>
      <c r="C1224" s="91" t="s">
        <v>1778</v>
      </c>
      <c r="D1224" s="92" t="s">
        <v>1780</v>
      </c>
      <c r="E1224" s="93" t="s">
        <v>494</v>
      </c>
      <c r="F1224" s="93">
        <v>1</v>
      </c>
      <c r="G1224" s="93">
        <v>10731.19</v>
      </c>
      <c r="H1224" s="93">
        <v>0.067881215464</v>
      </c>
      <c r="I1224" s="93">
        <v>126.6</v>
      </c>
    </row>
    <row r="1225" spans="1:9">
      <c r="A1225" s="90"/>
      <c r="B1225" s="91" t="s">
        <v>1007</v>
      </c>
      <c r="C1225" s="91" t="s">
        <v>1048</v>
      </c>
      <c r="D1225" s="92" t="s">
        <v>1049</v>
      </c>
      <c r="E1225" s="93" t="s">
        <v>839</v>
      </c>
      <c r="F1225" s="93">
        <v>1</v>
      </c>
      <c r="G1225" s="93">
        <v>1.5</v>
      </c>
      <c r="H1225" s="93">
        <v>3.3195</v>
      </c>
      <c r="I1225" s="93">
        <v>126.6</v>
      </c>
    </row>
    <row r="1226" spans="1:9">
      <c r="A1226" s="90"/>
      <c r="B1226" s="91" t="s">
        <v>1007</v>
      </c>
      <c r="C1226" s="91" t="s">
        <v>1006</v>
      </c>
      <c r="D1226" s="92" t="s">
        <v>1008</v>
      </c>
      <c r="E1226" s="93" t="s">
        <v>839</v>
      </c>
      <c r="F1226" s="93">
        <v>2.213</v>
      </c>
      <c r="G1226" s="93">
        <v>3.95</v>
      </c>
      <c r="H1226" s="93">
        <v>8.74135</v>
      </c>
      <c r="I1226" s="93">
        <v>280.1658</v>
      </c>
    </row>
    <row r="1227" spans="1:9">
      <c r="A1227" s="90"/>
      <c r="B1227" s="91" t="s">
        <v>1090</v>
      </c>
      <c r="C1227" s="91" t="s">
        <v>1089</v>
      </c>
      <c r="D1227" s="92" t="s">
        <v>1091</v>
      </c>
      <c r="E1227" s="93" t="s">
        <v>839</v>
      </c>
      <c r="F1227" s="93">
        <v>1.6124748</v>
      </c>
      <c r="G1227" s="93">
        <v>21.83</v>
      </c>
      <c r="H1227" s="93">
        <v>35.200324884</v>
      </c>
      <c r="I1227" s="93">
        <v>204.13930968</v>
      </c>
    </row>
    <row r="1228" spans="1:9">
      <c r="A1228" s="90"/>
      <c r="B1228" s="91" t="s">
        <v>1007</v>
      </c>
      <c r="C1228" s="91" t="s">
        <v>1378</v>
      </c>
      <c r="D1228" s="92" t="s">
        <v>1379</v>
      </c>
      <c r="E1228" s="93" t="s">
        <v>839</v>
      </c>
      <c r="F1228" s="93">
        <v>2.213</v>
      </c>
      <c r="G1228" s="93">
        <v>0.08</v>
      </c>
      <c r="H1228" s="93">
        <v>0.17704</v>
      </c>
      <c r="I1228" s="93">
        <v>280.1658</v>
      </c>
    </row>
    <row r="1229" spans="1:9">
      <c r="A1229" s="90"/>
      <c r="B1229" s="91" t="s">
        <v>1020</v>
      </c>
      <c r="C1229" s="91" t="s">
        <v>1019</v>
      </c>
      <c r="D1229" s="92" t="s">
        <v>1021</v>
      </c>
      <c r="E1229" s="93" t="s">
        <v>839</v>
      </c>
      <c r="F1229" s="93">
        <v>0.6474408</v>
      </c>
      <c r="G1229" s="93">
        <v>14.49</v>
      </c>
      <c r="H1229" s="93">
        <v>9.381417192</v>
      </c>
      <c r="I1229" s="93">
        <v>81.96600528</v>
      </c>
    </row>
    <row r="1230" ht="25.5" spans="1:9">
      <c r="A1230" s="90"/>
      <c r="B1230" s="91" t="s">
        <v>1111</v>
      </c>
      <c r="C1230" s="91" t="s">
        <v>1351</v>
      </c>
      <c r="D1230" s="92" t="s">
        <v>1352</v>
      </c>
      <c r="E1230" s="93" t="s">
        <v>839</v>
      </c>
      <c r="F1230" s="93">
        <v>1.579</v>
      </c>
      <c r="G1230" s="93">
        <v>1.31</v>
      </c>
      <c r="H1230" s="93">
        <v>2.06849</v>
      </c>
      <c r="I1230" s="93">
        <v>199.9014</v>
      </c>
    </row>
    <row r="1231" ht="25.5" spans="1:9">
      <c r="A1231" s="90"/>
      <c r="B1231" s="91" t="s">
        <v>1111</v>
      </c>
      <c r="C1231" s="91" t="s">
        <v>1110</v>
      </c>
      <c r="D1231" s="92" t="s">
        <v>1112</v>
      </c>
      <c r="E1231" s="93" t="s">
        <v>839</v>
      </c>
      <c r="F1231" s="93">
        <v>0.634</v>
      </c>
      <c r="G1231" s="93">
        <v>1.39</v>
      </c>
      <c r="H1231" s="93">
        <v>0.88126</v>
      </c>
      <c r="I1231" s="93">
        <v>80.2644</v>
      </c>
    </row>
    <row r="1232" spans="1:9">
      <c r="A1232" s="90"/>
      <c r="B1232" s="91" t="s">
        <v>1007</v>
      </c>
      <c r="C1232" s="91" t="s">
        <v>1050</v>
      </c>
      <c r="D1232" s="92" t="s">
        <v>1051</v>
      </c>
      <c r="E1232" s="93" t="s">
        <v>839</v>
      </c>
      <c r="F1232" s="93">
        <v>2.213</v>
      </c>
      <c r="G1232" s="93">
        <v>1.43</v>
      </c>
      <c r="H1232" s="93">
        <v>3.16459</v>
      </c>
      <c r="I1232" s="93">
        <v>280.1658</v>
      </c>
    </row>
    <row r="1233" ht="25.5" spans="1:9">
      <c r="A1233" s="90"/>
      <c r="B1233" s="91" t="s">
        <v>1111</v>
      </c>
      <c r="C1233" s="91" t="s">
        <v>1427</v>
      </c>
      <c r="D1233" s="92" t="s">
        <v>1428</v>
      </c>
      <c r="E1233" s="93" t="s">
        <v>839</v>
      </c>
      <c r="F1233" s="93">
        <v>1.579</v>
      </c>
      <c r="G1233" s="93">
        <v>0.78</v>
      </c>
      <c r="H1233" s="93">
        <v>1.23162</v>
      </c>
      <c r="I1233" s="93">
        <v>199.9014</v>
      </c>
    </row>
    <row r="1234" ht="25.5" spans="1:9">
      <c r="A1234" s="90"/>
      <c r="B1234" s="91" t="s">
        <v>1111</v>
      </c>
      <c r="C1234" s="91" t="s">
        <v>1195</v>
      </c>
      <c r="D1234" s="92" t="s">
        <v>1196</v>
      </c>
      <c r="E1234" s="93" t="s">
        <v>839</v>
      </c>
      <c r="F1234" s="93">
        <v>0.634</v>
      </c>
      <c r="G1234" s="93">
        <v>0.61</v>
      </c>
      <c r="H1234" s="93">
        <v>0.38674</v>
      </c>
      <c r="I1234" s="93">
        <v>80.2644</v>
      </c>
    </row>
    <row r="1235" spans="1:9">
      <c r="A1235" s="90"/>
      <c r="B1235" s="91" t="s">
        <v>985</v>
      </c>
      <c r="C1235" s="91" t="s">
        <v>1227</v>
      </c>
      <c r="D1235" s="92" t="s">
        <v>1228</v>
      </c>
      <c r="E1235" s="93" t="s">
        <v>215</v>
      </c>
      <c r="F1235" s="93">
        <v>0.04608</v>
      </c>
      <c r="G1235" s="93">
        <v>5.96</v>
      </c>
      <c r="H1235" s="93">
        <v>0.2746368</v>
      </c>
      <c r="I1235" s="93">
        <v>5.833728</v>
      </c>
    </row>
    <row r="1236" spans="1:9">
      <c r="A1236" s="90"/>
      <c r="B1236" s="91" t="s">
        <v>1040</v>
      </c>
      <c r="C1236" s="91" t="s">
        <v>1039</v>
      </c>
      <c r="D1236" s="92" t="s">
        <v>1041</v>
      </c>
      <c r="E1236" s="93" t="s">
        <v>476</v>
      </c>
      <c r="F1236" s="93">
        <v>1.19</v>
      </c>
      <c r="G1236" s="93">
        <v>198.43</v>
      </c>
      <c r="H1236" s="93">
        <v>236.13</v>
      </c>
      <c r="I1236" s="93">
        <v>150.654</v>
      </c>
    </row>
    <row r="1237" ht="38.25" spans="1:9">
      <c r="A1237" s="85" t="s">
        <v>2359</v>
      </c>
      <c r="B1237" s="85" t="s">
        <v>2360</v>
      </c>
      <c r="C1237" s="85" t="s">
        <v>2361</v>
      </c>
      <c r="D1237" s="87" t="s">
        <v>856</v>
      </c>
      <c r="E1237" s="89" t="s">
        <v>476</v>
      </c>
      <c r="F1237" s="89">
        <v>1.8</v>
      </c>
      <c r="G1237" s="89">
        <v>298.22</v>
      </c>
      <c r="H1237" s="89">
        <v>536.79</v>
      </c>
      <c r="I1237" s="89">
        <v>1.8</v>
      </c>
    </row>
    <row r="1238" spans="1:9">
      <c r="A1238" s="90"/>
      <c r="B1238" s="91" t="s">
        <v>1007</v>
      </c>
      <c r="C1238" s="91" t="s">
        <v>1048</v>
      </c>
      <c r="D1238" s="92" t="s">
        <v>1049</v>
      </c>
      <c r="E1238" s="93" t="s">
        <v>839</v>
      </c>
      <c r="F1238" s="93">
        <v>1</v>
      </c>
      <c r="G1238" s="93">
        <v>1.5</v>
      </c>
      <c r="H1238" s="93">
        <v>3.75</v>
      </c>
      <c r="I1238" s="93">
        <v>1.8</v>
      </c>
    </row>
    <row r="1239" spans="1:9">
      <c r="A1239" s="90"/>
      <c r="B1239" s="91" t="s">
        <v>1007</v>
      </c>
      <c r="C1239" s="91" t="s">
        <v>1006</v>
      </c>
      <c r="D1239" s="92" t="s">
        <v>1008</v>
      </c>
      <c r="E1239" s="93" t="s">
        <v>839</v>
      </c>
      <c r="F1239" s="93">
        <v>2.5</v>
      </c>
      <c r="G1239" s="93">
        <v>3.95</v>
      </c>
      <c r="H1239" s="93">
        <v>9.875</v>
      </c>
      <c r="I1239" s="93">
        <v>4.5</v>
      </c>
    </row>
    <row r="1240" spans="1:9">
      <c r="A1240" s="90"/>
      <c r="B1240" s="91" t="s">
        <v>1007</v>
      </c>
      <c r="C1240" s="91" t="s">
        <v>1378</v>
      </c>
      <c r="D1240" s="92" t="s">
        <v>1379</v>
      </c>
      <c r="E1240" s="93" t="s">
        <v>839</v>
      </c>
      <c r="F1240" s="93">
        <v>2.5</v>
      </c>
      <c r="G1240" s="93">
        <v>0.08</v>
      </c>
      <c r="H1240" s="93">
        <v>0.2</v>
      </c>
      <c r="I1240" s="93">
        <v>4.5</v>
      </c>
    </row>
    <row r="1241" spans="1:9">
      <c r="A1241" s="90"/>
      <c r="B1241" s="91" t="s">
        <v>1020</v>
      </c>
      <c r="C1241" s="91" t="s">
        <v>1019</v>
      </c>
      <c r="D1241" s="92" t="s">
        <v>1021</v>
      </c>
      <c r="E1241" s="93" t="s">
        <v>839</v>
      </c>
      <c r="F1241" s="93">
        <v>2.553</v>
      </c>
      <c r="G1241" s="93">
        <v>14.49</v>
      </c>
      <c r="H1241" s="93">
        <v>36.99297</v>
      </c>
      <c r="I1241" s="93">
        <v>4.5954</v>
      </c>
    </row>
    <row r="1242" ht="25.5" spans="1:9">
      <c r="A1242" s="90"/>
      <c r="B1242" s="91" t="s">
        <v>1519</v>
      </c>
      <c r="C1242" s="91" t="s">
        <v>1518</v>
      </c>
      <c r="D1242" s="92" t="s">
        <v>1520</v>
      </c>
      <c r="E1242" s="93" t="s">
        <v>476</v>
      </c>
      <c r="F1242" s="93">
        <v>1.15</v>
      </c>
      <c r="G1242" s="93">
        <v>207.68</v>
      </c>
      <c r="H1242" s="93">
        <v>238.83</v>
      </c>
      <c r="I1242" s="93">
        <v>2.07</v>
      </c>
    </row>
    <row r="1243" ht="25.5" spans="1:9">
      <c r="A1243" s="90"/>
      <c r="B1243" s="91" t="s">
        <v>1111</v>
      </c>
      <c r="C1243" s="91" t="s">
        <v>1110</v>
      </c>
      <c r="D1243" s="92" t="s">
        <v>1112</v>
      </c>
      <c r="E1243" s="93" t="s">
        <v>839</v>
      </c>
      <c r="F1243" s="93">
        <v>2.5</v>
      </c>
      <c r="G1243" s="93">
        <v>1.39</v>
      </c>
      <c r="H1243" s="93">
        <v>3.475</v>
      </c>
      <c r="I1243" s="93">
        <v>4.5</v>
      </c>
    </row>
    <row r="1244" spans="1:9">
      <c r="A1244" s="90"/>
      <c r="B1244" s="91" t="s">
        <v>1007</v>
      </c>
      <c r="C1244" s="91" t="s">
        <v>1050</v>
      </c>
      <c r="D1244" s="92" t="s">
        <v>1051</v>
      </c>
      <c r="E1244" s="93" t="s">
        <v>839</v>
      </c>
      <c r="F1244" s="93">
        <v>2.5</v>
      </c>
      <c r="G1244" s="93">
        <v>1.43</v>
      </c>
      <c r="H1244" s="93">
        <v>3.575</v>
      </c>
      <c r="I1244" s="93">
        <v>4.5</v>
      </c>
    </row>
    <row r="1245" ht="25.5" spans="1:9">
      <c r="A1245" s="90"/>
      <c r="B1245" s="91" t="s">
        <v>1111</v>
      </c>
      <c r="C1245" s="91" t="s">
        <v>1195</v>
      </c>
      <c r="D1245" s="92" t="s">
        <v>1196</v>
      </c>
      <c r="E1245" s="93" t="s">
        <v>839</v>
      </c>
      <c r="F1245" s="93">
        <v>2.5</v>
      </c>
      <c r="G1245" s="93">
        <v>0.61</v>
      </c>
      <c r="H1245" s="93">
        <v>1.525</v>
      </c>
      <c r="I1245" s="93">
        <v>4.5</v>
      </c>
    </row>
    <row r="1246" ht="38.25" spans="1:9">
      <c r="A1246" s="85" t="s">
        <v>2362</v>
      </c>
      <c r="B1246" s="85" t="s">
        <v>483</v>
      </c>
      <c r="C1246" s="85" t="s">
        <v>2363</v>
      </c>
      <c r="D1246" s="87" t="s">
        <v>484</v>
      </c>
      <c r="E1246" s="89" t="s">
        <v>476</v>
      </c>
      <c r="F1246" s="89">
        <v>7.12</v>
      </c>
      <c r="G1246" s="89">
        <v>3259.12</v>
      </c>
      <c r="H1246" s="89">
        <v>23204.93</v>
      </c>
      <c r="I1246" s="89">
        <v>7.12</v>
      </c>
    </row>
    <row r="1247" ht="25.5" spans="1:9">
      <c r="A1247" s="90"/>
      <c r="B1247" s="91" t="s">
        <v>1731</v>
      </c>
      <c r="C1247" s="91" t="s">
        <v>1730</v>
      </c>
      <c r="D1247" s="92" t="s">
        <v>1732</v>
      </c>
      <c r="E1247" s="93" t="s">
        <v>494</v>
      </c>
      <c r="F1247" s="93">
        <v>1</v>
      </c>
      <c r="G1247" s="93">
        <v>20338.98</v>
      </c>
      <c r="H1247" s="93">
        <v>3.50349213888288</v>
      </c>
      <c r="I1247" s="93">
        <v>7.12</v>
      </c>
    </row>
    <row r="1248" spans="1:9">
      <c r="A1248" s="90"/>
      <c r="B1248" s="91" t="s">
        <v>1007</v>
      </c>
      <c r="C1248" s="91" t="s">
        <v>1048</v>
      </c>
      <c r="D1248" s="92" t="s">
        <v>1049</v>
      </c>
      <c r="E1248" s="93" t="s">
        <v>839</v>
      </c>
      <c r="F1248" s="93">
        <v>1</v>
      </c>
      <c r="G1248" s="93">
        <v>1.5</v>
      </c>
      <c r="H1248" s="93">
        <v>122.05374384</v>
      </c>
      <c r="I1248" s="93">
        <v>7.12</v>
      </c>
    </row>
    <row r="1249" spans="1:9">
      <c r="A1249" s="90"/>
      <c r="B1249" s="91" t="s">
        <v>1020</v>
      </c>
      <c r="C1249" s="91" t="s">
        <v>1432</v>
      </c>
      <c r="D1249" s="92" t="s">
        <v>1433</v>
      </c>
      <c r="E1249" s="93" t="s">
        <v>839</v>
      </c>
      <c r="F1249" s="93">
        <v>0.9143523697248</v>
      </c>
      <c r="G1249" s="93">
        <v>15.35</v>
      </c>
      <c r="H1249" s="93">
        <v>14.0353088752757</v>
      </c>
      <c r="I1249" s="93">
        <v>6.51018887244058</v>
      </c>
    </row>
    <row r="1250" spans="1:9">
      <c r="A1250" s="90"/>
      <c r="B1250" s="91" t="s">
        <v>1007</v>
      </c>
      <c r="C1250" s="91" t="s">
        <v>1006</v>
      </c>
      <c r="D1250" s="92" t="s">
        <v>1008</v>
      </c>
      <c r="E1250" s="93" t="s">
        <v>839</v>
      </c>
      <c r="F1250" s="93">
        <v>81.36916256</v>
      </c>
      <c r="G1250" s="93">
        <v>3.95</v>
      </c>
      <c r="H1250" s="93">
        <v>321.408192112</v>
      </c>
      <c r="I1250" s="93">
        <v>579.3484374272</v>
      </c>
    </row>
    <row r="1251" spans="1:9">
      <c r="A1251" s="90"/>
      <c r="B1251" s="91" t="s">
        <v>1150</v>
      </c>
      <c r="C1251" s="91" t="s">
        <v>1149</v>
      </c>
      <c r="D1251" s="92" t="s">
        <v>1151</v>
      </c>
      <c r="E1251" s="93" t="s">
        <v>839</v>
      </c>
      <c r="F1251" s="93">
        <v>5.6102855278176</v>
      </c>
      <c r="G1251" s="93">
        <v>21.83</v>
      </c>
      <c r="H1251" s="93">
        <v>122.472533072258</v>
      </c>
      <c r="I1251" s="93">
        <v>39.9452329580613</v>
      </c>
    </row>
    <row r="1252" spans="1:9">
      <c r="A1252" s="90"/>
      <c r="B1252" s="91" t="s">
        <v>1020</v>
      </c>
      <c r="C1252" s="91" t="s">
        <v>1094</v>
      </c>
      <c r="D1252" s="92" t="s">
        <v>1095</v>
      </c>
      <c r="E1252" s="93" t="s">
        <v>839</v>
      </c>
      <c r="F1252" s="93">
        <v>1.20959392</v>
      </c>
      <c r="G1252" s="93">
        <v>15.35</v>
      </c>
      <c r="H1252" s="93">
        <v>18.567266672</v>
      </c>
      <c r="I1252" s="93">
        <v>8.6123087104</v>
      </c>
    </row>
    <row r="1253" spans="1:9">
      <c r="A1253" s="90"/>
      <c r="B1253" s="91" t="s">
        <v>993</v>
      </c>
      <c r="C1253" s="91" t="s">
        <v>1475</v>
      </c>
      <c r="D1253" s="92" t="s">
        <v>1476</v>
      </c>
      <c r="E1253" s="93" t="s">
        <v>839</v>
      </c>
      <c r="F1253" s="93">
        <v>6.0479696</v>
      </c>
      <c r="G1253" s="93">
        <v>20.54</v>
      </c>
      <c r="H1253" s="93">
        <v>124.225295584</v>
      </c>
      <c r="I1253" s="93">
        <v>43.061543552</v>
      </c>
    </row>
    <row r="1254" spans="1:9">
      <c r="A1254" s="90"/>
      <c r="B1254" s="91" t="s">
        <v>1506</v>
      </c>
      <c r="C1254" s="91" t="s">
        <v>1505</v>
      </c>
      <c r="D1254" s="92" t="s">
        <v>1507</v>
      </c>
      <c r="E1254" s="93" t="s">
        <v>839</v>
      </c>
      <c r="F1254" s="93">
        <v>1.5125859972</v>
      </c>
      <c r="G1254" s="93">
        <v>18</v>
      </c>
      <c r="H1254" s="93">
        <v>27.2265479496</v>
      </c>
      <c r="I1254" s="93">
        <v>10.769612300064</v>
      </c>
    </row>
    <row r="1255" spans="1:9">
      <c r="A1255" s="90"/>
      <c r="B1255" s="91" t="s">
        <v>1108</v>
      </c>
      <c r="C1255" s="91" t="s">
        <v>1127</v>
      </c>
      <c r="D1255" s="92" t="s">
        <v>1128</v>
      </c>
      <c r="E1255" s="93" t="s">
        <v>839</v>
      </c>
      <c r="F1255" s="93">
        <v>1.20575568</v>
      </c>
      <c r="G1255" s="93">
        <v>18</v>
      </c>
      <c r="H1255" s="93">
        <v>21.70360224</v>
      </c>
      <c r="I1255" s="93">
        <v>8.5849804416</v>
      </c>
    </row>
    <row r="1256" spans="1:9">
      <c r="A1256" s="90"/>
      <c r="B1256" s="91" t="s">
        <v>1090</v>
      </c>
      <c r="C1256" s="91" t="s">
        <v>1089</v>
      </c>
      <c r="D1256" s="92" t="s">
        <v>1091</v>
      </c>
      <c r="E1256" s="93" t="s">
        <v>839</v>
      </c>
      <c r="F1256" s="93">
        <v>32.01451788</v>
      </c>
      <c r="G1256" s="93">
        <v>21.83</v>
      </c>
      <c r="H1256" s="93">
        <v>698.8769253204</v>
      </c>
      <c r="I1256" s="93">
        <v>227.9433673056</v>
      </c>
    </row>
    <row r="1257" spans="1:9">
      <c r="A1257" s="90"/>
      <c r="B1257" s="91" t="s">
        <v>1007</v>
      </c>
      <c r="C1257" s="91" t="s">
        <v>1378</v>
      </c>
      <c r="D1257" s="92" t="s">
        <v>1379</v>
      </c>
      <c r="E1257" s="93" t="s">
        <v>839</v>
      </c>
      <c r="F1257" s="93">
        <v>81.36916256</v>
      </c>
      <c r="G1257" s="93">
        <v>0.08</v>
      </c>
      <c r="H1257" s="93">
        <v>6.5095330048</v>
      </c>
      <c r="I1257" s="93">
        <v>579.3484374272</v>
      </c>
    </row>
    <row r="1258" spans="1:9">
      <c r="A1258" s="90"/>
      <c r="B1258" s="91" t="s">
        <v>1020</v>
      </c>
      <c r="C1258" s="91" t="s">
        <v>1019</v>
      </c>
      <c r="D1258" s="92" t="s">
        <v>1021</v>
      </c>
      <c r="E1258" s="93" t="s">
        <v>839</v>
      </c>
      <c r="F1258" s="93">
        <v>34.439908728</v>
      </c>
      <c r="G1258" s="93">
        <v>14.49</v>
      </c>
      <c r="H1258" s="93">
        <v>499.03427746872</v>
      </c>
      <c r="I1258" s="93">
        <v>245.21215014336</v>
      </c>
    </row>
    <row r="1259" spans="1:9">
      <c r="A1259" s="90"/>
      <c r="B1259" s="91" t="s">
        <v>1158</v>
      </c>
      <c r="C1259" s="91" t="s">
        <v>1380</v>
      </c>
      <c r="D1259" s="92" t="s">
        <v>1381</v>
      </c>
      <c r="E1259" s="93" t="s">
        <v>463</v>
      </c>
      <c r="F1259" s="93">
        <v>29.851716</v>
      </c>
      <c r="G1259" s="93">
        <v>8.25</v>
      </c>
      <c r="H1259" s="93">
        <v>246.276657</v>
      </c>
      <c r="I1259" s="93">
        <v>212.54421792</v>
      </c>
    </row>
    <row r="1260" ht="25.5" spans="1:9">
      <c r="A1260" s="90"/>
      <c r="B1260" s="91" t="s">
        <v>1123</v>
      </c>
      <c r="C1260" s="91" t="s">
        <v>1361</v>
      </c>
      <c r="D1260" s="92" t="s">
        <v>1362</v>
      </c>
      <c r="E1260" s="93" t="s">
        <v>463</v>
      </c>
      <c r="F1260" s="93">
        <v>0.69747</v>
      </c>
      <c r="G1260" s="93">
        <v>19.38</v>
      </c>
      <c r="H1260" s="93">
        <v>13.5169686</v>
      </c>
      <c r="I1260" s="93">
        <v>4.9659864</v>
      </c>
    </row>
    <row r="1261" ht="25.5" spans="1:9">
      <c r="A1261" s="90"/>
      <c r="B1261" s="91" t="s">
        <v>1010</v>
      </c>
      <c r="C1261" s="91" t="s">
        <v>1009</v>
      </c>
      <c r="D1261" s="92" t="s">
        <v>1011</v>
      </c>
      <c r="E1261" s="93" t="s">
        <v>476</v>
      </c>
      <c r="F1261" s="93">
        <v>0.873</v>
      </c>
      <c r="G1261" s="93">
        <v>205</v>
      </c>
      <c r="H1261" s="93">
        <v>178.965</v>
      </c>
      <c r="I1261" s="93">
        <v>6.21576</v>
      </c>
    </row>
    <row r="1262" ht="25.5" spans="1:9">
      <c r="A1262" s="90"/>
      <c r="B1262" s="91" t="s">
        <v>1498</v>
      </c>
      <c r="C1262" s="91" t="s">
        <v>1497</v>
      </c>
      <c r="D1262" s="92" t="s">
        <v>1499</v>
      </c>
      <c r="E1262" s="93" t="s">
        <v>466</v>
      </c>
      <c r="F1262" s="93">
        <v>1.9404</v>
      </c>
      <c r="G1262" s="93">
        <v>38.04</v>
      </c>
      <c r="H1262" s="93">
        <v>73.81</v>
      </c>
      <c r="I1262" s="93">
        <v>13.815648</v>
      </c>
    </row>
    <row r="1263" spans="1:9">
      <c r="A1263" s="90"/>
      <c r="B1263" s="91" t="s">
        <v>1272</v>
      </c>
      <c r="C1263" s="91" t="s">
        <v>1271</v>
      </c>
      <c r="D1263" s="92" t="s">
        <v>1273</v>
      </c>
      <c r="E1263" s="93" t="s">
        <v>463</v>
      </c>
      <c r="F1263" s="93">
        <v>437.93196</v>
      </c>
      <c r="G1263" s="93">
        <v>0.65</v>
      </c>
      <c r="H1263" s="93">
        <v>284.655774</v>
      </c>
      <c r="I1263" s="93">
        <v>3118.0755552</v>
      </c>
    </row>
    <row r="1264" ht="25.5" spans="1:9">
      <c r="A1264" s="90"/>
      <c r="B1264" s="91" t="s">
        <v>1586</v>
      </c>
      <c r="C1264" s="91" t="s">
        <v>1585</v>
      </c>
      <c r="D1264" s="92" t="s">
        <v>1587</v>
      </c>
      <c r="E1264" s="93" t="s">
        <v>215</v>
      </c>
      <c r="F1264" s="93">
        <v>0.0833</v>
      </c>
      <c r="G1264" s="93">
        <v>7.16</v>
      </c>
      <c r="H1264" s="93">
        <v>0.59</v>
      </c>
      <c r="I1264" s="93">
        <v>0.593096</v>
      </c>
    </row>
    <row r="1265" spans="1:9">
      <c r="A1265" s="90"/>
      <c r="B1265" s="91" t="s">
        <v>1693</v>
      </c>
      <c r="C1265" s="91" t="s">
        <v>1692</v>
      </c>
      <c r="D1265" s="92" t="s">
        <v>1694</v>
      </c>
      <c r="E1265" s="93" t="s">
        <v>1695</v>
      </c>
      <c r="F1265" s="93">
        <v>6.043672</v>
      </c>
      <c r="G1265" s="93">
        <v>0.72</v>
      </c>
      <c r="H1265" s="93">
        <v>4.35144384</v>
      </c>
      <c r="I1265" s="93">
        <v>43.03094464</v>
      </c>
    </row>
    <row r="1266" ht="25.5" spans="1:9">
      <c r="A1266" s="90"/>
      <c r="B1266" s="91" t="s">
        <v>1111</v>
      </c>
      <c r="C1266" s="91" t="s">
        <v>1174</v>
      </c>
      <c r="D1266" s="92" t="s">
        <v>1175</v>
      </c>
      <c r="E1266" s="93" t="s">
        <v>839</v>
      </c>
      <c r="F1266" s="93">
        <v>7.152</v>
      </c>
      <c r="G1266" s="93">
        <v>1.43</v>
      </c>
      <c r="H1266" s="93">
        <v>10.22736</v>
      </c>
      <c r="I1266" s="93">
        <v>50.92224</v>
      </c>
    </row>
    <row r="1267" ht="25.5" spans="1:9">
      <c r="A1267" s="90"/>
      <c r="B1267" s="91" t="s">
        <v>1111</v>
      </c>
      <c r="C1267" s="91" t="s">
        <v>1287</v>
      </c>
      <c r="D1267" s="92" t="s">
        <v>1288</v>
      </c>
      <c r="E1267" s="93" t="s">
        <v>839</v>
      </c>
      <c r="F1267" s="93">
        <v>2.69212</v>
      </c>
      <c r="G1267" s="93">
        <v>0.89</v>
      </c>
      <c r="H1267" s="93">
        <v>2.3959868</v>
      </c>
      <c r="I1267" s="93">
        <v>19.1678944</v>
      </c>
    </row>
    <row r="1268" ht="25.5" spans="1:9">
      <c r="A1268" s="90"/>
      <c r="B1268" s="91" t="s">
        <v>1111</v>
      </c>
      <c r="C1268" s="91" t="s">
        <v>1351</v>
      </c>
      <c r="D1268" s="92" t="s">
        <v>1352</v>
      </c>
      <c r="E1268" s="93" t="s">
        <v>839</v>
      </c>
      <c r="F1268" s="93">
        <v>37.80010256</v>
      </c>
      <c r="G1268" s="93">
        <v>1.31</v>
      </c>
      <c r="H1268" s="93">
        <v>49.5181343536</v>
      </c>
      <c r="I1268" s="93">
        <v>269.1367302272</v>
      </c>
    </row>
    <row r="1269" ht="25.5" spans="1:9">
      <c r="A1269" s="90"/>
      <c r="B1269" s="91" t="s">
        <v>1111</v>
      </c>
      <c r="C1269" s="91" t="s">
        <v>1110</v>
      </c>
      <c r="D1269" s="92" t="s">
        <v>1112</v>
      </c>
      <c r="E1269" s="93" t="s">
        <v>839</v>
      </c>
      <c r="F1269" s="93">
        <v>33.72494</v>
      </c>
      <c r="G1269" s="93">
        <v>1.39</v>
      </c>
      <c r="H1269" s="93">
        <v>46.8776666</v>
      </c>
      <c r="I1269" s="93">
        <v>240.1215728</v>
      </c>
    </row>
    <row r="1270" ht="25.5" spans="1:9">
      <c r="A1270" s="90"/>
      <c r="B1270" s="91" t="s">
        <v>1490</v>
      </c>
      <c r="C1270" s="91" t="s">
        <v>1489</v>
      </c>
      <c r="D1270" s="92" t="s">
        <v>1491</v>
      </c>
      <c r="E1270" s="93" t="s">
        <v>494</v>
      </c>
      <c r="F1270" s="93">
        <v>78.5630208</v>
      </c>
      <c r="G1270" s="93">
        <v>0.22</v>
      </c>
      <c r="H1270" s="93">
        <v>17.283864576</v>
      </c>
      <c r="I1270" s="93">
        <v>559.368708096</v>
      </c>
    </row>
    <row r="1271" spans="1:9">
      <c r="A1271" s="90"/>
      <c r="B1271" s="91" t="s">
        <v>1007</v>
      </c>
      <c r="C1271" s="91" t="s">
        <v>1050</v>
      </c>
      <c r="D1271" s="92" t="s">
        <v>1051</v>
      </c>
      <c r="E1271" s="93" t="s">
        <v>839</v>
      </c>
      <c r="F1271" s="93">
        <v>81.36916256</v>
      </c>
      <c r="G1271" s="93">
        <v>1.43</v>
      </c>
      <c r="H1271" s="93">
        <v>116.3579024608</v>
      </c>
      <c r="I1271" s="93">
        <v>579.3484374272</v>
      </c>
    </row>
    <row r="1272" ht="25.5" spans="1:9">
      <c r="A1272" s="90"/>
      <c r="B1272" s="91" t="s">
        <v>1111</v>
      </c>
      <c r="C1272" s="91" t="s">
        <v>1310</v>
      </c>
      <c r="D1272" s="92" t="s">
        <v>1311</v>
      </c>
      <c r="E1272" s="93" t="s">
        <v>839</v>
      </c>
      <c r="F1272" s="93">
        <v>7.152</v>
      </c>
      <c r="G1272" s="93">
        <v>0.44</v>
      </c>
      <c r="H1272" s="93">
        <v>3.14688</v>
      </c>
      <c r="I1272" s="93">
        <v>50.92224</v>
      </c>
    </row>
    <row r="1273" ht="25.5" spans="1:9">
      <c r="A1273" s="90"/>
      <c r="B1273" s="91" t="s">
        <v>1111</v>
      </c>
      <c r="C1273" s="91" t="s">
        <v>1707</v>
      </c>
      <c r="D1273" s="92" t="s">
        <v>1708</v>
      </c>
      <c r="E1273" s="93" t="s">
        <v>839</v>
      </c>
      <c r="F1273" s="93">
        <v>2.69212</v>
      </c>
      <c r="G1273" s="93">
        <v>0.01</v>
      </c>
      <c r="H1273" s="93">
        <v>0.0269212</v>
      </c>
      <c r="I1273" s="93">
        <v>19.1678944</v>
      </c>
    </row>
    <row r="1274" ht="25.5" spans="1:9">
      <c r="A1274" s="90"/>
      <c r="B1274" s="91" t="s">
        <v>1111</v>
      </c>
      <c r="C1274" s="91" t="s">
        <v>1427</v>
      </c>
      <c r="D1274" s="92" t="s">
        <v>1428</v>
      </c>
      <c r="E1274" s="93" t="s">
        <v>839</v>
      </c>
      <c r="F1274" s="93">
        <v>37.80010256</v>
      </c>
      <c r="G1274" s="93">
        <v>0.78</v>
      </c>
      <c r="H1274" s="93">
        <v>29.4840799968</v>
      </c>
      <c r="I1274" s="93">
        <v>269.1367302272</v>
      </c>
    </row>
    <row r="1275" ht="25.5" spans="1:9">
      <c r="A1275" s="90"/>
      <c r="B1275" s="91" t="s">
        <v>1111</v>
      </c>
      <c r="C1275" s="91" t="s">
        <v>1195</v>
      </c>
      <c r="D1275" s="92" t="s">
        <v>1196</v>
      </c>
      <c r="E1275" s="93" t="s">
        <v>839</v>
      </c>
      <c r="F1275" s="93">
        <v>33.72494</v>
      </c>
      <c r="G1275" s="93">
        <v>0.61</v>
      </c>
      <c r="H1275" s="93">
        <v>20.5722134</v>
      </c>
      <c r="I1275" s="93">
        <v>240.1215728</v>
      </c>
    </row>
    <row r="1276" spans="1:9">
      <c r="A1276" s="90"/>
      <c r="B1276" s="91" t="s">
        <v>1393</v>
      </c>
      <c r="C1276" s="91" t="s">
        <v>1392</v>
      </c>
      <c r="D1276" s="92" t="s">
        <v>1394</v>
      </c>
      <c r="E1276" s="93" t="s">
        <v>476</v>
      </c>
      <c r="F1276" s="93">
        <v>0.71664</v>
      </c>
      <c r="G1276" s="93">
        <v>197.39</v>
      </c>
      <c r="H1276" s="93">
        <v>141.4575696</v>
      </c>
      <c r="I1276" s="93">
        <v>5.1024768</v>
      </c>
    </row>
    <row r="1277" spans="1:9">
      <c r="A1277" s="90"/>
      <c r="B1277" s="91" t="s">
        <v>1685</v>
      </c>
      <c r="C1277" s="91" t="s">
        <v>1684</v>
      </c>
      <c r="D1277" s="92" t="s">
        <v>1686</v>
      </c>
      <c r="E1277" s="93" t="s">
        <v>463</v>
      </c>
      <c r="F1277" s="93">
        <v>0.4365</v>
      </c>
      <c r="G1277" s="93">
        <v>20.72</v>
      </c>
      <c r="H1277" s="93">
        <v>9.04</v>
      </c>
      <c r="I1277" s="93">
        <v>3.10788</v>
      </c>
    </row>
    <row r="1278" spans="1:9">
      <c r="A1278" s="90"/>
      <c r="B1278" s="91" t="s">
        <v>1602</v>
      </c>
      <c r="C1278" s="91" t="s">
        <v>1601</v>
      </c>
      <c r="D1278" s="92" t="s">
        <v>1603</v>
      </c>
      <c r="E1278" s="93" t="s">
        <v>112</v>
      </c>
      <c r="F1278" s="93">
        <v>5.6283</v>
      </c>
      <c r="G1278" s="93">
        <v>2.72</v>
      </c>
      <c r="H1278" s="93">
        <v>15.3</v>
      </c>
      <c r="I1278" s="93">
        <v>40.073496</v>
      </c>
    </row>
    <row r="1279" ht="25.5" spans="1:9">
      <c r="A1279" s="90"/>
      <c r="B1279" s="91" t="s">
        <v>1812</v>
      </c>
      <c r="C1279" s="91" t="s">
        <v>1811</v>
      </c>
      <c r="D1279" s="92" t="s">
        <v>1813</v>
      </c>
      <c r="E1279" s="93" t="s">
        <v>494</v>
      </c>
      <c r="F1279" s="93">
        <v>0.0001278506</v>
      </c>
      <c r="G1279" s="93">
        <v>1504.72</v>
      </c>
      <c r="H1279" s="93">
        <v>0.192379354832</v>
      </c>
      <c r="I1279" s="93">
        <v>0.000910296272</v>
      </c>
    </row>
    <row r="1280" ht="25.5" spans="1:9">
      <c r="A1280" s="90"/>
      <c r="B1280" s="91" t="s">
        <v>1634</v>
      </c>
      <c r="C1280" s="91" t="s">
        <v>1633</v>
      </c>
      <c r="D1280" s="92" t="s">
        <v>1635</v>
      </c>
      <c r="E1280" s="93" t="s">
        <v>494</v>
      </c>
      <c r="F1280" s="93">
        <v>0.00456042792</v>
      </c>
      <c r="G1280" s="93">
        <v>3390.99</v>
      </c>
      <c r="H1280" s="93">
        <v>15.4643654724408</v>
      </c>
      <c r="I1280" s="93">
        <v>0.0324702467904</v>
      </c>
    </row>
    <row r="1281" spans="1:9">
      <c r="A1281" s="85" t="s">
        <v>2364</v>
      </c>
      <c r="B1281" s="86"/>
      <c r="C1281" s="86"/>
      <c r="D1281" s="87" t="s">
        <v>857</v>
      </c>
      <c r="E1281" s="88"/>
      <c r="F1281" s="89">
        <v>0</v>
      </c>
      <c r="G1281" s="89">
        <v>0</v>
      </c>
      <c r="H1281" s="89">
        <v>0</v>
      </c>
      <c r="I1281" s="89">
        <v>0</v>
      </c>
    </row>
    <row r="1282" ht="38.25" spans="1:9">
      <c r="A1282" s="85" t="s">
        <v>2365</v>
      </c>
      <c r="B1282" s="85" t="s">
        <v>858</v>
      </c>
      <c r="C1282" s="85" t="s">
        <v>2366</v>
      </c>
      <c r="D1282" s="87" t="s">
        <v>859</v>
      </c>
      <c r="E1282" s="89" t="s">
        <v>494</v>
      </c>
      <c r="F1282" s="89">
        <v>2</v>
      </c>
      <c r="G1282" s="89">
        <v>33.7</v>
      </c>
      <c r="H1282" s="89">
        <v>67.4</v>
      </c>
      <c r="I1282" s="89">
        <v>2</v>
      </c>
    </row>
    <row r="1283" spans="1:9">
      <c r="A1283" s="90"/>
      <c r="B1283" s="91" t="s">
        <v>1007</v>
      </c>
      <c r="C1283" s="91" t="s">
        <v>1048</v>
      </c>
      <c r="D1283" s="92" t="s">
        <v>1049</v>
      </c>
      <c r="E1283" s="93" t="s">
        <v>839</v>
      </c>
      <c r="F1283" s="93">
        <v>1</v>
      </c>
      <c r="G1283" s="93">
        <v>1.5</v>
      </c>
      <c r="H1283" s="93">
        <v>2.07855</v>
      </c>
      <c r="I1283" s="93">
        <v>2</v>
      </c>
    </row>
    <row r="1284" spans="1:9">
      <c r="A1284" s="90"/>
      <c r="B1284" s="91" t="s">
        <v>1007</v>
      </c>
      <c r="C1284" s="91" t="s">
        <v>1006</v>
      </c>
      <c r="D1284" s="92" t="s">
        <v>1008</v>
      </c>
      <c r="E1284" s="93" t="s">
        <v>839</v>
      </c>
      <c r="F1284" s="93">
        <v>1.3857</v>
      </c>
      <c r="G1284" s="93">
        <v>3.95</v>
      </c>
      <c r="H1284" s="93">
        <v>5.473515</v>
      </c>
      <c r="I1284" s="93">
        <v>2.7714</v>
      </c>
    </row>
    <row r="1285" spans="1:9">
      <c r="A1285" s="90"/>
      <c r="B1285" s="91" t="s">
        <v>1376</v>
      </c>
      <c r="C1285" s="91" t="s">
        <v>1375</v>
      </c>
      <c r="D1285" s="92" t="s">
        <v>1377</v>
      </c>
      <c r="E1285" s="93" t="s">
        <v>839</v>
      </c>
      <c r="F1285" s="93">
        <v>0.468717644</v>
      </c>
      <c r="G1285" s="93">
        <v>17.35</v>
      </c>
      <c r="H1285" s="93">
        <v>8.1322511234</v>
      </c>
      <c r="I1285" s="93">
        <v>0.937435288</v>
      </c>
    </row>
    <row r="1286" spans="1:9">
      <c r="A1286" s="90"/>
      <c r="B1286" s="91" t="s">
        <v>1007</v>
      </c>
      <c r="C1286" s="91" t="s">
        <v>1378</v>
      </c>
      <c r="D1286" s="92" t="s">
        <v>1379</v>
      </c>
      <c r="E1286" s="93" t="s">
        <v>839</v>
      </c>
      <c r="F1286" s="93">
        <v>1.3857</v>
      </c>
      <c r="G1286" s="93">
        <v>0.08</v>
      </c>
      <c r="H1286" s="93">
        <v>0.110856</v>
      </c>
      <c r="I1286" s="93">
        <v>2.7714</v>
      </c>
    </row>
    <row r="1287" spans="1:9">
      <c r="A1287" s="90"/>
      <c r="B1287" s="91" t="s">
        <v>1020</v>
      </c>
      <c r="C1287" s="91" t="s">
        <v>1019</v>
      </c>
      <c r="D1287" s="92" t="s">
        <v>1021</v>
      </c>
      <c r="E1287" s="93" t="s">
        <v>839</v>
      </c>
      <c r="F1287" s="93">
        <v>0.94338456</v>
      </c>
      <c r="G1287" s="93">
        <v>14.49</v>
      </c>
      <c r="H1287" s="93">
        <v>13.6696422744</v>
      </c>
      <c r="I1287" s="93">
        <v>1.88676912</v>
      </c>
    </row>
    <row r="1288" ht="25.5" spans="1:9">
      <c r="A1288" s="90"/>
      <c r="B1288" s="91" t="s">
        <v>1111</v>
      </c>
      <c r="C1288" s="91" t="s">
        <v>1287</v>
      </c>
      <c r="D1288" s="92" t="s">
        <v>1288</v>
      </c>
      <c r="E1288" s="93" t="s">
        <v>839</v>
      </c>
      <c r="F1288" s="93">
        <v>0.4619</v>
      </c>
      <c r="G1288" s="93">
        <v>0.89</v>
      </c>
      <c r="H1288" s="93">
        <v>0.411091</v>
      </c>
      <c r="I1288" s="93">
        <v>0.9238</v>
      </c>
    </row>
    <row r="1289" ht="25.5" spans="1:9">
      <c r="A1289" s="90"/>
      <c r="B1289" s="91" t="s">
        <v>1111</v>
      </c>
      <c r="C1289" s="91" t="s">
        <v>1110</v>
      </c>
      <c r="D1289" s="92" t="s">
        <v>1112</v>
      </c>
      <c r="E1289" s="93" t="s">
        <v>839</v>
      </c>
      <c r="F1289" s="93">
        <v>0.9238</v>
      </c>
      <c r="G1289" s="93">
        <v>1.39</v>
      </c>
      <c r="H1289" s="93">
        <v>1.284082</v>
      </c>
      <c r="I1289" s="93">
        <v>1.8476</v>
      </c>
    </row>
    <row r="1290" spans="1:9">
      <c r="A1290" s="90"/>
      <c r="B1290" s="91" t="s">
        <v>1007</v>
      </c>
      <c r="C1290" s="91" t="s">
        <v>1050</v>
      </c>
      <c r="D1290" s="92" t="s">
        <v>1051</v>
      </c>
      <c r="E1290" s="93" t="s">
        <v>839</v>
      </c>
      <c r="F1290" s="93">
        <v>1.3857</v>
      </c>
      <c r="G1290" s="93">
        <v>1.43</v>
      </c>
      <c r="H1290" s="93">
        <v>1.981551</v>
      </c>
      <c r="I1290" s="93">
        <v>2.7714</v>
      </c>
    </row>
    <row r="1291" ht="25.5" spans="1:9">
      <c r="A1291" s="90"/>
      <c r="B1291" s="91" t="s">
        <v>1111</v>
      </c>
      <c r="C1291" s="91" t="s">
        <v>1707</v>
      </c>
      <c r="D1291" s="92" t="s">
        <v>1708</v>
      </c>
      <c r="E1291" s="93" t="s">
        <v>839</v>
      </c>
      <c r="F1291" s="93">
        <v>0.4619</v>
      </c>
      <c r="G1291" s="93">
        <v>0.01</v>
      </c>
      <c r="H1291" s="93">
        <v>0.004619</v>
      </c>
      <c r="I1291" s="93">
        <v>0.9238</v>
      </c>
    </row>
    <row r="1292" ht="25.5" spans="1:9">
      <c r="A1292" s="90"/>
      <c r="B1292" s="91" t="s">
        <v>1111</v>
      </c>
      <c r="C1292" s="91" t="s">
        <v>1195</v>
      </c>
      <c r="D1292" s="92" t="s">
        <v>1196</v>
      </c>
      <c r="E1292" s="93" t="s">
        <v>839</v>
      </c>
      <c r="F1292" s="93">
        <v>0.9238</v>
      </c>
      <c r="G1292" s="93">
        <v>0.61</v>
      </c>
      <c r="H1292" s="93">
        <v>0.563518</v>
      </c>
      <c r="I1292" s="93">
        <v>1.8476</v>
      </c>
    </row>
    <row r="1293" ht="38.25" spans="1:9">
      <c r="A1293" s="85" t="s">
        <v>2367</v>
      </c>
      <c r="B1293" s="85" t="s">
        <v>860</v>
      </c>
      <c r="C1293" s="85" t="s">
        <v>2368</v>
      </c>
      <c r="D1293" s="87" t="s">
        <v>861</v>
      </c>
      <c r="E1293" s="89" t="s">
        <v>494</v>
      </c>
      <c r="F1293" s="89">
        <v>2</v>
      </c>
      <c r="G1293" s="89">
        <v>84.27</v>
      </c>
      <c r="H1293" s="89">
        <v>168.54</v>
      </c>
      <c r="I1293" s="89">
        <v>2</v>
      </c>
    </row>
    <row r="1294" spans="1:9">
      <c r="A1294" s="90"/>
      <c r="B1294" s="91" t="s">
        <v>1007</v>
      </c>
      <c r="C1294" s="91" t="s">
        <v>1048</v>
      </c>
      <c r="D1294" s="92" t="s">
        <v>1049</v>
      </c>
      <c r="E1294" s="93" t="s">
        <v>839</v>
      </c>
      <c r="F1294" s="93">
        <v>1</v>
      </c>
      <c r="G1294" s="93">
        <v>1.5</v>
      </c>
      <c r="H1294" s="93">
        <v>5.1963</v>
      </c>
      <c r="I1294" s="93">
        <v>2</v>
      </c>
    </row>
    <row r="1295" spans="1:9">
      <c r="A1295" s="90"/>
      <c r="B1295" s="91" t="s">
        <v>1007</v>
      </c>
      <c r="C1295" s="91" t="s">
        <v>1006</v>
      </c>
      <c r="D1295" s="92" t="s">
        <v>1008</v>
      </c>
      <c r="E1295" s="93" t="s">
        <v>839</v>
      </c>
      <c r="F1295" s="93">
        <v>3.4642</v>
      </c>
      <c r="G1295" s="93">
        <v>3.95</v>
      </c>
      <c r="H1295" s="93">
        <v>13.68359</v>
      </c>
      <c r="I1295" s="93">
        <v>6.9284</v>
      </c>
    </row>
    <row r="1296" spans="1:9">
      <c r="A1296" s="90"/>
      <c r="B1296" s="91" t="s">
        <v>1376</v>
      </c>
      <c r="C1296" s="91" t="s">
        <v>1375</v>
      </c>
      <c r="D1296" s="92" t="s">
        <v>1377</v>
      </c>
      <c r="E1296" s="93" t="s">
        <v>839</v>
      </c>
      <c r="F1296" s="93">
        <v>1.171743372</v>
      </c>
      <c r="G1296" s="93">
        <v>17.35</v>
      </c>
      <c r="H1296" s="93">
        <v>20.3297475042</v>
      </c>
      <c r="I1296" s="93">
        <v>2.343486744</v>
      </c>
    </row>
    <row r="1297" spans="1:9">
      <c r="A1297" s="90"/>
      <c r="B1297" s="91" t="s">
        <v>1007</v>
      </c>
      <c r="C1297" s="91" t="s">
        <v>1378</v>
      </c>
      <c r="D1297" s="92" t="s">
        <v>1379</v>
      </c>
      <c r="E1297" s="93" t="s">
        <v>839</v>
      </c>
      <c r="F1297" s="93">
        <v>3.4642</v>
      </c>
      <c r="G1297" s="93">
        <v>0.08</v>
      </c>
      <c r="H1297" s="93">
        <v>0.277136</v>
      </c>
      <c r="I1297" s="93">
        <v>6.9284</v>
      </c>
    </row>
    <row r="1298" spans="1:9">
      <c r="A1298" s="90"/>
      <c r="B1298" s="91" t="s">
        <v>1020</v>
      </c>
      <c r="C1298" s="91" t="s">
        <v>1019</v>
      </c>
      <c r="D1298" s="92" t="s">
        <v>1021</v>
      </c>
      <c r="E1298" s="93" t="s">
        <v>839</v>
      </c>
      <c r="F1298" s="93">
        <v>2.3584614</v>
      </c>
      <c r="G1298" s="93">
        <v>14.49</v>
      </c>
      <c r="H1298" s="93">
        <v>34.174105686</v>
      </c>
      <c r="I1298" s="93">
        <v>4.7169228</v>
      </c>
    </row>
    <row r="1299" ht="25.5" spans="1:9">
      <c r="A1299" s="90"/>
      <c r="B1299" s="91" t="s">
        <v>1111</v>
      </c>
      <c r="C1299" s="91" t="s">
        <v>1287</v>
      </c>
      <c r="D1299" s="92" t="s">
        <v>1288</v>
      </c>
      <c r="E1299" s="93" t="s">
        <v>839</v>
      </c>
      <c r="F1299" s="93">
        <v>1.1547</v>
      </c>
      <c r="G1299" s="93">
        <v>0.89</v>
      </c>
      <c r="H1299" s="93">
        <v>1.027683</v>
      </c>
      <c r="I1299" s="93">
        <v>2.3094</v>
      </c>
    </row>
    <row r="1300" ht="25.5" spans="1:9">
      <c r="A1300" s="90"/>
      <c r="B1300" s="91" t="s">
        <v>1111</v>
      </c>
      <c r="C1300" s="91" t="s">
        <v>1110</v>
      </c>
      <c r="D1300" s="92" t="s">
        <v>1112</v>
      </c>
      <c r="E1300" s="93" t="s">
        <v>839</v>
      </c>
      <c r="F1300" s="93">
        <v>2.3095</v>
      </c>
      <c r="G1300" s="93">
        <v>1.39</v>
      </c>
      <c r="H1300" s="93">
        <v>3.210205</v>
      </c>
      <c r="I1300" s="93">
        <v>4.619</v>
      </c>
    </row>
    <row r="1301" spans="1:9">
      <c r="A1301" s="90"/>
      <c r="B1301" s="91" t="s">
        <v>1007</v>
      </c>
      <c r="C1301" s="91" t="s">
        <v>1050</v>
      </c>
      <c r="D1301" s="92" t="s">
        <v>1051</v>
      </c>
      <c r="E1301" s="93" t="s">
        <v>839</v>
      </c>
      <c r="F1301" s="93">
        <v>3.4642</v>
      </c>
      <c r="G1301" s="93">
        <v>1.43</v>
      </c>
      <c r="H1301" s="93">
        <v>4.953806</v>
      </c>
      <c r="I1301" s="93">
        <v>6.9284</v>
      </c>
    </row>
    <row r="1302" ht="25.5" spans="1:9">
      <c r="A1302" s="90"/>
      <c r="B1302" s="91" t="s">
        <v>1111</v>
      </c>
      <c r="C1302" s="91" t="s">
        <v>1707</v>
      </c>
      <c r="D1302" s="92" t="s">
        <v>2369</v>
      </c>
      <c r="E1302" s="93" t="s">
        <v>839</v>
      </c>
      <c r="F1302" s="93">
        <v>1.1547</v>
      </c>
      <c r="G1302" s="93">
        <v>0.01</v>
      </c>
      <c r="H1302" s="93">
        <v>0.011547</v>
      </c>
      <c r="I1302" s="93">
        <v>2.3094</v>
      </c>
    </row>
    <row r="1303" spans="1:9">
      <c r="A1303" s="90"/>
      <c r="B1303" s="90"/>
      <c r="C1303" s="90"/>
      <c r="D1303" s="92" t="s">
        <v>2370</v>
      </c>
      <c r="E1303" s="94"/>
      <c r="F1303" s="94"/>
      <c r="G1303" s="94"/>
      <c r="H1303" s="94"/>
      <c r="I1303" s="94"/>
    </row>
    <row r="1304" ht="25.5" spans="1:9">
      <c r="A1304" s="90"/>
      <c r="B1304" s="91" t="s">
        <v>1111</v>
      </c>
      <c r="C1304" s="91" t="s">
        <v>1195</v>
      </c>
      <c r="D1304" s="92" t="s">
        <v>1196</v>
      </c>
      <c r="E1304" s="93" t="s">
        <v>839</v>
      </c>
      <c r="F1304" s="93">
        <v>2.3095</v>
      </c>
      <c r="G1304" s="93">
        <v>0.61</v>
      </c>
      <c r="H1304" s="93">
        <v>1.408795</v>
      </c>
      <c r="I1304" s="93">
        <v>4.619</v>
      </c>
    </row>
    <row r="1305" ht="51" spans="1:9">
      <c r="A1305" s="85" t="s">
        <v>2371</v>
      </c>
      <c r="B1305" s="85" t="s">
        <v>862</v>
      </c>
      <c r="C1305" s="85" t="s">
        <v>2372</v>
      </c>
      <c r="D1305" s="87" t="s">
        <v>863</v>
      </c>
      <c r="E1305" s="89" t="s">
        <v>494</v>
      </c>
      <c r="F1305" s="89">
        <v>2</v>
      </c>
      <c r="G1305" s="89">
        <v>18.96</v>
      </c>
      <c r="H1305" s="89">
        <v>37.92</v>
      </c>
      <c r="I1305" s="89">
        <v>2</v>
      </c>
    </row>
    <row r="1306" spans="1:9">
      <c r="A1306" s="90"/>
      <c r="B1306" s="91" t="s">
        <v>1007</v>
      </c>
      <c r="C1306" s="91" t="s">
        <v>1048</v>
      </c>
      <c r="D1306" s="92" t="s">
        <v>1049</v>
      </c>
      <c r="E1306" s="93" t="s">
        <v>839</v>
      </c>
      <c r="F1306" s="93">
        <v>1</v>
      </c>
      <c r="G1306" s="93">
        <v>1.5</v>
      </c>
      <c r="H1306" s="93">
        <v>1.1691</v>
      </c>
      <c r="I1306" s="93">
        <v>2</v>
      </c>
    </row>
    <row r="1307" spans="1:9">
      <c r="A1307" s="90"/>
      <c r="B1307" s="91" t="s">
        <v>1007</v>
      </c>
      <c r="C1307" s="91" t="s">
        <v>1006</v>
      </c>
      <c r="D1307" s="92" t="s">
        <v>1008</v>
      </c>
      <c r="E1307" s="93" t="s">
        <v>839</v>
      </c>
      <c r="F1307" s="93">
        <v>0.7794</v>
      </c>
      <c r="G1307" s="93">
        <v>3.95</v>
      </c>
      <c r="H1307" s="93">
        <v>3.07863</v>
      </c>
      <c r="I1307" s="93">
        <v>1.5588</v>
      </c>
    </row>
    <row r="1308" spans="1:9">
      <c r="A1308" s="90"/>
      <c r="B1308" s="91" t="s">
        <v>1376</v>
      </c>
      <c r="C1308" s="91" t="s">
        <v>1375</v>
      </c>
      <c r="D1308" s="92" t="s">
        <v>1377</v>
      </c>
      <c r="E1308" s="93" t="s">
        <v>839</v>
      </c>
      <c r="F1308" s="93">
        <v>0.263634648</v>
      </c>
      <c r="G1308" s="93">
        <v>17.35</v>
      </c>
      <c r="H1308" s="93">
        <v>4.5740611428</v>
      </c>
      <c r="I1308" s="93">
        <v>0.527269296</v>
      </c>
    </row>
    <row r="1309" spans="1:9">
      <c r="A1309" s="90"/>
      <c r="B1309" s="91" t="s">
        <v>1007</v>
      </c>
      <c r="C1309" s="91" t="s">
        <v>1378</v>
      </c>
      <c r="D1309" s="92" t="s">
        <v>1379</v>
      </c>
      <c r="E1309" s="93" t="s">
        <v>839</v>
      </c>
      <c r="F1309" s="93">
        <v>0.7794</v>
      </c>
      <c r="G1309" s="93">
        <v>0.08</v>
      </c>
      <c r="H1309" s="93">
        <v>0.062352</v>
      </c>
      <c r="I1309" s="93">
        <v>1.5588</v>
      </c>
    </row>
    <row r="1310" spans="1:9">
      <c r="A1310" s="90"/>
      <c r="B1310" s="91" t="s">
        <v>1020</v>
      </c>
      <c r="C1310" s="91" t="s">
        <v>1019</v>
      </c>
      <c r="D1310" s="92" t="s">
        <v>1021</v>
      </c>
      <c r="E1310" s="93" t="s">
        <v>839</v>
      </c>
      <c r="F1310" s="93">
        <v>0.53061552</v>
      </c>
      <c r="G1310" s="93">
        <v>14.49</v>
      </c>
      <c r="H1310" s="93">
        <v>7.6886188848</v>
      </c>
      <c r="I1310" s="93">
        <v>1.06123104</v>
      </c>
    </row>
    <row r="1311" ht="25.5" spans="1:9">
      <c r="A1311" s="90"/>
      <c r="B1311" s="91" t="s">
        <v>1111</v>
      </c>
      <c r="C1311" s="91" t="s">
        <v>1287</v>
      </c>
      <c r="D1311" s="92" t="s">
        <v>1288</v>
      </c>
      <c r="E1311" s="93" t="s">
        <v>839</v>
      </c>
      <c r="F1311" s="93">
        <v>0.2598</v>
      </c>
      <c r="G1311" s="93">
        <v>0.89</v>
      </c>
      <c r="H1311" s="93">
        <v>0.231222</v>
      </c>
      <c r="I1311" s="93">
        <v>0.5196</v>
      </c>
    </row>
    <row r="1312" ht="25.5" spans="1:9">
      <c r="A1312" s="90"/>
      <c r="B1312" s="91" t="s">
        <v>1111</v>
      </c>
      <c r="C1312" s="91" t="s">
        <v>1110</v>
      </c>
      <c r="D1312" s="92" t="s">
        <v>1112</v>
      </c>
      <c r="E1312" s="93" t="s">
        <v>839</v>
      </c>
      <c r="F1312" s="93">
        <v>0.5196</v>
      </c>
      <c r="G1312" s="93">
        <v>1.39</v>
      </c>
      <c r="H1312" s="93">
        <v>0.722244</v>
      </c>
      <c r="I1312" s="93">
        <v>1.0392</v>
      </c>
    </row>
    <row r="1313" spans="1:9">
      <c r="A1313" s="90"/>
      <c r="B1313" s="91" t="s">
        <v>1007</v>
      </c>
      <c r="C1313" s="91" t="s">
        <v>1050</v>
      </c>
      <c r="D1313" s="92" t="s">
        <v>1051</v>
      </c>
      <c r="E1313" s="93" t="s">
        <v>839</v>
      </c>
      <c r="F1313" s="93">
        <v>0.7794</v>
      </c>
      <c r="G1313" s="93">
        <v>1.43</v>
      </c>
      <c r="H1313" s="93">
        <v>1.114542</v>
      </c>
      <c r="I1313" s="93">
        <v>1.5588</v>
      </c>
    </row>
    <row r="1314" ht="25.5" spans="1:9">
      <c r="A1314" s="90"/>
      <c r="B1314" s="91" t="s">
        <v>1111</v>
      </c>
      <c r="C1314" s="91" t="s">
        <v>1707</v>
      </c>
      <c r="D1314" s="92" t="s">
        <v>1708</v>
      </c>
      <c r="E1314" s="93" t="s">
        <v>839</v>
      </c>
      <c r="F1314" s="93">
        <v>0.2598</v>
      </c>
      <c r="G1314" s="93">
        <v>0.01</v>
      </c>
      <c r="H1314" s="93">
        <v>0.002598</v>
      </c>
      <c r="I1314" s="93">
        <v>0.5196</v>
      </c>
    </row>
    <row r="1315" ht="25.5" spans="1:9">
      <c r="A1315" s="90"/>
      <c r="B1315" s="91" t="s">
        <v>1111</v>
      </c>
      <c r="C1315" s="91" t="s">
        <v>1195</v>
      </c>
      <c r="D1315" s="92" t="s">
        <v>1196</v>
      </c>
      <c r="E1315" s="93" t="s">
        <v>839</v>
      </c>
      <c r="F1315" s="93">
        <v>0.5196</v>
      </c>
      <c r="G1315" s="93">
        <v>0.61</v>
      </c>
      <c r="H1315" s="93">
        <v>0.316956</v>
      </c>
      <c r="I1315" s="93">
        <v>1.0392</v>
      </c>
    </row>
    <row r="1316" ht="25.5" spans="1:9">
      <c r="A1316" s="85" t="s">
        <v>2373</v>
      </c>
      <c r="B1316" s="85" t="s">
        <v>864</v>
      </c>
      <c r="C1316" s="85" t="s">
        <v>2374</v>
      </c>
      <c r="D1316" s="87" t="s">
        <v>865</v>
      </c>
      <c r="E1316" s="89" t="s">
        <v>494</v>
      </c>
      <c r="F1316" s="89">
        <v>3</v>
      </c>
      <c r="G1316" s="89">
        <v>60.04</v>
      </c>
      <c r="H1316" s="89">
        <v>180.12</v>
      </c>
      <c r="I1316" s="89">
        <v>3</v>
      </c>
    </row>
    <row r="1317" ht="38.25" spans="1:9">
      <c r="A1317" s="90"/>
      <c r="B1317" s="91" t="s">
        <v>1002</v>
      </c>
      <c r="C1317" s="91" t="s">
        <v>1068</v>
      </c>
      <c r="D1317" s="92" t="s">
        <v>1069</v>
      </c>
      <c r="E1317" s="93" t="s">
        <v>494</v>
      </c>
      <c r="F1317" s="93">
        <v>1</v>
      </c>
      <c r="G1317" s="93">
        <v>569580.71</v>
      </c>
      <c r="H1317" s="93">
        <v>13.1777395652606</v>
      </c>
      <c r="I1317" s="93">
        <v>3</v>
      </c>
    </row>
    <row r="1318" ht="51" spans="1:9">
      <c r="A1318" s="90"/>
      <c r="B1318" s="91" t="s">
        <v>1210</v>
      </c>
      <c r="C1318" s="91" t="s">
        <v>1209</v>
      </c>
      <c r="D1318" s="92" t="s">
        <v>1211</v>
      </c>
      <c r="E1318" s="93" t="s">
        <v>494</v>
      </c>
      <c r="F1318" s="93">
        <v>1</v>
      </c>
      <c r="G1318" s="93">
        <v>143450</v>
      </c>
      <c r="H1318" s="93">
        <v>4.317713026</v>
      </c>
      <c r="I1318" s="93">
        <v>3</v>
      </c>
    </row>
    <row r="1319" spans="1:9">
      <c r="A1319" s="90"/>
      <c r="B1319" s="91" t="s">
        <v>1007</v>
      </c>
      <c r="C1319" s="91" t="s">
        <v>1048</v>
      </c>
      <c r="D1319" s="92" t="s">
        <v>1049</v>
      </c>
      <c r="E1319" s="93" t="s">
        <v>839</v>
      </c>
      <c r="F1319" s="93">
        <v>1</v>
      </c>
      <c r="G1319" s="93">
        <v>1.5</v>
      </c>
      <c r="H1319" s="93">
        <v>1.33065</v>
      </c>
      <c r="I1319" s="93">
        <v>3</v>
      </c>
    </row>
    <row r="1320" spans="1:9">
      <c r="A1320" s="90"/>
      <c r="B1320" s="91" t="s">
        <v>1007</v>
      </c>
      <c r="C1320" s="91" t="s">
        <v>1006</v>
      </c>
      <c r="D1320" s="92" t="s">
        <v>1008</v>
      </c>
      <c r="E1320" s="93" t="s">
        <v>839</v>
      </c>
      <c r="F1320" s="93">
        <v>0.8871</v>
      </c>
      <c r="G1320" s="93">
        <v>3.95</v>
      </c>
      <c r="H1320" s="93">
        <v>3.504045</v>
      </c>
      <c r="I1320" s="93">
        <v>2.6613</v>
      </c>
    </row>
    <row r="1321" spans="1:9">
      <c r="A1321" s="90"/>
      <c r="B1321" s="91" t="s">
        <v>1453</v>
      </c>
      <c r="C1321" s="91" t="s">
        <v>1452</v>
      </c>
      <c r="D1321" s="92" t="s">
        <v>1454</v>
      </c>
      <c r="E1321" s="93" t="s">
        <v>839</v>
      </c>
      <c r="F1321" s="93">
        <v>0.127349298</v>
      </c>
      <c r="G1321" s="93">
        <v>15.35</v>
      </c>
      <c r="H1321" s="93">
        <v>1.9548117243</v>
      </c>
      <c r="I1321" s="93">
        <v>0.382047894</v>
      </c>
    </row>
    <row r="1322" spans="1:9">
      <c r="A1322" s="90"/>
      <c r="B1322" s="91" t="s">
        <v>1248</v>
      </c>
      <c r="C1322" s="91" t="s">
        <v>1247</v>
      </c>
      <c r="D1322" s="92" t="s">
        <v>1249</v>
      </c>
      <c r="E1322" s="93" t="s">
        <v>839</v>
      </c>
      <c r="F1322" s="93">
        <v>0.463893486</v>
      </c>
      <c r="G1322" s="93">
        <v>21.83</v>
      </c>
      <c r="H1322" s="93">
        <v>10.12679479938</v>
      </c>
      <c r="I1322" s="93">
        <v>1.391680458</v>
      </c>
    </row>
    <row r="1323" spans="1:9">
      <c r="A1323" s="90"/>
      <c r="B1323" s="91" t="s">
        <v>1023</v>
      </c>
      <c r="C1323" s="91" t="s">
        <v>1147</v>
      </c>
      <c r="D1323" s="92" t="s">
        <v>1148</v>
      </c>
      <c r="E1323" s="93" t="s">
        <v>839</v>
      </c>
      <c r="F1323" s="93">
        <v>0.311314131</v>
      </c>
      <c r="G1323" s="93">
        <v>23.07</v>
      </c>
      <c r="H1323" s="93">
        <v>7.18201700217</v>
      </c>
      <c r="I1323" s="93">
        <v>0.933942393</v>
      </c>
    </row>
    <row r="1324" spans="1:9">
      <c r="A1324" s="90"/>
      <c r="B1324" s="91" t="s">
        <v>1007</v>
      </c>
      <c r="C1324" s="91" t="s">
        <v>1378</v>
      </c>
      <c r="D1324" s="92" t="s">
        <v>1379</v>
      </c>
      <c r="E1324" s="93" t="s">
        <v>839</v>
      </c>
      <c r="F1324" s="93">
        <v>0.8871</v>
      </c>
      <c r="G1324" s="93">
        <v>0.08</v>
      </c>
      <c r="H1324" s="93">
        <v>0.070968</v>
      </c>
      <c r="I1324" s="93">
        <v>2.6613</v>
      </c>
    </row>
    <row r="1325" ht="25.5" spans="1:9">
      <c r="A1325" s="90"/>
      <c r="B1325" s="91" t="s">
        <v>1111</v>
      </c>
      <c r="C1325" s="91" t="s">
        <v>1558</v>
      </c>
      <c r="D1325" s="92" t="s">
        <v>1559</v>
      </c>
      <c r="E1325" s="93" t="s">
        <v>839</v>
      </c>
      <c r="F1325" s="93">
        <v>0.5808</v>
      </c>
      <c r="G1325" s="93">
        <v>1.13</v>
      </c>
      <c r="H1325" s="93">
        <v>0.656304</v>
      </c>
      <c r="I1325" s="93">
        <v>1.7424</v>
      </c>
    </row>
    <row r="1326" ht="25.5" spans="1:9">
      <c r="A1326" s="90"/>
      <c r="B1326" s="91" t="s">
        <v>1111</v>
      </c>
      <c r="C1326" s="91" t="s">
        <v>1287</v>
      </c>
      <c r="D1326" s="92" t="s">
        <v>1288</v>
      </c>
      <c r="E1326" s="93" t="s">
        <v>839</v>
      </c>
      <c r="F1326" s="93">
        <v>0.3063</v>
      </c>
      <c r="G1326" s="93">
        <v>0.89</v>
      </c>
      <c r="H1326" s="93">
        <v>0.272607</v>
      </c>
      <c r="I1326" s="93">
        <v>0.9189</v>
      </c>
    </row>
    <row r="1327" spans="1:9">
      <c r="A1327" s="90"/>
      <c r="B1327" s="91" t="s">
        <v>1007</v>
      </c>
      <c r="C1327" s="91" t="s">
        <v>1050</v>
      </c>
      <c r="D1327" s="92" t="s">
        <v>1051</v>
      </c>
      <c r="E1327" s="93" t="s">
        <v>839</v>
      </c>
      <c r="F1327" s="93">
        <v>0.8871</v>
      </c>
      <c r="G1327" s="93">
        <v>1.43</v>
      </c>
      <c r="H1327" s="93">
        <v>1.268553</v>
      </c>
      <c r="I1327" s="93">
        <v>2.6613</v>
      </c>
    </row>
    <row r="1328" ht="25.5" spans="1:9">
      <c r="A1328" s="90"/>
      <c r="B1328" s="91" t="s">
        <v>1111</v>
      </c>
      <c r="C1328" s="91" t="s">
        <v>1674</v>
      </c>
      <c r="D1328" s="92" t="s">
        <v>1675</v>
      </c>
      <c r="E1328" s="93" t="s">
        <v>839</v>
      </c>
      <c r="F1328" s="93">
        <v>0.5808</v>
      </c>
      <c r="G1328" s="93">
        <v>0.31</v>
      </c>
      <c r="H1328" s="93">
        <v>0.180048</v>
      </c>
      <c r="I1328" s="93">
        <v>1.7424</v>
      </c>
    </row>
    <row r="1329" ht="25.5" spans="1:9">
      <c r="A1329" s="90"/>
      <c r="B1329" s="91" t="s">
        <v>1111</v>
      </c>
      <c r="C1329" s="91" t="s">
        <v>1707</v>
      </c>
      <c r="D1329" s="92" t="s">
        <v>1708</v>
      </c>
      <c r="E1329" s="93" t="s">
        <v>839</v>
      </c>
      <c r="F1329" s="93">
        <v>0.3063</v>
      </c>
      <c r="G1329" s="93">
        <v>0.01</v>
      </c>
      <c r="H1329" s="93">
        <v>0.003063</v>
      </c>
      <c r="I1329" s="93">
        <v>0.9189</v>
      </c>
    </row>
    <row r="1330" spans="1:9">
      <c r="A1330" s="90"/>
      <c r="B1330" s="91" t="s">
        <v>985</v>
      </c>
      <c r="C1330" s="91" t="s">
        <v>984</v>
      </c>
      <c r="D1330" s="92" t="s">
        <v>986</v>
      </c>
      <c r="E1330" s="93" t="s">
        <v>215</v>
      </c>
      <c r="F1330" s="93">
        <v>2.698503</v>
      </c>
      <c r="G1330" s="93">
        <v>5.93</v>
      </c>
      <c r="H1330" s="93">
        <v>16.00212279</v>
      </c>
      <c r="I1330" s="93">
        <v>8.095509</v>
      </c>
    </row>
    <row r="1331" ht="25.5" spans="1:9">
      <c r="A1331" s="85" t="s">
        <v>2375</v>
      </c>
      <c r="B1331" s="85" t="s">
        <v>866</v>
      </c>
      <c r="C1331" s="85" t="s">
        <v>2376</v>
      </c>
      <c r="D1331" s="87" t="s">
        <v>867</v>
      </c>
      <c r="E1331" s="89" t="s">
        <v>494</v>
      </c>
      <c r="F1331" s="89">
        <v>18</v>
      </c>
      <c r="G1331" s="89">
        <v>109.35</v>
      </c>
      <c r="H1331" s="89">
        <v>1968.3</v>
      </c>
      <c r="I1331" s="89">
        <v>18</v>
      </c>
    </row>
    <row r="1332" ht="38.25" spans="1:9">
      <c r="A1332" s="90"/>
      <c r="B1332" s="91" t="s">
        <v>1002</v>
      </c>
      <c r="C1332" s="91" t="s">
        <v>1068</v>
      </c>
      <c r="D1332" s="92" t="s">
        <v>1069</v>
      </c>
      <c r="E1332" s="93" t="s">
        <v>494</v>
      </c>
      <c r="F1332" s="93">
        <v>1</v>
      </c>
      <c r="G1332" s="93">
        <v>569580.71</v>
      </c>
      <c r="H1332" s="93">
        <v>22.134988593949</v>
      </c>
      <c r="I1332" s="93">
        <v>18</v>
      </c>
    </row>
    <row r="1333" ht="51" spans="1:9">
      <c r="A1333" s="90"/>
      <c r="B1333" s="91" t="s">
        <v>1210</v>
      </c>
      <c r="C1333" s="91" t="s">
        <v>1209</v>
      </c>
      <c r="D1333" s="92" t="s">
        <v>1211</v>
      </c>
      <c r="E1333" s="93" t="s">
        <v>494</v>
      </c>
      <c r="F1333" s="93">
        <v>1</v>
      </c>
      <c r="G1333" s="93">
        <v>143450</v>
      </c>
      <c r="H1333" s="93">
        <v>7.25257379</v>
      </c>
      <c r="I1333" s="93">
        <v>18</v>
      </c>
    </row>
    <row r="1334" spans="1:9">
      <c r="A1334" s="90"/>
      <c r="B1334" s="91" t="s">
        <v>1007</v>
      </c>
      <c r="C1334" s="91" t="s">
        <v>1048</v>
      </c>
      <c r="D1334" s="92" t="s">
        <v>1049</v>
      </c>
      <c r="E1334" s="93" t="s">
        <v>839</v>
      </c>
      <c r="F1334" s="93">
        <v>1</v>
      </c>
      <c r="G1334" s="93">
        <v>1.5</v>
      </c>
      <c r="H1334" s="93">
        <v>2.67135</v>
      </c>
      <c r="I1334" s="93">
        <v>18</v>
      </c>
    </row>
    <row r="1335" spans="1:9">
      <c r="A1335" s="90"/>
      <c r="B1335" s="91" t="s">
        <v>1007</v>
      </c>
      <c r="C1335" s="91" t="s">
        <v>1006</v>
      </c>
      <c r="D1335" s="92" t="s">
        <v>1008</v>
      </c>
      <c r="E1335" s="93" t="s">
        <v>839</v>
      </c>
      <c r="F1335" s="93">
        <v>1.7809</v>
      </c>
      <c r="G1335" s="93">
        <v>3.95</v>
      </c>
      <c r="H1335" s="93">
        <v>7.034555</v>
      </c>
      <c r="I1335" s="93">
        <v>32.0562</v>
      </c>
    </row>
    <row r="1336" spans="1:9">
      <c r="A1336" s="90"/>
      <c r="B1336" s="91" t="s">
        <v>1453</v>
      </c>
      <c r="C1336" s="91" t="s">
        <v>1452</v>
      </c>
      <c r="D1336" s="92" t="s">
        <v>1454</v>
      </c>
      <c r="E1336" s="93" t="s">
        <v>839</v>
      </c>
      <c r="F1336" s="93">
        <v>0.277704944</v>
      </c>
      <c r="G1336" s="93">
        <v>15.35</v>
      </c>
      <c r="H1336" s="93">
        <v>4.2627708904</v>
      </c>
      <c r="I1336" s="93">
        <v>4.998688992</v>
      </c>
    </row>
    <row r="1337" spans="1:9">
      <c r="A1337" s="90"/>
      <c r="B1337" s="91" t="s">
        <v>1248</v>
      </c>
      <c r="C1337" s="91" t="s">
        <v>1247</v>
      </c>
      <c r="D1337" s="92" t="s">
        <v>1249</v>
      </c>
      <c r="E1337" s="93" t="s">
        <v>839</v>
      </c>
      <c r="F1337" s="93">
        <v>1.011464928</v>
      </c>
      <c r="G1337" s="93">
        <v>21.83</v>
      </c>
      <c r="H1337" s="93">
        <v>22.08027937824</v>
      </c>
      <c r="I1337" s="93">
        <v>18.206368704</v>
      </c>
    </row>
    <row r="1338" spans="1:9">
      <c r="A1338" s="90"/>
      <c r="B1338" s="91" t="s">
        <v>1023</v>
      </c>
      <c r="C1338" s="91" t="s">
        <v>1147</v>
      </c>
      <c r="D1338" s="92" t="s">
        <v>1148</v>
      </c>
      <c r="E1338" s="93" t="s">
        <v>839</v>
      </c>
      <c r="F1338" s="93">
        <v>0.522922365</v>
      </c>
      <c r="G1338" s="93">
        <v>23.07</v>
      </c>
      <c r="H1338" s="93">
        <v>12.06381896055</v>
      </c>
      <c r="I1338" s="93">
        <v>9.41260257</v>
      </c>
    </row>
    <row r="1339" spans="1:9">
      <c r="A1339" s="90"/>
      <c r="B1339" s="91" t="s">
        <v>1007</v>
      </c>
      <c r="C1339" s="91" t="s">
        <v>1378</v>
      </c>
      <c r="D1339" s="92" t="s">
        <v>1379</v>
      </c>
      <c r="E1339" s="93" t="s">
        <v>839</v>
      </c>
      <c r="F1339" s="93">
        <v>1.7809</v>
      </c>
      <c r="G1339" s="93">
        <v>0.08</v>
      </c>
      <c r="H1339" s="93">
        <v>0.142472</v>
      </c>
      <c r="I1339" s="93">
        <v>32.0562</v>
      </c>
    </row>
    <row r="1340" ht="25.5" spans="1:9">
      <c r="A1340" s="90"/>
      <c r="B1340" s="91" t="s">
        <v>1111</v>
      </c>
      <c r="C1340" s="91" t="s">
        <v>1558</v>
      </c>
      <c r="D1340" s="92" t="s">
        <v>1559</v>
      </c>
      <c r="E1340" s="93" t="s">
        <v>839</v>
      </c>
      <c r="F1340" s="93">
        <v>1.2664</v>
      </c>
      <c r="G1340" s="93">
        <v>1.13</v>
      </c>
      <c r="H1340" s="93">
        <v>1.431032</v>
      </c>
      <c r="I1340" s="93">
        <v>22.7952</v>
      </c>
    </row>
    <row r="1341" ht="25.5" spans="1:9">
      <c r="A1341" s="90"/>
      <c r="B1341" s="91" t="s">
        <v>1111</v>
      </c>
      <c r="C1341" s="91" t="s">
        <v>1287</v>
      </c>
      <c r="D1341" s="92" t="s">
        <v>1288</v>
      </c>
      <c r="E1341" s="93" t="s">
        <v>839</v>
      </c>
      <c r="F1341" s="93">
        <v>0.5145</v>
      </c>
      <c r="G1341" s="93">
        <v>0.89</v>
      </c>
      <c r="H1341" s="93">
        <v>0.457905</v>
      </c>
      <c r="I1341" s="93">
        <v>9.261</v>
      </c>
    </row>
    <row r="1342" spans="1:9">
      <c r="A1342" s="90"/>
      <c r="B1342" s="91" t="s">
        <v>1007</v>
      </c>
      <c r="C1342" s="91" t="s">
        <v>1050</v>
      </c>
      <c r="D1342" s="92" t="s">
        <v>1051</v>
      </c>
      <c r="E1342" s="93" t="s">
        <v>839</v>
      </c>
      <c r="F1342" s="93">
        <v>1.7809</v>
      </c>
      <c r="G1342" s="93">
        <v>1.43</v>
      </c>
      <c r="H1342" s="93">
        <v>2.546687</v>
      </c>
      <c r="I1342" s="93">
        <v>32.0562</v>
      </c>
    </row>
    <row r="1343" ht="25.5" spans="1:9">
      <c r="A1343" s="90"/>
      <c r="B1343" s="91" t="s">
        <v>1111</v>
      </c>
      <c r="C1343" s="91" t="s">
        <v>1674</v>
      </c>
      <c r="D1343" s="92" t="s">
        <v>1675</v>
      </c>
      <c r="E1343" s="93" t="s">
        <v>839</v>
      </c>
      <c r="F1343" s="93">
        <v>1.2664</v>
      </c>
      <c r="G1343" s="93">
        <v>0.31</v>
      </c>
      <c r="H1343" s="93">
        <v>0.392584</v>
      </c>
      <c r="I1343" s="93">
        <v>22.7952</v>
      </c>
    </row>
    <row r="1344" ht="25.5" spans="1:9">
      <c r="A1344" s="90"/>
      <c r="B1344" s="91" t="s">
        <v>1111</v>
      </c>
      <c r="C1344" s="91" t="s">
        <v>1707</v>
      </c>
      <c r="D1344" s="92" t="s">
        <v>1708</v>
      </c>
      <c r="E1344" s="93" t="s">
        <v>839</v>
      </c>
      <c r="F1344" s="93">
        <v>0.5145</v>
      </c>
      <c r="G1344" s="93">
        <v>0.01</v>
      </c>
      <c r="H1344" s="93">
        <v>0.005145</v>
      </c>
      <c r="I1344" s="93">
        <v>9.261</v>
      </c>
    </row>
    <row r="1345" spans="1:9">
      <c r="A1345" s="90"/>
      <c r="B1345" s="91" t="s">
        <v>985</v>
      </c>
      <c r="C1345" s="91" t="s">
        <v>984</v>
      </c>
      <c r="D1345" s="92" t="s">
        <v>986</v>
      </c>
      <c r="E1345" s="93" t="s">
        <v>215</v>
      </c>
      <c r="F1345" s="93">
        <v>4.532745</v>
      </c>
      <c r="G1345" s="93">
        <v>5.93</v>
      </c>
      <c r="H1345" s="93">
        <v>26.87917785</v>
      </c>
      <c r="I1345" s="93">
        <v>81.58941</v>
      </c>
    </row>
    <row r="1346" ht="25.5" spans="1:9">
      <c r="A1346" s="85" t="s">
        <v>2377</v>
      </c>
      <c r="B1346" s="85" t="s">
        <v>868</v>
      </c>
      <c r="C1346" s="85" t="s">
        <v>2378</v>
      </c>
      <c r="D1346" s="87" t="s">
        <v>869</v>
      </c>
      <c r="E1346" s="89" t="s">
        <v>494</v>
      </c>
      <c r="F1346" s="89">
        <v>2</v>
      </c>
      <c r="G1346" s="89">
        <v>180.33</v>
      </c>
      <c r="H1346" s="89">
        <v>360.66</v>
      </c>
      <c r="I1346" s="89">
        <v>2</v>
      </c>
    </row>
    <row r="1347" ht="38.25" spans="1:9">
      <c r="A1347" s="90"/>
      <c r="B1347" s="91" t="s">
        <v>1002</v>
      </c>
      <c r="C1347" s="91" t="s">
        <v>1068</v>
      </c>
      <c r="D1347" s="92" t="s">
        <v>2379</v>
      </c>
      <c r="E1347" s="93" t="s">
        <v>494</v>
      </c>
      <c r="F1347" s="93">
        <v>1</v>
      </c>
      <c r="G1347" s="93">
        <v>569580.71</v>
      </c>
      <c r="H1347" s="93">
        <v>35.0287807836604</v>
      </c>
      <c r="I1347" s="93">
        <v>2</v>
      </c>
    </row>
    <row r="1348" spans="1:9">
      <c r="A1348" s="90"/>
      <c r="B1348" s="90"/>
      <c r="C1348" s="90"/>
      <c r="D1348" s="92" t="s">
        <v>2380</v>
      </c>
      <c r="E1348" s="94"/>
      <c r="F1348" s="94"/>
      <c r="G1348" s="94"/>
      <c r="H1348" s="94"/>
      <c r="I1348" s="94"/>
    </row>
    <row r="1349" ht="51" spans="1:9">
      <c r="A1349" s="90"/>
      <c r="B1349" s="91" t="s">
        <v>1210</v>
      </c>
      <c r="C1349" s="91" t="s">
        <v>1209</v>
      </c>
      <c r="D1349" s="92" t="s">
        <v>1211</v>
      </c>
      <c r="E1349" s="93" t="s">
        <v>494</v>
      </c>
      <c r="F1349" s="93">
        <v>1</v>
      </c>
      <c r="G1349" s="93">
        <v>143450</v>
      </c>
      <c r="H1349" s="93">
        <v>11.477250884</v>
      </c>
      <c r="I1349" s="93">
        <v>2</v>
      </c>
    </row>
    <row r="1350" spans="1:9">
      <c r="A1350" s="90"/>
      <c r="B1350" s="91" t="s">
        <v>1007</v>
      </c>
      <c r="C1350" s="91" t="s">
        <v>1048</v>
      </c>
      <c r="D1350" s="92" t="s">
        <v>1049</v>
      </c>
      <c r="E1350" s="93" t="s">
        <v>839</v>
      </c>
      <c r="F1350" s="93">
        <v>1</v>
      </c>
      <c r="G1350" s="93">
        <v>1.5</v>
      </c>
      <c r="H1350" s="93">
        <v>4.6011</v>
      </c>
      <c r="I1350" s="93">
        <v>2</v>
      </c>
    </row>
    <row r="1351" spans="1:9">
      <c r="A1351" s="90"/>
      <c r="B1351" s="91" t="s">
        <v>1007</v>
      </c>
      <c r="C1351" s="91" t="s">
        <v>1006</v>
      </c>
      <c r="D1351" s="92" t="s">
        <v>1008</v>
      </c>
      <c r="E1351" s="93" t="s">
        <v>839</v>
      </c>
      <c r="F1351" s="93">
        <v>3.0674</v>
      </c>
      <c r="G1351" s="93">
        <v>3.95</v>
      </c>
      <c r="H1351" s="93">
        <v>12.11623</v>
      </c>
      <c r="I1351" s="93">
        <v>6.1348</v>
      </c>
    </row>
    <row r="1352" spans="1:9">
      <c r="A1352" s="90"/>
      <c r="B1352" s="91" t="s">
        <v>1453</v>
      </c>
      <c r="C1352" s="91" t="s">
        <v>1452</v>
      </c>
      <c r="D1352" s="92" t="s">
        <v>1454</v>
      </c>
      <c r="E1352" s="93" t="s">
        <v>839</v>
      </c>
      <c r="F1352" s="93">
        <v>0.494025694</v>
      </c>
      <c r="G1352" s="93">
        <v>15.35</v>
      </c>
      <c r="H1352" s="93">
        <v>7.5832944029</v>
      </c>
      <c r="I1352" s="93">
        <v>0.988051388</v>
      </c>
    </row>
    <row r="1353" spans="1:9">
      <c r="A1353" s="90"/>
      <c r="B1353" s="91" t="s">
        <v>1248</v>
      </c>
      <c r="C1353" s="91" t="s">
        <v>1247</v>
      </c>
      <c r="D1353" s="92" t="s">
        <v>1249</v>
      </c>
      <c r="E1353" s="93" t="s">
        <v>839</v>
      </c>
      <c r="F1353" s="93">
        <v>1.799686842</v>
      </c>
      <c r="G1353" s="93">
        <v>21.83</v>
      </c>
      <c r="H1353" s="93">
        <v>39.28716376086</v>
      </c>
      <c r="I1353" s="93">
        <v>3.599373684</v>
      </c>
    </row>
    <row r="1354" spans="1:9">
      <c r="A1354" s="90"/>
      <c r="B1354" s="91" t="s">
        <v>1023</v>
      </c>
      <c r="C1354" s="91" t="s">
        <v>1147</v>
      </c>
      <c r="D1354" s="92" t="s">
        <v>1148</v>
      </c>
      <c r="E1354" s="93" t="s">
        <v>839</v>
      </c>
      <c r="F1354" s="93">
        <v>0.827528454</v>
      </c>
      <c r="G1354" s="93">
        <v>23.07</v>
      </c>
      <c r="H1354" s="93">
        <v>19.09108143378</v>
      </c>
      <c r="I1354" s="93">
        <v>1.655056908</v>
      </c>
    </row>
    <row r="1355" spans="1:9">
      <c r="A1355" s="90"/>
      <c r="B1355" s="91" t="s">
        <v>1007</v>
      </c>
      <c r="C1355" s="91" t="s">
        <v>1378</v>
      </c>
      <c r="D1355" s="92" t="s">
        <v>1379</v>
      </c>
      <c r="E1355" s="93" t="s">
        <v>839</v>
      </c>
      <c r="F1355" s="93">
        <v>3.0674</v>
      </c>
      <c r="G1355" s="93">
        <v>0.08</v>
      </c>
      <c r="H1355" s="93">
        <v>0.245392</v>
      </c>
      <c r="I1355" s="93">
        <v>6.1348</v>
      </c>
    </row>
    <row r="1356" ht="25.5" spans="1:9">
      <c r="A1356" s="90"/>
      <c r="B1356" s="91" t="s">
        <v>1111</v>
      </c>
      <c r="C1356" s="91" t="s">
        <v>1558</v>
      </c>
      <c r="D1356" s="92" t="s">
        <v>1559</v>
      </c>
      <c r="E1356" s="93" t="s">
        <v>839</v>
      </c>
      <c r="F1356" s="93">
        <v>2.2532</v>
      </c>
      <c r="G1356" s="93">
        <v>1.13</v>
      </c>
      <c r="H1356" s="93">
        <v>2.546116</v>
      </c>
      <c r="I1356" s="93">
        <v>4.5064</v>
      </c>
    </row>
    <row r="1357" ht="25.5" spans="1:9">
      <c r="A1357" s="90"/>
      <c r="B1357" s="91" t="s">
        <v>1111</v>
      </c>
      <c r="C1357" s="91" t="s">
        <v>1287</v>
      </c>
      <c r="D1357" s="92" t="s">
        <v>1288</v>
      </c>
      <c r="E1357" s="93" t="s">
        <v>839</v>
      </c>
      <c r="F1357" s="93">
        <v>0.8142</v>
      </c>
      <c r="G1357" s="93">
        <v>0.89</v>
      </c>
      <c r="H1357" s="93">
        <v>0.724638</v>
      </c>
      <c r="I1357" s="93">
        <v>1.6284</v>
      </c>
    </row>
    <row r="1358" spans="1:9">
      <c r="A1358" s="90"/>
      <c r="B1358" s="91" t="s">
        <v>1007</v>
      </c>
      <c r="C1358" s="91" t="s">
        <v>1050</v>
      </c>
      <c r="D1358" s="92" t="s">
        <v>1051</v>
      </c>
      <c r="E1358" s="93" t="s">
        <v>839</v>
      </c>
      <c r="F1358" s="93">
        <v>3.0674</v>
      </c>
      <c r="G1358" s="93">
        <v>1.43</v>
      </c>
      <c r="H1358" s="93">
        <v>4.386382</v>
      </c>
      <c r="I1358" s="93">
        <v>6.1348</v>
      </c>
    </row>
    <row r="1359" ht="25.5" spans="1:9">
      <c r="A1359" s="90"/>
      <c r="B1359" s="91" t="s">
        <v>1111</v>
      </c>
      <c r="C1359" s="91" t="s">
        <v>1674</v>
      </c>
      <c r="D1359" s="92" t="s">
        <v>1675</v>
      </c>
      <c r="E1359" s="93" t="s">
        <v>839</v>
      </c>
      <c r="F1359" s="93">
        <v>2.2532</v>
      </c>
      <c r="G1359" s="93">
        <v>0.31</v>
      </c>
      <c r="H1359" s="93">
        <v>0.698492</v>
      </c>
      <c r="I1359" s="93">
        <v>4.5064</v>
      </c>
    </row>
    <row r="1360" ht="25.5" spans="1:9">
      <c r="A1360" s="90"/>
      <c r="B1360" s="91" t="s">
        <v>1111</v>
      </c>
      <c r="C1360" s="91" t="s">
        <v>1707</v>
      </c>
      <c r="D1360" s="92" t="s">
        <v>1708</v>
      </c>
      <c r="E1360" s="93" t="s">
        <v>839</v>
      </c>
      <c r="F1360" s="93">
        <v>0.8142</v>
      </c>
      <c r="G1360" s="93">
        <v>0.01</v>
      </c>
      <c r="H1360" s="93">
        <v>0.008142</v>
      </c>
      <c r="I1360" s="93">
        <v>1.6284</v>
      </c>
    </row>
    <row r="1361" spans="1:9">
      <c r="A1361" s="90"/>
      <c r="B1361" s="91" t="s">
        <v>985</v>
      </c>
      <c r="C1361" s="91" t="s">
        <v>984</v>
      </c>
      <c r="D1361" s="92" t="s">
        <v>986</v>
      </c>
      <c r="E1361" s="93" t="s">
        <v>215</v>
      </c>
      <c r="F1361" s="93">
        <v>7.173102</v>
      </c>
      <c r="G1361" s="93">
        <v>5.93</v>
      </c>
      <c r="H1361" s="93">
        <v>42.53649486</v>
      </c>
      <c r="I1361" s="93">
        <v>14.346204</v>
      </c>
    </row>
    <row r="1362" ht="25.5" spans="1:9">
      <c r="A1362" s="85" t="s">
        <v>2381</v>
      </c>
      <c r="B1362" s="85" t="s">
        <v>870</v>
      </c>
      <c r="C1362" s="85" t="s">
        <v>2382</v>
      </c>
      <c r="D1362" s="87" t="s">
        <v>871</v>
      </c>
      <c r="E1362" s="89" t="s">
        <v>494</v>
      </c>
      <c r="F1362" s="89">
        <v>21</v>
      </c>
      <c r="G1362" s="89">
        <v>300.61</v>
      </c>
      <c r="H1362" s="89">
        <v>6312.81</v>
      </c>
      <c r="I1362" s="89">
        <v>21</v>
      </c>
    </row>
    <row r="1363" ht="38.25" spans="1:9">
      <c r="A1363" s="90"/>
      <c r="B1363" s="91" t="s">
        <v>1002</v>
      </c>
      <c r="C1363" s="91" t="s">
        <v>1068</v>
      </c>
      <c r="D1363" s="92" t="s">
        <v>1069</v>
      </c>
      <c r="E1363" s="93" t="s">
        <v>494</v>
      </c>
      <c r="F1363" s="93">
        <v>1</v>
      </c>
      <c r="G1363" s="93">
        <v>569580.71</v>
      </c>
      <c r="H1363" s="93">
        <v>56.8798220020602</v>
      </c>
      <c r="I1363" s="93">
        <v>21</v>
      </c>
    </row>
    <row r="1364" ht="51" spans="1:9">
      <c r="A1364" s="90"/>
      <c r="B1364" s="91" t="s">
        <v>1210</v>
      </c>
      <c r="C1364" s="91" t="s">
        <v>1209</v>
      </c>
      <c r="D1364" s="92" t="s">
        <v>1211</v>
      </c>
      <c r="E1364" s="93" t="s">
        <v>494</v>
      </c>
      <c r="F1364" s="93">
        <v>1</v>
      </c>
      <c r="G1364" s="93">
        <v>143450</v>
      </c>
      <c r="H1364" s="93">
        <v>18.636788742</v>
      </c>
      <c r="I1364" s="93">
        <v>21</v>
      </c>
    </row>
    <row r="1365" spans="1:9">
      <c r="A1365" s="90"/>
      <c r="B1365" s="91" t="s">
        <v>1007</v>
      </c>
      <c r="C1365" s="91" t="s">
        <v>1048</v>
      </c>
      <c r="D1365" s="92" t="s">
        <v>1049</v>
      </c>
      <c r="E1365" s="93" t="s">
        <v>839</v>
      </c>
      <c r="F1365" s="93">
        <v>1</v>
      </c>
      <c r="G1365" s="93">
        <v>1.5</v>
      </c>
      <c r="H1365" s="93">
        <v>7.8714</v>
      </c>
      <c r="I1365" s="93">
        <v>21</v>
      </c>
    </row>
    <row r="1366" spans="1:9">
      <c r="A1366" s="90"/>
      <c r="B1366" s="91" t="s">
        <v>1007</v>
      </c>
      <c r="C1366" s="91" t="s">
        <v>1006</v>
      </c>
      <c r="D1366" s="92" t="s">
        <v>1008</v>
      </c>
      <c r="E1366" s="93" t="s">
        <v>839</v>
      </c>
      <c r="F1366" s="93">
        <v>5.2476</v>
      </c>
      <c r="G1366" s="93">
        <v>3.95</v>
      </c>
      <c r="H1366" s="93">
        <v>20.72802</v>
      </c>
      <c r="I1366" s="93">
        <v>110.1996</v>
      </c>
    </row>
    <row r="1367" spans="1:9">
      <c r="A1367" s="90"/>
      <c r="B1367" s="91" t="s">
        <v>1453</v>
      </c>
      <c r="C1367" s="91" t="s">
        <v>1452</v>
      </c>
      <c r="D1367" s="92" t="s">
        <v>1454</v>
      </c>
      <c r="E1367" s="93" t="s">
        <v>839</v>
      </c>
      <c r="F1367" s="93">
        <v>0.86070209</v>
      </c>
      <c r="G1367" s="93">
        <v>15.35</v>
      </c>
      <c r="H1367" s="93">
        <v>13.2117770815</v>
      </c>
      <c r="I1367" s="93">
        <v>18.07474389</v>
      </c>
    </row>
    <row r="1368" spans="1:9">
      <c r="A1368" s="90"/>
      <c r="B1368" s="91" t="s">
        <v>1248</v>
      </c>
      <c r="C1368" s="91" t="s">
        <v>1247</v>
      </c>
      <c r="D1368" s="92" t="s">
        <v>1249</v>
      </c>
      <c r="E1368" s="93" t="s">
        <v>839</v>
      </c>
      <c r="F1368" s="93">
        <v>3.1353784</v>
      </c>
      <c r="G1368" s="93">
        <v>21.83</v>
      </c>
      <c r="H1368" s="93">
        <v>68.445310472</v>
      </c>
      <c r="I1368" s="93">
        <v>65.8429464</v>
      </c>
    </row>
    <row r="1369" spans="1:9">
      <c r="A1369" s="90"/>
      <c r="B1369" s="91" t="s">
        <v>1023</v>
      </c>
      <c r="C1369" s="91" t="s">
        <v>1147</v>
      </c>
      <c r="D1369" s="92" t="s">
        <v>1148</v>
      </c>
      <c r="E1369" s="93" t="s">
        <v>839</v>
      </c>
      <c r="F1369" s="93">
        <v>1.343742777</v>
      </c>
      <c r="G1369" s="93">
        <v>23.07</v>
      </c>
      <c r="H1369" s="93">
        <v>31.00014586539</v>
      </c>
      <c r="I1369" s="93">
        <v>28.218598317</v>
      </c>
    </row>
    <row r="1370" spans="1:9">
      <c r="A1370" s="90"/>
      <c r="B1370" s="91" t="s">
        <v>1007</v>
      </c>
      <c r="C1370" s="91" t="s">
        <v>1378</v>
      </c>
      <c r="D1370" s="92" t="s">
        <v>1379</v>
      </c>
      <c r="E1370" s="93" t="s">
        <v>839</v>
      </c>
      <c r="F1370" s="93">
        <v>5.2476</v>
      </c>
      <c r="G1370" s="93">
        <v>0.08</v>
      </c>
      <c r="H1370" s="93">
        <v>0.419808</v>
      </c>
      <c r="I1370" s="93">
        <v>110.1996</v>
      </c>
    </row>
    <row r="1371" ht="25.5" spans="1:9">
      <c r="A1371" s="90"/>
      <c r="B1371" s="91" t="s">
        <v>1111</v>
      </c>
      <c r="C1371" s="91" t="s">
        <v>1558</v>
      </c>
      <c r="D1371" s="92" t="s">
        <v>1559</v>
      </c>
      <c r="E1371" s="93" t="s">
        <v>839</v>
      </c>
      <c r="F1371" s="93">
        <v>3.9255</v>
      </c>
      <c r="G1371" s="93">
        <v>1.13</v>
      </c>
      <c r="H1371" s="93">
        <v>4.435815</v>
      </c>
      <c r="I1371" s="93">
        <v>82.4355</v>
      </c>
    </row>
    <row r="1372" ht="25.5" spans="1:9">
      <c r="A1372" s="90"/>
      <c r="B1372" s="91" t="s">
        <v>1111</v>
      </c>
      <c r="C1372" s="91" t="s">
        <v>1287</v>
      </c>
      <c r="D1372" s="92" t="s">
        <v>1288</v>
      </c>
      <c r="E1372" s="93" t="s">
        <v>839</v>
      </c>
      <c r="F1372" s="93">
        <v>1.3221</v>
      </c>
      <c r="G1372" s="93">
        <v>0.89</v>
      </c>
      <c r="H1372" s="93">
        <v>1.176669</v>
      </c>
      <c r="I1372" s="93">
        <v>27.7641</v>
      </c>
    </row>
    <row r="1373" spans="1:9">
      <c r="A1373" s="90"/>
      <c r="B1373" s="91" t="s">
        <v>1007</v>
      </c>
      <c r="C1373" s="91" t="s">
        <v>1050</v>
      </c>
      <c r="D1373" s="92" t="s">
        <v>1051</v>
      </c>
      <c r="E1373" s="93" t="s">
        <v>839</v>
      </c>
      <c r="F1373" s="93">
        <v>5.2476</v>
      </c>
      <c r="G1373" s="93">
        <v>1.43</v>
      </c>
      <c r="H1373" s="93">
        <v>7.504068</v>
      </c>
      <c r="I1373" s="93">
        <v>110.1996</v>
      </c>
    </row>
    <row r="1374" ht="25.5" spans="1:9">
      <c r="A1374" s="90"/>
      <c r="B1374" s="91" t="s">
        <v>1111</v>
      </c>
      <c r="C1374" s="91" t="s">
        <v>1674</v>
      </c>
      <c r="D1374" s="92" t="s">
        <v>1675</v>
      </c>
      <c r="E1374" s="93" t="s">
        <v>839</v>
      </c>
      <c r="F1374" s="93">
        <v>3.9255</v>
      </c>
      <c r="G1374" s="93">
        <v>0.31</v>
      </c>
      <c r="H1374" s="93">
        <v>1.216905</v>
      </c>
      <c r="I1374" s="93">
        <v>82.4355</v>
      </c>
    </row>
    <row r="1375" ht="25.5" spans="1:9">
      <c r="A1375" s="90"/>
      <c r="B1375" s="91" t="s">
        <v>1111</v>
      </c>
      <c r="C1375" s="91" t="s">
        <v>1707</v>
      </c>
      <c r="D1375" s="92" t="s">
        <v>1708</v>
      </c>
      <c r="E1375" s="93" t="s">
        <v>839</v>
      </c>
      <c r="F1375" s="93">
        <v>1.3221</v>
      </c>
      <c r="G1375" s="93">
        <v>0.01</v>
      </c>
      <c r="H1375" s="93">
        <v>0.013221</v>
      </c>
      <c r="I1375" s="93">
        <v>27.7641</v>
      </c>
    </row>
    <row r="1376" spans="1:9">
      <c r="A1376" s="90"/>
      <c r="B1376" s="91" t="s">
        <v>985</v>
      </c>
      <c r="C1376" s="91" t="s">
        <v>984</v>
      </c>
      <c r="D1376" s="92" t="s">
        <v>986</v>
      </c>
      <c r="E1376" s="93" t="s">
        <v>215</v>
      </c>
      <c r="F1376" s="93">
        <v>11.647701</v>
      </c>
      <c r="G1376" s="93">
        <v>5.93</v>
      </c>
      <c r="H1376" s="93">
        <v>69.07086693</v>
      </c>
      <c r="I1376" s="93">
        <v>244.601721</v>
      </c>
    </row>
    <row r="1377" ht="25.5" spans="1:9">
      <c r="A1377" s="85" t="s">
        <v>2383</v>
      </c>
      <c r="B1377" s="85" t="s">
        <v>872</v>
      </c>
      <c r="C1377" s="85" t="s">
        <v>2384</v>
      </c>
      <c r="D1377" s="87" t="s">
        <v>873</v>
      </c>
      <c r="E1377" s="89" t="s">
        <v>494</v>
      </c>
      <c r="F1377" s="89">
        <v>6</v>
      </c>
      <c r="G1377" s="89">
        <v>445.54</v>
      </c>
      <c r="H1377" s="89">
        <v>2673.24</v>
      </c>
      <c r="I1377" s="89">
        <v>6</v>
      </c>
    </row>
    <row r="1378" ht="38.25" spans="1:9">
      <c r="A1378" s="90"/>
      <c r="B1378" s="91" t="s">
        <v>1002</v>
      </c>
      <c r="C1378" s="91" t="s">
        <v>1068</v>
      </c>
      <c r="D1378" s="92" t="s">
        <v>1069</v>
      </c>
      <c r="E1378" s="93" t="s">
        <v>494</v>
      </c>
      <c r="F1378" s="93">
        <v>1</v>
      </c>
      <c r="G1378" s="93">
        <v>569580.71</v>
      </c>
      <c r="H1378" s="93">
        <v>83.2094877348042</v>
      </c>
      <c r="I1378" s="93">
        <v>6</v>
      </c>
    </row>
    <row r="1379" ht="51" spans="1:9">
      <c r="A1379" s="90"/>
      <c r="B1379" s="91" t="s">
        <v>1210</v>
      </c>
      <c r="C1379" s="91" t="s">
        <v>1209</v>
      </c>
      <c r="D1379" s="92" t="s">
        <v>1211</v>
      </c>
      <c r="E1379" s="93" t="s">
        <v>494</v>
      </c>
      <c r="F1379" s="93">
        <v>1</v>
      </c>
      <c r="G1379" s="93">
        <v>143450</v>
      </c>
      <c r="H1379" s="93">
        <v>27.263756982</v>
      </c>
      <c r="I1379" s="93">
        <v>6</v>
      </c>
    </row>
    <row r="1380" spans="1:9">
      <c r="A1380" s="90"/>
      <c r="B1380" s="91" t="s">
        <v>1007</v>
      </c>
      <c r="C1380" s="91" t="s">
        <v>1048</v>
      </c>
      <c r="D1380" s="92" t="s">
        <v>1049</v>
      </c>
      <c r="E1380" s="93" t="s">
        <v>839</v>
      </c>
      <c r="F1380" s="93">
        <v>1</v>
      </c>
      <c r="G1380" s="93">
        <v>1.5</v>
      </c>
      <c r="H1380" s="93">
        <v>11.81205</v>
      </c>
      <c r="I1380" s="93">
        <v>6</v>
      </c>
    </row>
    <row r="1381" spans="1:9">
      <c r="A1381" s="90"/>
      <c r="B1381" s="91" t="s">
        <v>1007</v>
      </c>
      <c r="C1381" s="91" t="s">
        <v>1006</v>
      </c>
      <c r="D1381" s="92" t="s">
        <v>1008</v>
      </c>
      <c r="E1381" s="93" t="s">
        <v>839</v>
      </c>
      <c r="F1381" s="93">
        <v>7.8747</v>
      </c>
      <c r="G1381" s="93">
        <v>3.95</v>
      </c>
      <c r="H1381" s="93">
        <v>31.105065</v>
      </c>
      <c r="I1381" s="93">
        <v>47.2482</v>
      </c>
    </row>
    <row r="1382" spans="1:9">
      <c r="A1382" s="90"/>
      <c r="B1382" s="91" t="s">
        <v>1453</v>
      </c>
      <c r="C1382" s="91" t="s">
        <v>1452</v>
      </c>
      <c r="D1382" s="92" t="s">
        <v>1454</v>
      </c>
      <c r="E1382" s="93" t="s">
        <v>839</v>
      </c>
      <c r="F1382" s="93">
        <v>1.30250541</v>
      </c>
      <c r="G1382" s="93">
        <v>15.35</v>
      </c>
      <c r="H1382" s="93">
        <v>19.9934580435</v>
      </c>
      <c r="I1382" s="93">
        <v>7.81503246</v>
      </c>
    </row>
    <row r="1383" spans="1:9">
      <c r="A1383" s="90"/>
      <c r="B1383" s="91" t="s">
        <v>1248</v>
      </c>
      <c r="C1383" s="91" t="s">
        <v>1247</v>
      </c>
      <c r="D1383" s="92" t="s">
        <v>1249</v>
      </c>
      <c r="E1383" s="93" t="s">
        <v>839</v>
      </c>
      <c r="F1383" s="93">
        <v>4.744906578</v>
      </c>
      <c r="G1383" s="93">
        <v>21.83</v>
      </c>
      <c r="H1383" s="93">
        <v>103.58131059774</v>
      </c>
      <c r="I1383" s="93">
        <v>28.469439468</v>
      </c>
    </row>
    <row r="1384" spans="1:9">
      <c r="A1384" s="90"/>
      <c r="B1384" s="91" t="s">
        <v>1023</v>
      </c>
      <c r="C1384" s="91" t="s">
        <v>1147</v>
      </c>
      <c r="D1384" s="92" t="s">
        <v>1148</v>
      </c>
      <c r="E1384" s="93" t="s">
        <v>839</v>
      </c>
      <c r="F1384" s="93">
        <v>1.965761217</v>
      </c>
      <c r="G1384" s="93">
        <v>23.07</v>
      </c>
      <c r="H1384" s="93">
        <v>45.35011127619</v>
      </c>
      <c r="I1384" s="93">
        <v>11.794567302</v>
      </c>
    </row>
    <row r="1385" spans="1:9">
      <c r="A1385" s="90"/>
      <c r="B1385" s="91" t="s">
        <v>1007</v>
      </c>
      <c r="C1385" s="91" t="s">
        <v>1378</v>
      </c>
      <c r="D1385" s="92" t="s">
        <v>1379</v>
      </c>
      <c r="E1385" s="93" t="s">
        <v>839</v>
      </c>
      <c r="F1385" s="93">
        <v>7.8747</v>
      </c>
      <c r="G1385" s="93">
        <v>0.08</v>
      </c>
      <c r="H1385" s="93">
        <v>0.629976</v>
      </c>
      <c r="I1385" s="93">
        <v>47.2482</v>
      </c>
    </row>
    <row r="1386" ht="25.5" spans="1:9">
      <c r="A1386" s="90"/>
      <c r="B1386" s="91" t="s">
        <v>1111</v>
      </c>
      <c r="C1386" s="91" t="s">
        <v>1558</v>
      </c>
      <c r="D1386" s="92" t="s">
        <v>1559</v>
      </c>
      <c r="E1386" s="93" t="s">
        <v>839</v>
      </c>
      <c r="F1386" s="93">
        <v>5.9406</v>
      </c>
      <c r="G1386" s="93">
        <v>1.13</v>
      </c>
      <c r="H1386" s="93">
        <v>6.712878</v>
      </c>
      <c r="I1386" s="93">
        <v>35.6436</v>
      </c>
    </row>
    <row r="1387" ht="25.5" spans="1:9">
      <c r="A1387" s="90"/>
      <c r="B1387" s="91" t="s">
        <v>1111</v>
      </c>
      <c r="C1387" s="91" t="s">
        <v>1287</v>
      </c>
      <c r="D1387" s="92" t="s">
        <v>1288</v>
      </c>
      <c r="E1387" s="93" t="s">
        <v>839</v>
      </c>
      <c r="F1387" s="93">
        <v>1.9341</v>
      </c>
      <c r="G1387" s="93">
        <v>0.89</v>
      </c>
      <c r="H1387" s="93">
        <v>1.721349</v>
      </c>
      <c r="I1387" s="93">
        <v>11.6046</v>
      </c>
    </row>
    <row r="1388" spans="1:9">
      <c r="A1388" s="90"/>
      <c r="B1388" s="91" t="s">
        <v>1007</v>
      </c>
      <c r="C1388" s="91" t="s">
        <v>1050</v>
      </c>
      <c r="D1388" s="92" t="s">
        <v>1051</v>
      </c>
      <c r="E1388" s="93" t="s">
        <v>839</v>
      </c>
      <c r="F1388" s="93">
        <v>7.8747</v>
      </c>
      <c r="G1388" s="93">
        <v>1.43</v>
      </c>
      <c r="H1388" s="93">
        <v>11.260821</v>
      </c>
      <c r="I1388" s="93">
        <v>47.2482</v>
      </c>
    </row>
    <row r="1389" ht="25.5" spans="1:9">
      <c r="A1389" s="90"/>
      <c r="B1389" s="91" t="s">
        <v>1111</v>
      </c>
      <c r="C1389" s="91" t="s">
        <v>1674</v>
      </c>
      <c r="D1389" s="92" t="s">
        <v>1675</v>
      </c>
      <c r="E1389" s="93" t="s">
        <v>839</v>
      </c>
      <c r="F1389" s="93">
        <v>5.9406</v>
      </c>
      <c r="G1389" s="93">
        <v>0.31</v>
      </c>
      <c r="H1389" s="93">
        <v>1.841586</v>
      </c>
      <c r="I1389" s="93">
        <v>35.6436</v>
      </c>
    </row>
    <row r="1390" ht="25.5" spans="1:9">
      <c r="A1390" s="90"/>
      <c r="B1390" s="91" t="s">
        <v>1111</v>
      </c>
      <c r="C1390" s="91" t="s">
        <v>1707</v>
      </c>
      <c r="D1390" s="92" t="s">
        <v>1708</v>
      </c>
      <c r="E1390" s="93" t="s">
        <v>839</v>
      </c>
      <c r="F1390" s="93">
        <v>1.9341</v>
      </c>
      <c r="G1390" s="93">
        <v>0.01</v>
      </c>
      <c r="H1390" s="93">
        <v>0.019341</v>
      </c>
      <c r="I1390" s="93">
        <v>11.6046</v>
      </c>
    </row>
    <row r="1391" spans="1:9">
      <c r="A1391" s="90"/>
      <c r="B1391" s="91" t="s">
        <v>985</v>
      </c>
      <c r="C1391" s="91" t="s">
        <v>984</v>
      </c>
      <c r="D1391" s="92" t="s">
        <v>986</v>
      </c>
      <c r="E1391" s="93" t="s">
        <v>215</v>
      </c>
      <c r="F1391" s="93">
        <v>17.039421</v>
      </c>
      <c r="G1391" s="93">
        <v>5.93</v>
      </c>
      <c r="H1391" s="93">
        <v>101.04376653</v>
      </c>
      <c r="I1391" s="93">
        <v>102.236526</v>
      </c>
    </row>
    <row r="1392" ht="25.5" spans="1:9">
      <c r="A1392" s="85" t="s">
        <v>2385</v>
      </c>
      <c r="B1392" s="85" t="s">
        <v>874</v>
      </c>
      <c r="C1392" s="85" t="s">
        <v>2386</v>
      </c>
      <c r="D1392" s="87" t="s">
        <v>875</v>
      </c>
      <c r="E1392" s="89" t="s">
        <v>494</v>
      </c>
      <c r="F1392" s="89">
        <v>8</v>
      </c>
      <c r="G1392" s="89">
        <v>50.18</v>
      </c>
      <c r="H1392" s="89">
        <v>401.44</v>
      </c>
      <c r="I1392" s="89">
        <v>8</v>
      </c>
    </row>
    <row r="1393" ht="38.25" spans="1:9">
      <c r="A1393" s="90"/>
      <c r="B1393" s="91" t="s">
        <v>1002</v>
      </c>
      <c r="C1393" s="91" t="s">
        <v>1068</v>
      </c>
      <c r="D1393" s="92" t="s">
        <v>1069</v>
      </c>
      <c r="E1393" s="93" t="s">
        <v>494</v>
      </c>
      <c r="F1393" s="93">
        <v>1</v>
      </c>
      <c r="G1393" s="93">
        <v>569580.71</v>
      </c>
      <c r="H1393" s="93">
        <v>11.3837084197452</v>
      </c>
      <c r="I1393" s="93">
        <v>8</v>
      </c>
    </row>
    <row r="1394" ht="51" spans="1:9">
      <c r="A1394" s="90"/>
      <c r="B1394" s="91" t="s">
        <v>1210</v>
      </c>
      <c r="C1394" s="91" t="s">
        <v>1209</v>
      </c>
      <c r="D1394" s="92" t="s">
        <v>1211</v>
      </c>
      <c r="E1394" s="93" t="s">
        <v>494</v>
      </c>
      <c r="F1394" s="93">
        <v>1</v>
      </c>
      <c r="G1394" s="93">
        <v>143450</v>
      </c>
      <c r="H1394" s="93">
        <v>3.729895092</v>
      </c>
      <c r="I1394" s="93">
        <v>8</v>
      </c>
    </row>
    <row r="1395" spans="1:9">
      <c r="A1395" s="90"/>
      <c r="B1395" s="91" t="s">
        <v>1007</v>
      </c>
      <c r="C1395" s="91" t="s">
        <v>1048</v>
      </c>
      <c r="D1395" s="92" t="s">
        <v>1049</v>
      </c>
      <c r="E1395" s="93" t="s">
        <v>839</v>
      </c>
      <c r="F1395" s="93">
        <v>1</v>
      </c>
      <c r="G1395" s="93">
        <v>1.5</v>
      </c>
      <c r="H1395" s="93">
        <v>1.0626</v>
      </c>
      <c r="I1395" s="93">
        <v>8</v>
      </c>
    </row>
    <row r="1396" spans="1:9">
      <c r="A1396" s="90"/>
      <c r="B1396" s="91" t="s">
        <v>1007</v>
      </c>
      <c r="C1396" s="91" t="s">
        <v>1006</v>
      </c>
      <c r="D1396" s="92" t="s">
        <v>1008</v>
      </c>
      <c r="E1396" s="93" t="s">
        <v>839</v>
      </c>
      <c r="F1396" s="93">
        <v>0.7084</v>
      </c>
      <c r="G1396" s="93">
        <v>3.95</v>
      </c>
      <c r="H1396" s="93">
        <v>2.79818</v>
      </c>
      <c r="I1396" s="93">
        <v>5.6672</v>
      </c>
    </row>
    <row r="1397" spans="1:9">
      <c r="A1397" s="90"/>
      <c r="B1397" s="91" t="s">
        <v>1453</v>
      </c>
      <c r="C1397" s="91" t="s">
        <v>1452</v>
      </c>
      <c r="D1397" s="92" t="s">
        <v>1454</v>
      </c>
      <c r="E1397" s="93" t="s">
        <v>839</v>
      </c>
      <c r="F1397" s="93">
        <v>0.097318888</v>
      </c>
      <c r="G1397" s="93">
        <v>15.35</v>
      </c>
      <c r="H1397" s="93">
        <v>1.4938449308</v>
      </c>
      <c r="I1397" s="93">
        <v>0.778551104</v>
      </c>
    </row>
    <row r="1398" spans="1:9">
      <c r="A1398" s="90"/>
      <c r="B1398" s="91" t="s">
        <v>1248</v>
      </c>
      <c r="C1398" s="91" t="s">
        <v>1247</v>
      </c>
      <c r="D1398" s="92" t="s">
        <v>1249</v>
      </c>
      <c r="E1398" s="93" t="s">
        <v>839</v>
      </c>
      <c r="F1398" s="93">
        <v>0.354460636</v>
      </c>
      <c r="G1398" s="93">
        <v>21.83</v>
      </c>
      <c r="H1398" s="93">
        <v>7.73787568388</v>
      </c>
      <c r="I1398" s="93">
        <v>2.835685088</v>
      </c>
    </row>
    <row r="1399" spans="1:9">
      <c r="A1399" s="90"/>
      <c r="B1399" s="91" t="s">
        <v>1023</v>
      </c>
      <c r="C1399" s="91" t="s">
        <v>1147</v>
      </c>
      <c r="D1399" s="92" t="s">
        <v>1148</v>
      </c>
      <c r="E1399" s="93" t="s">
        <v>839</v>
      </c>
      <c r="F1399" s="93">
        <v>0.268931502</v>
      </c>
      <c r="G1399" s="93">
        <v>23.07</v>
      </c>
      <c r="H1399" s="93">
        <v>6.20424975114</v>
      </c>
      <c r="I1399" s="93">
        <v>2.151452016</v>
      </c>
    </row>
    <row r="1400" spans="1:9">
      <c r="A1400" s="90"/>
      <c r="B1400" s="91" t="s">
        <v>1007</v>
      </c>
      <c r="C1400" s="91" t="s">
        <v>1378</v>
      </c>
      <c r="D1400" s="92" t="s">
        <v>1379</v>
      </c>
      <c r="E1400" s="93" t="s">
        <v>839</v>
      </c>
      <c r="F1400" s="93">
        <v>0.7084</v>
      </c>
      <c r="G1400" s="93">
        <v>0.08</v>
      </c>
      <c r="H1400" s="93">
        <v>0.056672</v>
      </c>
      <c r="I1400" s="93">
        <v>5.6672</v>
      </c>
    </row>
    <row r="1401" ht="25.5" spans="1:9">
      <c r="A1401" s="90"/>
      <c r="B1401" s="91" t="s">
        <v>1111</v>
      </c>
      <c r="C1401" s="91" t="s">
        <v>1558</v>
      </c>
      <c r="D1401" s="92" t="s">
        <v>1559</v>
      </c>
      <c r="E1401" s="93" t="s">
        <v>839</v>
      </c>
      <c r="F1401" s="93">
        <v>0.4438</v>
      </c>
      <c r="G1401" s="93">
        <v>1.13</v>
      </c>
      <c r="H1401" s="93">
        <v>0.501494</v>
      </c>
      <c r="I1401" s="93">
        <v>3.5504</v>
      </c>
    </row>
    <row r="1402" ht="25.5" spans="1:9">
      <c r="A1402" s="90"/>
      <c r="B1402" s="91" t="s">
        <v>1111</v>
      </c>
      <c r="C1402" s="91" t="s">
        <v>1287</v>
      </c>
      <c r="D1402" s="92" t="s">
        <v>1288</v>
      </c>
      <c r="E1402" s="93" t="s">
        <v>839</v>
      </c>
      <c r="F1402" s="93">
        <v>0.2646</v>
      </c>
      <c r="G1402" s="93">
        <v>0.89</v>
      </c>
      <c r="H1402" s="93">
        <v>0.235494</v>
      </c>
      <c r="I1402" s="93">
        <v>2.1168</v>
      </c>
    </row>
    <row r="1403" spans="1:9">
      <c r="A1403" s="90"/>
      <c r="B1403" s="91" t="s">
        <v>1007</v>
      </c>
      <c r="C1403" s="91" t="s">
        <v>1050</v>
      </c>
      <c r="D1403" s="92" t="s">
        <v>1051</v>
      </c>
      <c r="E1403" s="93" t="s">
        <v>839</v>
      </c>
      <c r="F1403" s="93">
        <v>0.7084</v>
      </c>
      <c r="G1403" s="93">
        <v>1.43</v>
      </c>
      <c r="H1403" s="93">
        <v>1.013012</v>
      </c>
      <c r="I1403" s="93">
        <v>5.6672</v>
      </c>
    </row>
    <row r="1404" ht="25.5" spans="1:9">
      <c r="A1404" s="90"/>
      <c r="B1404" s="91" t="s">
        <v>1111</v>
      </c>
      <c r="C1404" s="91" t="s">
        <v>1674</v>
      </c>
      <c r="D1404" s="92" t="s">
        <v>1675</v>
      </c>
      <c r="E1404" s="93" t="s">
        <v>839</v>
      </c>
      <c r="F1404" s="93">
        <v>0.4438</v>
      </c>
      <c r="G1404" s="93">
        <v>0.31</v>
      </c>
      <c r="H1404" s="93">
        <v>0.137578</v>
      </c>
      <c r="I1404" s="93">
        <v>3.5504</v>
      </c>
    </row>
    <row r="1405" ht="25.5" spans="1:9">
      <c r="A1405" s="90"/>
      <c r="B1405" s="91" t="s">
        <v>1111</v>
      </c>
      <c r="C1405" s="91" t="s">
        <v>1707</v>
      </c>
      <c r="D1405" s="92" t="s">
        <v>1708</v>
      </c>
      <c r="E1405" s="93" t="s">
        <v>839</v>
      </c>
      <c r="F1405" s="93">
        <v>0.2646</v>
      </c>
      <c r="G1405" s="93">
        <v>0.01</v>
      </c>
      <c r="H1405" s="93">
        <v>0.002646</v>
      </c>
      <c r="I1405" s="93">
        <v>2.1168</v>
      </c>
    </row>
    <row r="1406" spans="1:9">
      <c r="A1406" s="90"/>
      <c r="B1406" s="91" t="s">
        <v>985</v>
      </c>
      <c r="C1406" s="91" t="s">
        <v>984</v>
      </c>
      <c r="D1406" s="92" t="s">
        <v>986</v>
      </c>
      <c r="E1406" s="93" t="s">
        <v>215</v>
      </c>
      <c r="F1406" s="93">
        <v>2.331126</v>
      </c>
      <c r="G1406" s="93">
        <v>5.93</v>
      </c>
      <c r="H1406" s="93">
        <v>13.82357718</v>
      </c>
      <c r="I1406" s="93">
        <v>18.649008</v>
      </c>
    </row>
    <row r="1407" ht="25.5" spans="1:9">
      <c r="A1407" s="85" t="s">
        <v>2387</v>
      </c>
      <c r="B1407" s="85" t="s">
        <v>876</v>
      </c>
      <c r="C1407" s="85" t="s">
        <v>2388</v>
      </c>
      <c r="D1407" s="87" t="s">
        <v>877</v>
      </c>
      <c r="E1407" s="89" t="s">
        <v>494</v>
      </c>
      <c r="F1407" s="89">
        <v>6</v>
      </c>
      <c r="G1407" s="89">
        <v>441.78</v>
      </c>
      <c r="H1407" s="89">
        <v>2650.68</v>
      </c>
      <c r="I1407" s="89">
        <v>6</v>
      </c>
    </row>
    <row r="1408" ht="38.25" spans="1:9">
      <c r="A1408" s="90"/>
      <c r="B1408" s="91" t="s">
        <v>1002</v>
      </c>
      <c r="C1408" s="91" t="s">
        <v>1068</v>
      </c>
      <c r="D1408" s="92" t="s">
        <v>1069</v>
      </c>
      <c r="E1408" s="93" t="s">
        <v>494</v>
      </c>
      <c r="F1408" s="93">
        <v>1</v>
      </c>
      <c r="G1408" s="93">
        <v>569580.71</v>
      </c>
      <c r="H1408" s="93">
        <v>82.5254326937084</v>
      </c>
      <c r="I1408" s="93">
        <v>6</v>
      </c>
    </row>
    <row r="1409" ht="51" spans="1:9">
      <c r="A1409" s="90"/>
      <c r="B1409" s="91" t="s">
        <v>1210</v>
      </c>
      <c r="C1409" s="91" t="s">
        <v>1209</v>
      </c>
      <c r="D1409" s="92" t="s">
        <v>1211</v>
      </c>
      <c r="E1409" s="93" t="s">
        <v>494</v>
      </c>
      <c r="F1409" s="93">
        <v>1</v>
      </c>
      <c r="G1409" s="93">
        <v>143450</v>
      </c>
      <c r="H1409" s="93">
        <v>27.039624964</v>
      </c>
      <c r="I1409" s="93">
        <v>6</v>
      </c>
    </row>
    <row r="1410" spans="1:9">
      <c r="A1410" s="90"/>
      <c r="B1410" s="91" t="s">
        <v>1007</v>
      </c>
      <c r="C1410" s="91" t="s">
        <v>1048</v>
      </c>
      <c r="D1410" s="92" t="s">
        <v>1049</v>
      </c>
      <c r="E1410" s="93" t="s">
        <v>839</v>
      </c>
      <c r="F1410" s="93">
        <v>1</v>
      </c>
      <c r="G1410" s="93">
        <v>1.5</v>
      </c>
      <c r="H1410" s="93">
        <v>11.7099</v>
      </c>
      <c r="I1410" s="93">
        <v>6</v>
      </c>
    </row>
    <row r="1411" spans="1:9">
      <c r="A1411" s="90"/>
      <c r="B1411" s="91" t="s">
        <v>1007</v>
      </c>
      <c r="C1411" s="91" t="s">
        <v>1006</v>
      </c>
      <c r="D1411" s="92" t="s">
        <v>1008</v>
      </c>
      <c r="E1411" s="93" t="s">
        <v>839</v>
      </c>
      <c r="F1411" s="93">
        <v>7.8066</v>
      </c>
      <c r="G1411" s="93">
        <v>3.95</v>
      </c>
      <c r="H1411" s="93">
        <v>30.83607</v>
      </c>
      <c r="I1411" s="93">
        <v>46.8396</v>
      </c>
    </row>
    <row r="1412" spans="1:9">
      <c r="A1412" s="90"/>
      <c r="B1412" s="91" t="s">
        <v>1453</v>
      </c>
      <c r="C1412" s="91" t="s">
        <v>1452</v>
      </c>
      <c r="D1412" s="92" t="s">
        <v>1454</v>
      </c>
      <c r="E1412" s="93" t="s">
        <v>839</v>
      </c>
      <c r="F1412" s="93">
        <v>1.291104034</v>
      </c>
      <c r="G1412" s="93">
        <v>15.35</v>
      </c>
      <c r="H1412" s="93">
        <v>19.8184469219</v>
      </c>
      <c r="I1412" s="93">
        <v>7.746624204</v>
      </c>
    </row>
    <row r="1413" spans="1:9">
      <c r="A1413" s="90"/>
      <c r="B1413" s="91" t="s">
        <v>1248</v>
      </c>
      <c r="C1413" s="91" t="s">
        <v>1247</v>
      </c>
      <c r="D1413" s="92" t="s">
        <v>1249</v>
      </c>
      <c r="E1413" s="93" t="s">
        <v>839</v>
      </c>
      <c r="F1413" s="93">
        <v>4.703169398</v>
      </c>
      <c r="G1413" s="93">
        <v>21.83</v>
      </c>
      <c r="H1413" s="93">
        <v>102.67018795834</v>
      </c>
      <c r="I1413" s="93">
        <v>28.219016388</v>
      </c>
    </row>
    <row r="1414" spans="1:9">
      <c r="A1414" s="90"/>
      <c r="B1414" s="91" t="s">
        <v>1023</v>
      </c>
      <c r="C1414" s="91" t="s">
        <v>1147</v>
      </c>
      <c r="D1414" s="92" t="s">
        <v>1148</v>
      </c>
      <c r="E1414" s="93" t="s">
        <v>839</v>
      </c>
      <c r="F1414" s="93">
        <v>1.949600934</v>
      </c>
      <c r="G1414" s="93">
        <v>23.07</v>
      </c>
      <c r="H1414" s="93">
        <v>44.97729354738</v>
      </c>
      <c r="I1414" s="93">
        <v>11.697605604</v>
      </c>
    </row>
    <row r="1415" spans="1:9">
      <c r="A1415" s="90"/>
      <c r="B1415" s="91" t="s">
        <v>1007</v>
      </c>
      <c r="C1415" s="91" t="s">
        <v>1378</v>
      </c>
      <c r="D1415" s="92" t="s">
        <v>1379</v>
      </c>
      <c r="E1415" s="93" t="s">
        <v>839</v>
      </c>
      <c r="F1415" s="93">
        <v>7.8066</v>
      </c>
      <c r="G1415" s="93">
        <v>0.08</v>
      </c>
      <c r="H1415" s="93">
        <v>0.624528</v>
      </c>
      <c r="I1415" s="93">
        <v>46.8396</v>
      </c>
    </row>
    <row r="1416" ht="25.5" spans="1:9">
      <c r="A1416" s="90"/>
      <c r="B1416" s="91" t="s">
        <v>1111</v>
      </c>
      <c r="C1416" s="91" t="s">
        <v>1558</v>
      </c>
      <c r="D1416" s="92" t="s">
        <v>1559</v>
      </c>
      <c r="E1416" s="93" t="s">
        <v>839</v>
      </c>
      <c r="F1416" s="93">
        <v>5.8884</v>
      </c>
      <c r="G1416" s="93">
        <v>1.13</v>
      </c>
      <c r="H1416" s="93">
        <v>6.653892</v>
      </c>
      <c r="I1416" s="93">
        <v>35.3304</v>
      </c>
    </row>
    <row r="1417" ht="25.5" spans="1:9">
      <c r="A1417" s="90"/>
      <c r="B1417" s="91" t="s">
        <v>1111</v>
      </c>
      <c r="C1417" s="91" t="s">
        <v>1287</v>
      </c>
      <c r="D1417" s="92" t="s">
        <v>1288</v>
      </c>
      <c r="E1417" s="93" t="s">
        <v>839</v>
      </c>
      <c r="F1417" s="93">
        <v>1.9182</v>
      </c>
      <c r="G1417" s="93">
        <v>0.89</v>
      </c>
      <c r="H1417" s="93">
        <v>1.707198</v>
      </c>
      <c r="I1417" s="93">
        <v>11.5092</v>
      </c>
    </row>
    <row r="1418" spans="1:9">
      <c r="A1418" s="90"/>
      <c r="B1418" s="91" t="s">
        <v>1007</v>
      </c>
      <c r="C1418" s="91" t="s">
        <v>1050</v>
      </c>
      <c r="D1418" s="92" t="s">
        <v>1051</v>
      </c>
      <c r="E1418" s="93" t="s">
        <v>839</v>
      </c>
      <c r="F1418" s="93">
        <v>7.8066</v>
      </c>
      <c r="G1418" s="93">
        <v>1.43</v>
      </c>
      <c r="H1418" s="93">
        <v>11.163438</v>
      </c>
      <c r="I1418" s="93">
        <v>46.8396</v>
      </c>
    </row>
    <row r="1419" ht="25.5" spans="1:9">
      <c r="A1419" s="90"/>
      <c r="B1419" s="91" t="s">
        <v>1111</v>
      </c>
      <c r="C1419" s="91" t="s">
        <v>1674</v>
      </c>
      <c r="D1419" s="92" t="s">
        <v>1675</v>
      </c>
      <c r="E1419" s="93" t="s">
        <v>839</v>
      </c>
      <c r="F1419" s="93">
        <v>5.8884</v>
      </c>
      <c r="G1419" s="93">
        <v>0.31</v>
      </c>
      <c r="H1419" s="93">
        <v>1.825404</v>
      </c>
      <c r="I1419" s="93">
        <v>35.3304</v>
      </c>
    </row>
    <row r="1420" ht="25.5" spans="1:9">
      <c r="A1420" s="90"/>
      <c r="B1420" s="91" t="s">
        <v>1111</v>
      </c>
      <c r="C1420" s="91" t="s">
        <v>1707</v>
      </c>
      <c r="D1420" s="92" t="s">
        <v>1708</v>
      </c>
      <c r="E1420" s="93" t="s">
        <v>839</v>
      </c>
      <c r="F1420" s="93">
        <v>1.9182</v>
      </c>
      <c r="G1420" s="93">
        <v>0.01</v>
      </c>
      <c r="H1420" s="93">
        <v>0.019182</v>
      </c>
      <c r="I1420" s="93">
        <v>11.5092</v>
      </c>
    </row>
    <row r="1421" spans="1:9">
      <c r="A1421" s="90"/>
      <c r="B1421" s="91" t="s">
        <v>985</v>
      </c>
      <c r="C1421" s="91" t="s">
        <v>984</v>
      </c>
      <c r="D1421" s="92" t="s">
        <v>986</v>
      </c>
      <c r="E1421" s="93" t="s">
        <v>215</v>
      </c>
      <c r="F1421" s="93">
        <v>16.899342</v>
      </c>
      <c r="G1421" s="93">
        <v>5.93</v>
      </c>
      <c r="H1421" s="93">
        <v>100.21309806</v>
      </c>
      <c r="I1421" s="93">
        <v>101.396052</v>
      </c>
    </row>
    <row r="1422" ht="25.5" spans="1:9">
      <c r="A1422" s="85" t="s">
        <v>2389</v>
      </c>
      <c r="B1422" s="85" t="s">
        <v>878</v>
      </c>
      <c r="C1422" s="85" t="s">
        <v>2390</v>
      </c>
      <c r="D1422" s="87" t="s">
        <v>879</v>
      </c>
      <c r="E1422" s="89" t="s">
        <v>494</v>
      </c>
      <c r="F1422" s="89">
        <v>1</v>
      </c>
      <c r="G1422" s="89">
        <v>659.18</v>
      </c>
      <c r="H1422" s="89">
        <v>659.18</v>
      </c>
      <c r="I1422" s="89">
        <v>1</v>
      </c>
    </row>
    <row r="1423" ht="38.25" spans="1:9">
      <c r="A1423" s="90"/>
      <c r="B1423" s="91" t="s">
        <v>1002</v>
      </c>
      <c r="C1423" s="91" t="s">
        <v>1068</v>
      </c>
      <c r="D1423" s="92" t="s">
        <v>1069</v>
      </c>
      <c r="E1423" s="93" t="s">
        <v>494</v>
      </c>
      <c r="F1423" s="93">
        <v>1</v>
      </c>
      <c r="G1423" s="93">
        <v>569580.71</v>
      </c>
      <c r="H1423" s="93">
        <v>122.019931292824</v>
      </c>
      <c r="I1423" s="93">
        <v>1</v>
      </c>
    </row>
    <row r="1424" ht="51" spans="1:9">
      <c r="A1424" s="90"/>
      <c r="B1424" s="91" t="s">
        <v>1210</v>
      </c>
      <c r="C1424" s="91" t="s">
        <v>1209</v>
      </c>
      <c r="D1424" s="92" t="s">
        <v>1211</v>
      </c>
      <c r="E1424" s="93" t="s">
        <v>494</v>
      </c>
      <c r="F1424" s="93">
        <v>1</v>
      </c>
      <c r="G1424" s="93">
        <v>143450</v>
      </c>
      <c r="H1424" s="93">
        <v>39.980077324</v>
      </c>
      <c r="I1424" s="93">
        <v>1</v>
      </c>
    </row>
    <row r="1425" spans="1:9">
      <c r="A1425" s="90"/>
      <c r="B1425" s="91" t="s">
        <v>1007</v>
      </c>
      <c r="C1425" s="91" t="s">
        <v>1048</v>
      </c>
      <c r="D1425" s="92" t="s">
        <v>1049</v>
      </c>
      <c r="E1425" s="93" t="s">
        <v>839</v>
      </c>
      <c r="F1425" s="93">
        <v>1</v>
      </c>
      <c r="G1425" s="93">
        <v>1.5</v>
      </c>
      <c r="H1425" s="93">
        <v>17.6208</v>
      </c>
      <c r="I1425" s="93">
        <v>1</v>
      </c>
    </row>
    <row r="1426" spans="1:9">
      <c r="A1426" s="90"/>
      <c r="B1426" s="91" t="s">
        <v>1007</v>
      </c>
      <c r="C1426" s="91" t="s">
        <v>1006</v>
      </c>
      <c r="D1426" s="92" t="s">
        <v>1008</v>
      </c>
      <c r="E1426" s="93" t="s">
        <v>839</v>
      </c>
      <c r="F1426" s="93">
        <v>11.7472</v>
      </c>
      <c r="G1426" s="93">
        <v>3.95</v>
      </c>
      <c r="H1426" s="93">
        <v>46.40144</v>
      </c>
      <c r="I1426" s="93">
        <v>11.7472</v>
      </c>
    </row>
    <row r="1427" spans="1:9">
      <c r="A1427" s="90"/>
      <c r="B1427" s="91" t="s">
        <v>1453</v>
      </c>
      <c r="C1427" s="91" t="s">
        <v>1452</v>
      </c>
      <c r="D1427" s="92" t="s">
        <v>1454</v>
      </c>
      <c r="E1427" s="93" t="s">
        <v>839</v>
      </c>
      <c r="F1427" s="93">
        <v>1.953809014</v>
      </c>
      <c r="G1427" s="93">
        <v>15.35</v>
      </c>
      <c r="H1427" s="93">
        <v>29.9909683649</v>
      </c>
      <c r="I1427" s="93">
        <v>1.953809014</v>
      </c>
    </row>
    <row r="1428" spans="1:9">
      <c r="A1428" s="90"/>
      <c r="B1428" s="91" t="s">
        <v>1248</v>
      </c>
      <c r="C1428" s="91" t="s">
        <v>1247</v>
      </c>
      <c r="D1428" s="92" t="s">
        <v>1249</v>
      </c>
      <c r="E1428" s="93" t="s">
        <v>839</v>
      </c>
      <c r="F1428" s="93">
        <v>7.117410766</v>
      </c>
      <c r="G1428" s="93">
        <v>21.83</v>
      </c>
      <c r="H1428" s="93">
        <v>155.37307702178</v>
      </c>
      <c r="I1428" s="93">
        <v>7.117410766</v>
      </c>
    </row>
    <row r="1429" spans="1:9">
      <c r="A1429" s="90"/>
      <c r="B1429" s="91" t="s">
        <v>1023</v>
      </c>
      <c r="C1429" s="91" t="s">
        <v>1147</v>
      </c>
      <c r="D1429" s="92" t="s">
        <v>1148</v>
      </c>
      <c r="E1429" s="93" t="s">
        <v>839</v>
      </c>
      <c r="F1429" s="93">
        <v>2.882628594</v>
      </c>
      <c r="G1429" s="93">
        <v>23.07</v>
      </c>
      <c r="H1429" s="93">
        <v>66.50224166358</v>
      </c>
      <c r="I1429" s="93">
        <v>2.882628594</v>
      </c>
    </row>
    <row r="1430" spans="1:9">
      <c r="A1430" s="90"/>
      <c r="B1430" s="91" t="s">
        <v>1007</v>
      </c>
      <c r="C1430" s="91" t="s">
        <v>1378</v>
      </c>
      <c r="D1430" s="92" t="s">
        <v>1379</v>
      </c>
      <c r="E1430" s="93" t="s">
        <v>839</v>
      </c>
      <c r="F1430" s="93">
        <v>11.7472</v>
      </c>
      <c r="G1430" s="93">
        <v>0.08</v>
      </c>
      <c r="H1430" s="93">
        <v>0.939776</v>
      </c>
      <c r="I1430" s="93">
        <v>11.7472</v>
      </c>
    </row>
    <row r="1431" ht="25.5" spans="1:9">
      <c r="A1431" s="90"/>
      <c r="B1431" s="91" t="s">
        <v>1111</v>
      </c>
      <c r="C1431" s="91" t="s">
        <v>1558</v>
      </c>
      <c r="D1431" s="92" t="s">
        <v>1559</v>
      </c>
      <c r="E1431" s="93" t="s">
        <v>839</v>
      </c>
      <c r="F1431" s="93">
        <v>8.911</v>
      </c>
      <c r="G1431" s="93">
        <v>1.13</v>
      </c>
      <c r="H1431" s="93">
        <v>10.06943</v>
      </c>
      <c r="I1431" s="93">
        <v>8.911</v>
      </c>
    </row>
    <row r="1432" ht="25.5" spans="1:9">
      <c r="A1432" s="90"/>
      <c r="B1432" s="91" t="s">
        <v>1111</v>
      </c>
      <c r="C1432" s="91" t="s">
        <v>1287</v>
      </c>
      <c r="D1432" s="92" t="s">
        <v>1288</v>
      </c>
      <c r="E1432" s="93" t="s">
        <v>839</v>
      </c>
      <c r="F1432" s="93">
        <v>2.8362</v>
      </c>
      <c r="G1432" s="93">
        <v>0.89</v>
      </c>
      <c r="H1432" s="93">
        <v>2.524218</v>
      </c>
      <c r="I1432" s="93">
        <v>2.8362</v>
      </c>
    </row>
    <row r="1433" spans="1:9">
      <c r="A1433" s="90"/>
      <c r="B1433" s="91" t="s">
        <v>1007</v>
      </c>
      <c r="C1433" s="91" t="s">
        <v>1050</v>
      </c>
      <c r="D1433" s="92" t="s">
        <v>1051</v>
      </c>
      <c r="E1433" s="93" t="s">
        <v>839</v>
      </c>
      <c r="F1433" s="93">
        <v>11.7472</v>
      </c>
      <c r="G1433" s="93">
        <v>1.43</v>
      </c>
      <c r="H1433" s="93">
        <v>16.798496</v>
      </c>
      <c r="I1433" s="93">
        <v>11.7472</v>
      </c>
    </row>
    <row r="1434" ht="25.5" spans="1:9">
      <c r="A1434" s="90"/>
      <c r="B1434" s="91" t="s">
        <v>1111</v>
      </c>
      <c r="C1434" s="91" t="s">
        <v>1674</v>
      </c>
      <c r="D1434" s="92" t="s">
        <v>1675</v>
      </c>
      <c r="E1434" s="93" t="s">
        <v>839</v>
      </c>
      <c r="F1434" s="93">
        <v>8.911</v>
      </c>
      <c r="G1434" s="93">
        <v>0.31</v>
      </c>
      <c r="H1434" s="93">
        <v>2.76241</v>
      </c>
      <c r="I1434" s="93">
        <v>8.911</v>
      </c>
    </row>
    <row r="1435" ht="25.5" spans="1:9">
      <c r="A1435" s="90"/>
      <c r="B1435" s="91" t="s">
        <v>1111</v>
      </c>
      <c r="C1435" s="91" t="s">
        <v>1707</v>
      </c>
      <c r="D1435" s="92" t="s">
        <v>1708</v>
      </c>
      <c r="E1435" s="93" t="s">
        <v>839</v>
      </c>
      <c r="F1435" s="93">
        <v>2.8362</v>
      </c>
      <c r="G1435" s="93">
        <v>0.01</v>
      </c>
      <c r="H1435" s="93">
        <v>0.028362</v>
      </c>
      <c r="I1435" s="93">
        <v>2.8362</v>
      </c>
    </row>
    <row r="1436" spans="1:9">
      <c r="A1436" s="90"/>
      <c r="B1436" s="91" t="s">
        <v>985</v>
      </c>
      <c r="C1436" s="91" t="s">
        <v>984</v>
      </c>
      <c r="D1436" s="92" t="s">
        <v>986</v>
      </c>
      <c r="E1436" s="93" t="s">
        <v>215</v>
      </c>
      <c r="F1436" s="93">
        <v>24.986922</v>
      </c>
      <c r="G1436" s="93">
        <v>5.93</v>
      </c>
      <c r="H1436" s="93">
        <v>148.17244746</v>
      </c>
      <c r="I1436" s="93">
        <v>24.986922</v>
      </c>
    </row>
    <row r="1437" ht="51" spans="1:9">
      <c r="A1437" s="85" t="s">
        <v>2391</v>
      </c>
      <c r="B1437" s="85" t="s">
        <v>880</v>
      </c>
      <c r="C1437" s="85" t="s">
        <v>2392</v>
      </c>
      <c r="D1437" s="87" t="s">
        <v>315</v>
      </c>
      <c r="E1437" s="89" t="s">
        <v>112</v>
      </c>
      <c r="F1437" s="89">
        <v>8</v>
      </c>
      <c r="G1437" s="89">
        <v>6.08</v>
      </c>
      <c r="H1437" s="89">
        <v>48.64</v>
      </c>
      <c r="I1437" s="89">
        <v>8</v>
      </c>
    </row>
    <row r="1438" spans="1:9">
      <c r="A1438" s="90"/>
      <c r="B1438" s="91" t="s">
        <v>1007</v>
      </c>
      <c r="C1438" s="91" t="s">
        <v>1048</v>
      </c>
      <c r="D1438" s="92" t="s">
        <v>1049</v>
      </c>
      <c r="E1438" s="93" t="s">
        <v>839</v>
      </c>
      <c r="F1438" s="93">
        <v>1</v>
      </c>
      <c r="G1438" s="93">
        <v>1.5</v>
      </c>
      <c r="H1438" s="93">
        <v>0.24975</v>
      </c>
      <c r="I1438" s="93">
        <v>8</v>
      </c>
    </row>
    <row r="1439" spans="1:9">
      <c r="A1439" s="90"/>
      <c r="B1439" s="91" t="s">
        <v>1007</v>
      </c>
      <c r="C1439" s="91" t="s">
        <v>1006</v>
      </c>
      <c r="D1439" s="92" t="s">
        <v>1008</v>
      </c>
      <c r="E1439" s="93" t="s">
        <v>839</v>
      </c>
      <c r="F1439" s="93">
        <v>0.1665</v>
      </c>
      <c r="G1439" s="93">
        <v>3.95</v>
      </c>
      <c r="H1439" s="93">
        <v>0.657675</v>
      </c>
      <c r="I1439" s="93">
        <v>1.332</v>
      </c>
    </row>
    <row r="1440" spans="1:9">
      <c r="A1440" s="90"/>
      <c r="B1440" s="91" t="s">
        <v>1376</v>
      </c>
      <c r="C1440" s="91" t="s">
        <v>1375</v>
      </c>
      <c r="D1440" s="92" t="s">
        <v>1377</v>
      </c>
      <c r="E1440" s="93" t="s">
        <v>839</v>
      </c>
      <c r="F1440" s="93">
        <v>0.084428032</v>
      </c>
      <c r="G1440" s="93">
        <v>17.35</v>
      </c>
      <c r="H1440" s="93">
        <v>1.4648263552</v>
      </c>
      <c r="I1440" s="93">
        <v>0.675424256</v>
      </c>
    </row>
    <row r="1441" spans="1:9">
      <c r="A1441" s="90"/>
      <c r="B1441" s="91" t="s">
        <v>1108</v>
      </c>
      <c r="C1441" s="91" t="s">
        <v>1107</v>
      </c>
      <c r="D1441" s="92" t="s">
        <v>1109</v>
      </c>
      <c r="E1441" s="93" t="s">
        <v>839</v>
      </c>
      <c r="F1441" s="93">
        <v>0.028221966</v>
      </c>
      <c r="G1441" s="93">
        <v>21.83</v>
      </c>
      <c r="H1441" s="93">
        <v>0.61608551778</v>
      </c>
      <c r="I1441" s="93">
        <v>0.225775728</v>
      </c>
    </row>
    <row r="1442" spans="1:9">
      <c r="A1442" s="90"/>
      <c r="B1442" s="91" t="s">
        <v>1007</v>
      </c>
      <c r="C1442" s="91" t="s">
        <v>1378</v>
      </c>
      <c r="D1442" s="92" t="s">
        <v>1379</v>
      </c>
      <c r="E1442" s="93" t="s">
        <v>839</v>
      </c>
      <c r="F1442" s="93">
        <v>0.1665</v>
      </c>
      <c r="G1442" s="93">
        <v>0.08</v>
      </c>
      <c r="H1442" s="93">
        <v>0.01332</v>
      </c>
      <c r="I1442" s="93">
        <v>1.332</v>
      </c>
    </row>
    <row r="1443" spans="1:9">
      <c r="A1443" s="90"/>
      <c r="B1443" s="91" t="s">
        <v>1020</v>
      </c>
      <c r="C1443" s="91" t="s">
        <v>1019</v>
      </c>
      <c r="D1443" s="92" t="s">
        <v>1021</v>
      </c>
      <c r="E1443" s="93" t="s">
        <v>839</v>
      </c>
      <c r="F1443" s="93">
        <v>0.05657448</v>
      </c>
      <c r="G1443" s="93">
        <v>14.49</v>
      </c>
      <c r="H1443" s="93">
        <v>0.8197642152</v>
      </c>
      <c r="I1443" s="93">
        <v>0.45259584</v>
      </c>
    </row>
    <row r="1444" ht="25.5" spans="1:9">
      <c r="A1444" s="90"/>
      <c r="B1444" s="91" t="s">
        <v>1111</v>
      </c>
      <c r="C1444" s="91" t="s">
        <v>1287</v>
      </c>
      <c r="D1444" s="92" t="s">
        <v>1288</v>
      </c>
      <c r="E1444" s="93" t="s">
        <v>839</v>
      </c>
      <c r="F1444" s="93">
        <v>0.1111</v>
      </c>
      <c r="G1444" s="93">
        <v>0.89</v>
      </c>
      <c r="H1444" s="93">
        <v>0.098879</v>
      </c>
      <c r="I1444" s="93">
        <v>0.8888</v>
      </c>
    </row>
    <row r="1445" ht="25.5" spans="1:9">
      <c r="A1445" s="90"/>
      <c r="B1445" s="91" t="s">
        <v>1111</v>
      </c>
      <c r="C1445" s="91" t="s">
        <v>1110</v>
      </c>
      <c r="D1445" s="92" t="s">
        <v>1112</v>
      </c>
      <c r="E1445" s="93" t="s">
        <v>839</v>
      </c>
      <c r="F1445" s="93">
        <v>0.0554</v>
      </c>
      <c r="G1445" s="93">
        <v>1.39</v>
      </c>
      <c r="H1445" s="93">
        <v>0.077006</v>
      </c>
      <c r="I1445" s="93">
        <v>0.4432</v>
      </c>
    </row>
    <row r="1446" spans="1:9">
      <c r="A1446" s="90"/>
      <c r="B1446" s="91" t="s">
        <v>1007</v>
      </c>
      <c r="C1446" s="91" t="s">
        <v>1050</v>
      </c>
      <c r="D1446" s="92" t="s">
        <v>1051</v>
      </c>
      <c r="E1446" s="93" t="s">
        <v>839</v>
      </c>
      <c r="F1446" s="93">
        <v>0.1665</v>
      </c>
      <c r="G1446" s="93">
        <v>1.43</v>
      </c>
      <c r="H1446" s="93">
        <v>0.238095</v>
      </c>
      <c r="I1446" s="93">
        <v>1.332</v>
      </c>
    </row>
    <row r="1447" ht="25.5" spans="1:9">
      <c r="A1447" s="90"/>
      <c r="B1447" s="91" t="s">
        <v>1111</v>
      </c>
      <c r="C1447" s="91" t="s">
        <v>1707</v>
      </c>
      <c r="D1447" s="92" t="s">
        <v>1708</v>
      </c>
      <c r="E1447" s="93" t="s">
        <v>839</v>
      </c>
      <c r="F1447" s="93">
        <v>0.1111</v>
      </c>
      <c r="G1447" s="93">
        <v>0.01</v>
      </c>
      <c r="H1447" s="93">
        <v>0.001111</v>
      </c>
      <c r="I1447" s="93">
        <v>0.8888</v>
      </c>
    </row>
    <row r="1448" ht="25.5" spans="1:9">
      <c r="A1448" s="90"/>
      <c r="B1448" s="91" t="s">
        <v>1111</v>
      </c>
      <c r="C1448" s="91" t="s">
        <v>1195</v>
      </c>
      <c r="D1448" s="92" t="s">
        <v>1196</v>
      </c>
      <c r="E1448" s="93" t="s">
        <v>839</v>
      </c>
      <c r="F1448" s="93">
        <v>0.0554</v>
      </c>
      <c r="G1448" s="93">
        <v>0.61</v>
      </c>
      <c r="H1448" s="93">
        <v>0.033794</v>
      </c>
      <c r="I1448" s="93">
        <v>0.4432</v>
      </c>
    </row>
    <row r="1449" spans="1:9">
      <c r="A1449" s="90"/>
      <c r="B1449" s="91" t="s">
        <v>985</v>
      </c>
      <c r="C1449" s="91" t="s">
        <v>984</v>
      </c>
      <c r="D1449" s="92" t="s">
        <v>986</v>
      </c>
      <c r="E1449" s="93" t="s">
        <v>215</v>
      </c>
      <c r="F1449" s="93">
        <v>0.069946</v>
      </c>
      <c r="G1449" s="93">
        <v>5.93</v>
      </c>
      <c r="H1449" s="93">
        <v>0.41477978</v>
      </c>
      <c r="I1449" s="93">
        <v>0.559568</v>
      </c>
    </row>
    <row r="1450" ht="25.5" spans="1:9">
      <c r="A1450" s="90"/>
      <c r="B1450" s="91" t="s">
        <v>1800</v>
      </c>
      <c r="C1450" s="91" t="s">
        <v>1814</v>
      </c>
      <c r="D1450" s="92" t="s">
        <v>1815</v>
      </c>
      <c r="E1450" s="93" t="s">
        <v>494</v>
      </c>
      <c r="F1450" s="93">
        <v>0.0071</v>
      </c>
      <c r="G1450" s="93">
        <v>30.07</v>
      </c>
      <c r="H1450" s="93">
        <v>0.21</v>
      </c>
      <c r="I1450" s="93">
        <v>0.0568</v>
      </c>
    </row>
    <row r="1451" ht="51" spans="1:9">
      <c r="A1451" s="90"/>
      <c r="B1451" s="91" t="s">
        <v>1136</v>
      </c>
      <c r="C1451" s="91" t="s">
        <v>1135</v>
      </c>
      <c r="D1451" s="92" t="s">
        <v>1137</v>
      </c>
      <c r="E1451" s="93" t="s">
        <v>494</v>
      </c>
      <c r="F1451" s="93">
        <v>2.54932e-6</v>
      </c>
      <c r="G1451" s="93">
        <v>466463.38</v>
      </c>
      <c r="H1451" s="93">
        <v>1.1891644239016</v>
      </c>
      <c r="I1451" s="93">
        <v>2.039456e-5</v>
      </c>
    </row>
    <row r="1452" ht="51" spans="1:9">
      <c r="A1452" s="85" t="s">
        <v>2393</v>
      </c>
      <c r="B1452" s="85" t="s">
        <v>881</v>
      </c>
      <c r="C1452" s="85" t="s">
        <v>2394</v>
      </c>
      <c r="D1452" s="87" t="s">
        <v>316</v>
      </c>
      <c r="E1452" s="89" t="s">
        <v>112</v>
      </c>
      <c r="F1452" s="89">
        <v>4</v>
      </c>
      <c r="G1452" s="89">
        <v>7.7</v>
      </c>
      <c r="H1452" s="89">
        <v>30.8</v>
      </c>
      <c r="I1452" s="89">
        <v>4</v>
      </c>
    </row>
    <row r="1453" spans="1:9">
      <c r="A1453" s="90"/>
      <c r="B1453" s="91" t="s">
        <v>1007</v>
      </c>
      <c r="C1453" s="91" t="s">
        <v>1048</v>
      </c>
      <c r="D1453" s="92" t="s">
        <v>1049</v>
      </c>
      <c r="E1453" s="93" t="s">
        <v>839</v>
      </c>
      <c r="F1453" s="93">
        <v>1</v>
      </c>
      <c r="G1453" s="93">
        <v>1.5</v>
      </c>
      <c r="H1453" s="93">
        <v>0.3276</v>
      </c>
      <c r="I1453" s="93">
        <v>4</v>
      </c>
    </row>
    <row r="1454" spans="1:9">
      <c r="A1454" s="90"/>
      <c r="B1454" s="91" t="s">
        <v>1007</v>
      </c>
      <c r="C1454" s="91" t="s">
        <v>1006</v>
      </c>
      <c r="D1454" s="92" t="s">
        <v>1008</v>
      </c>
      <c r="E1454" s="93" t="s">
        <v>839</v>
      </c>
      <c r="F1454" s="93">
        <v>0.2184</v>
      </c>
      <c r="G1454" s="93">
        <v>3.95</v>
      </c>
      <c r="H1454" s="93">
        <v>0.86268</v>
      </c>
      <c r="I1454" s="93">
        <v>0.8736</v>
      </c>
    </row>
    <row r="1455" spans="1:9">
      <c r="A1455" s="90"/>
      <c r="B1455" s="91" t="s">
        <v>1376</v>
      </c>
      <c r="C1455" s="91" t="s">
        <v>1375</v>
      </c>
      <c r="D1455" s="92" t="s">
        <v>1377</v>
      </c>
      <c r="E1455" s="93" t="s">
        <v>839</v>
      </c>
      <c r="F1455" s="93">
        <v>0.113247216</v>
      </c>
      <c r="G1455" s="93">
        <v>17.35</v>
      </c>
      <c r="H1455" s="93">
        <v>1.9648391976</v>
      </c>
      <c r="I1455" s="93">
        <v>0.452988864</v>
      </c>
    </row>
    <row r="1456" spans="1:9">
      <c r="A1456" s="90"/>
      <c r="B1456" s="91" t="s">
        <v>1108</v>
      </c>
      <c r="C1456" s="91" t="s">
        <v>1107</v>
      </c>
      <c r="D1456" s="92" t="s">
        <v>1109</v>
      </c>
      <c r="E1456" s="93" t="s">
        <v>839</v>
      </c>
      <c r="F1456" s="93">
        <v>0.032773896</v>
      </c>
      <c r="G1456" s="93">
        <v>21.83</v>
      </c>
      <c r="H1456" s="93">
        <v>0.71545414968</v>
      </c>
      <c r="I1456" s="93">
        <v>0.131095584</v>
      </c>
    </row>
    <row r="1457" spans="1:9">
      <c r="A1457" s="90"/>
      <c r="B1457" s="91" t="s">
        <v>1007</v>
      </c>
      <c r="C1457" s="91" t="s">
        <v>1378</v>
      </c>
      <c r="D1457" s="92" t="s">
        <v>1379</v>
      </c>
      <c r="E1457" s="93" t="s">
        <v>839</v>
      </c>
      <c r="F1457" s="93">
        <v>0.2184</v>
      </c>
      <c r="G1457" s="93">
        <v>0.08</v>
      </c>
      <c r="H1457" s="93">
        <v>0.017472</v>
      </c>
      <c r="I1457" s="93">
        <v>0.8736</v>
      </c>
    </row>
    <row r="1458" spans="1:9">
      <c r="A1458" s="90"/>
      <c r="B1458" s="91" t="s">
        <v>1020</v>
      </c>
      <c r="C1458" s="91" t="s">
        <v>1019</v>
      </c>
      <c r="D1458" s="92" t="s">
        <v>1021</v>
      </c>
      <c r="E1458" s="93" t="s">
        <v>839</v>
      </c>
      <c r="F1458" s="93">
        <v>0.07597728</v>
      </c>
      <c r="G1458" s="93">
        <v>14.49</v>
      </c>
      <c r="H1458" s="93">
        <v>1.1009107872</v>
      </c>
      <c r="I1458" s="93">
        <v>0.30390912</v>
      </c>
    </row>
    <row r="1459" ht="25.5" spans="1:9">
      <c r="A1459" s="90"/>
      <c r="B1459" s="91" t="s">
        <v>1111</v>
      </c>
      <c r="C1459" s="91" t="s">
        <v>1287</v>
      </c>
      <c r="D1459" s="92" t="s">
        <v>1288</v>
      </c>
      <c r="E1459" s="93" t="s">
        <v>839</v>
      </c>
      <c r="F1459" s="93">
        <v>0.144</v>
      </c>
      <c r="G1459" s="93">
        <v>0.89</v>
      </c>
      <c r="H1459" s="93">
        <v>0.12816</v>
      </c>
      <c r="I1459" s="93">
        <v>0.576</v>
      </c>
    </row>
    <row r="1460" ht="25.5" spans="1:9">
      <c r="A1460" s="90"/>
      <c r="B1460" s="91" t="s">
        <v>1111</v>
      </c>
      <c r="C1460" s="91" t="s">
        <v>1110</v>
      </c>
      <c r="D1460" s="92" t="s">
        <v>1112</v>
      </c>
      <c r="E1460" s="93" t="s">
        <v>839</v>
      </c>
      <c r="F1460" s="93">
        <v>0.0744</v>
      </c>
      <c r="G1460" s="93">
        <v>1.39</v>
      </c>
      <c r="H1460" s="93">
        <v>0.103416</v>
      </c>
      <c r="I1460" s="93">
        <v>0.2976</v>
      </c>
    </row>
    <row r="1461" spans="1:9">
      <c r="A1461" s="90"/>
      <c r="B1461" s="91" t="s">
        <v>1007</v>
      </c>
      <c r="C1461" s="91" t="s">
        <v>1050</v>
      </c>
      <c r="D1461" s="92" t="s">
        <v>1051</v>
      </c>
      <c r="E1461" s="93" t="s">
        <v>839</v>
      </c>
      <c r="F1461" s="93">
        <v>0.2184</v>
      </c>
      <c r="G1461" s="93">
        <v>1.43</v>
      </c>
      <c r="H1461" s="93">
        <v>0.312312</v>
      </c>
      <c r="I1461" s="93">
        <v>0.8736</v>
      </c>
    </row>
    <row r="1462" ht="25.5" spans="1:9">
      <c r="A1462" s="90"/>
      <c r="B1462" s="91" t="s">
        <v>1111</v>
      </c>
      <c r="C1462" s="91" t="s">
        <v>1707</v>
      </c>
      <c r="D1462" s="92" t="s">
        <v>1708</v>
      </c>
      <c r="E1462" s="93" t="s">
        <v>839</v>
      </c>
      <c r="F1462" s="93">
        <v>0.144</v>
      </c>
      <c r="G1462" s="93">
        <v>0.01</v>
      </c>
      <c r="H1462" s="93">
        <v>0.00144</v>
      </c>
      <c r="I1462" s="93">
        <v>0.576</v>
      </c>
    </row>
    <row r="1463" ht="25.5" spans="1:9">
      <c r="A1463" s="90"/>
      <c r="B1463" s="91" t="s">
        <v>1111</v>
      </c>
      <c r="C1463" s="91" t="s">
        <v>1195</v>
      </c>
      <c r="D1463" s="92" t="s">
        <v>1196</v>
      </c>
      <c r="E1463" s="93" t="s">
        <v>839</v>
      </c>
      <c r="F1463" s="93">
        <v>0.0744</v>
      </c>
      <c r="G1463" s="93">
        <v>0.61</v>
      </c>
      <c r="H1463" s="93">
        <v>0.045384</v>
      </c>
      <c r="I1463" s="93">
        <v>0.2976</v>
      </c>
    </row>
    <row r="1464" spans="1:9">
      <c r="A1464" s="90"/>
      <c r="B1464" s="91" t="s">
        <v>985</v>
      </c>
      <c r="C1464" s="91" t="s">
        <v>984</v>
      </c>
      <c r="D1464" s="92" t="s">
        <v>986</v>
      </c>
      <c r="E1464" s="93" t="s">
        <v>215</v>
      </c>
      <c r="F1464" s="93">
        <v>0.081035</v>
      </c>
      <c r="G1464" s="93">
        <v>5.93</v>
      </c>
      <c r="H1464" s="93">
        <v>0.48053755</v>
      </c>
      <c r="I1464" s="93">
        <v>0.32414</v>
      </c>
    </row>
    <row r="1465" ht="25.5" spans="1:9">
      <c r="A1465" s="90"/>
      <c r="B1465" s="91" t="s">
        <v>1800</v>
      </c>
      <c r="C1465" s="91" t="s">
        <v>1814</v>
      </c>
      <c r="D1465" s="92" t="s">
        <v>1815</v>
      </c>
      <c r="E1465" s="93" t="s">
        <v>494</v>
      </c>
      <c r="F1465" s="93">
        <v>0.0087</v>
      </c>
      <c r="G1465" s="93">
        <v>30.07</v>
      </c>
      <c r="H1465" s="93">
        <v>0.26</v>
      </c>
      <c r="I1465" s="93">
        <v>0.0348</v>
      </c>
    </row>
    <row r="1466" ht="51" spans="1:9">
      <c r="A1466" s="90"/>
      <c r="B1466" s="91" t="s">
        <v>1136</v>
      </c>
      <c r="C1466" s="91" t="s">
        <v>1135</v>
      </c>
      <c r="D1466" s="92" t="s">
        <v>1137</v>
      </c>
      <c r="E1466" s="93" t="s">
        <v>494</v>
      </c>
      <c r="F1466" s="93">
        <v>2.95892e-6</v>
      </c>
      <c r="G1466" s="93">
        <v>466463.38</v>
      </c>
      <c r="H1466" s="93">
        <v>1.3802278243496</v>
      </c>
      <c r="I1466" s="93">
        <v>1.183568e-5</v>
      </c>
    </row>
    <row r="1467" ht="25.5" spans="1:9">
      <c r="A1467" s="85" t="s">
        <v>2395</v>
      </c>
      <c r="B1467" s="85" t="s">
        <v>882</v>
      </c>
      <c r="C1467" s="85" t="s">
        <v>2396</v>
      </c>
      <c r="D1467" s="87" t="s">
        <v>317</v>
      </c>
      <c r="E1467" s="89" t="s">
        <v>112</v>
      </c>
      <c r="F1467" s="89">
        <v>13.25</v>
      </c>
      <c r="G1467" s="89">
        <v>26.3</v>
      </c>
      <c r="H1467" s="89">
        <v>348.47</v>
      </c>
      <c r="I1467" s="89">
        <v>13.25</v>
      </c>
    </row>
    <row r="1468" ht="38.25" spans="1:9">
      <c r="A1468" s="90"/>
      <c r="B1468" s="91" t="s">
        <v>1002</v>
      </c>
      <c r="C1468" s="91" t="s">
        <v>1068</v>
      </c>
      <c r="D1468" s="92" t="s">
        <v>1069</v>
      </c>
      <c r="E1468" s="93" t="s">
        <v>494</v>
      </c>
      <c r="F1468" s="93">
        <v>1</v>
      </c>
      <c r="G1468" s="93">
        <v>569580.71</v>
      </c>
      <c r="H1468" s="93">
        <v>4.6753064293143</v>
      </c>
      <c r="I1468" s="93">
        <v>13.25</v>
      </c>
    </row>
    <row r="1469" ht="51" spans="1:9">
      <c r="A1469" s="90"/>
      <c r="B1469" s="91" t="s">
        <v>1210</v>
      </c>
      <c r="C1469" s="91" t="s">
        <v>1209</v>
      </c>
      <c r="D1469" s="92" t="s">
        <v>1211</v>
      </c>
      <c r="E1469" s="93" t="s">
        <v>494</v>
      </c>
      <c r="F1469" s="93">
        <v>1</v>
      </c>
      <c r="G1469" s="93">
        <v>143450</v>
      </c>
      <c r="H1469" s="93">
        <v>1.5319441505</v>
      </c>
      <c r="I1469" s="93">
        <v>13.25</v>
      </c>
    </row>
    <row r="1470" spans="1:9">
      <c r="A1470" s="90"/>
      <c r="B1470" s="91" t="s">
        <v>1007</v>
      </c>
      <c r="C1470" s="91" t="s">
        <v>1048</v>
      </c>
      <c r="D1470" s="92" t="s">
        <v>1049</v>
      </c>
      <c r="E1470" s="93" t="s">
        <v>839</v>
      </c>
      <c r="F1470" s="93">
        <v>1</v>
      </c>
      <c r="G1470" s="93">
        <v>1.5</v>
      </c>
      <c r="H1470" s="93">
        <v>0.72915</v>
      </c>
      <c r="I1470" s="93">
        <v>13.25</v>
      </c>
    </row>
    <row r="1471" spans="1:9">
      <c r="A1471" s="90"/>
      <c r="B1471" s="91" t="s">
        <v>1007</v>
      </c>
      <c r="C1471" s="91" t="s">
        <v>1006</v>
      </c>
      <c r="D1471" s="92" t="s">
        <v>1008</v>
      </c>
      <c r="E1471" s="93" t="s">
        <v>839</v>
      </c>
      <c r="F1471" s="93">
        <v>0.4861</v>
      </c>
      <c r="G1471" s="93">
        <v>3.95</v>
      </c>
      <c r="H1471" s="93">
        <v>1.920095</v>
      </c>
      <c r="I1471" s="93">
        <v>6.440825</v>
      </c>
    </row>
    <row r="1472" spans="1:9">
      <c r="A1472" s="90"/>
      <c r="B1472" s="91" t="s">
        <v>1453</v>
      </c>
      <c r="C1472" s="91" t="s">
        <v>1452</v>
      </c>
      <c r="D1472" s="92" t="s">
        <v>1454</v>
      </c>
      <c r="E1472" s="93" t="s">
        <v>839</v>
      </c>
      <c r="F1472" s="93">
        <v>0.082761774</v>
      </c>
      <c r="G1472" s="93">
        <v>15.35</v>
      </c>
      <c r="H1472" s="93">
        <v>1.2703932309</v>
      </c>
      <c r="I1472" s="93">
        <v>1.0965935055</v>
      </c>
    </row>
    <row r="1473" spans="1:9">
      <c r="A1473" s="90"/>
      <c r="B1473" s="91" t="s">
        <v>1248</v>
      </c>
      <c r="C1473" s="91" t="s">
        <v>1247</v>
      </c>
      <c r="D1473" s="92" t="s">
        <v>1249</v>
      </c>
      <c r="E1473" s="93" t="s">
        <v>839</v>
      </c>
      <c r="F1473" s="93">
        <v>0.301423878</v>
      </c>
      <c r="G1473" s="93">
        <v>21.83</v>
      </c>
      <c r="H1473" s="93">
        <v>6.58008325674</v>
      </c>
      <c r="I1473" s="93">
        <v>3.9938663835</v>
      </c>
    </row>
    <row r="1474" spans="1:9">
      <c r="A1474" s="90"/>
      <c r="B1474" s="91" t="s">
        <v>1023</v>
      </c>
      <c r="C1474" s="91" t="s">
        <v>1147</v>
      </c>
      <c r="D1474" s="92" t="s">
        <v>1148</v>
      </c>
      <c r="E1474" s="93" t="s">
        <v>839</v>
      </c>
      <c r="F1474" s="93">
        <v>0.110479419</v>
      </c>
      <c r="G1474" s="93">
        <v>23.07</v>
      </c>
      <c r="H1474" s="93">
        <v>2.54876019633</v>
      </c>
      <c r="I1474" s="93">
        <v>1.46385230175</v>
      </c>
    </row>
    <row r="1475" spans="1:9">
      <c r="A1475" s="90"/>
      <c r="B1475" s="91" t="s">
        <v>1007</v>
      </c>
      <c r="C1475" s="91" t="s">
        <v>1378</v>
      </c>
      <c r="D1475" s="92" t="s">
        <v>1379</v>
      </c>
      <c r="E1475" s="93" t="s">
        <v>839</v>
      </c>
      <c r="F1475" s="93">
        <v>0.4861</v>
      </c>
      <c r="G1475" s="93">
        <v>0.08</v>
      </c>
      <c r="H1475" s="93">
        <v>0.038888</v>
      </c>
      <c r="I1475" s="93">
        <v>6.440825</v>
      </c>
    </row>
    <row r="1476" ht="25.5" spans="1:9">
      <c r="A1476" s="90"/>
      <c r="B1476" s="91" t="s">
        <v>1111</v>
      </c>
      <c r="C1476" s="91" t="s">
        <v>1558</v>
      </c>
      <c r="D1476" s="92" t="s">
        <v>1559</v>
      </c>
      <c r="E1476" s="93" t="s">
        <v>839</v>
      </c>
      <c r="F1476" s="93">
        <v>0.3774</v>
      </c>
      <c r="G1476" s="93">
        <v>1.13</v>
      </c>
      <c r="H1476" s="93">
        <v>0.426462</v>
      </c>
      <c r="I1476" s="93">
        <v>5.00055</v>
      </c>
    </row>
    <row r="1477" ht="25.5" spans="1:9">
      <c r="A1477" s="90"/>
      <c r="B1477" s="91" t="s">
        <v>1111</v>
      </c>
      <c r="C1477" s="91" t="s">
        <v>1287</v>
      </c>
      <c r="D1477" s="92" t="s">
        <v>1288</v>
      </c>
      <c r="E1477" s="93" t="s">
        <v>839</v>
      </c>
      <c r="F1477" s="93">
        <v>0.1087</v>
      </c>
      <c r="G1477" s="93">
        <v>0.89</v>
      </c>
      <c r="H1477" s="93">
        <v>0.096743</v>
      </c>
      <c r="I1477" s="93">
        <v>1.440275</v>
      </c>
    </row>
    <row r="1478" spans="1:9">
      <c r="A1478" s="90"/>
      <c r="B1478" s="91" t="s">
        <v>1007</v>
      </c>
      <c r="C1478" s="91" t="s">
        <v>1050</v>
      </c>
      <c r="D1478" s="92" t="s">
        <v>1051</v>
      </c>
      <c r="E1478" s="93" t="s">
        <v>839</v>
      </c>
      <c r="F1478" s="93">
        <v>0.4861</v>
      </c>
      <c r="G1478" s="93">
        <v>1.43</v>
      </c>
      <c r="H1478" s="93">
        <v>0.695123</v>
      </c>
      <c r="I1478" s="93">
        <v>6.440825</v>
      </c>
    </row>
    <row r="1479" ht="25.5" spans="1:9">
      <c r="A1479" s="90"/>
      <c r="B1479" s="91" t="s">
        <v>1111</v>
      </c>
      <c r="C1479" s="91" t="s">
        <v>1674</v>
      </c>
      <c r="D1479" s="92" t="s">
        <v>1675</v>
      </c>
      <c r="E1479" s="93" t="s">
        <v>839</v>
      </c>
      <c r="F1479" s="93">
        <v>0.3774</v>
      </c>
      <c r="G1479" s="93">
        <v>0.31</v>
      </c>
      <c r="H1479" s="93">
        <v>0.116994</v>
      </c>
      <c r="I1479" s="93">
        <v>5.00055</v>
      </c>
    </row>
    <row r="1480" ht="25.5" spans="1:9">
      <c r="A1480" s="90"/>
      <c r="B1480" s="91" t="s">
        <v>1111</v>
      </c>
      <c r="C1480" s="91" t="s">
        <v>1707</v>
      </c>
      <c r="D1480" s="92" t="s">
        <v>1708</v>
      </c>
      <c r="E1480" s="93" t="s">
        <v>839</v>
      </c>
      <c r="F1480" s="93">
        <v>0.1087</v>
      </c>
      <c r="G1480" s="93">
        <v>0.01</v>
      </c>
      <c r="H1480" s="93">
        <v>0.001087</v>
      </c>
      <c r="I1480" s="93">
        <v>1.440275</v>
      </c>
    </row>
    <row r="1481" spans="1:9">
      <c r="A1481" s="90"/>
      <c r="B1481" s="91" t="s">
        <v>985</v>
      </c>
      <c r="C1481" s="91" t="s">
        <v>984</v>
      </c>
      <c r="D1481" s="92" t="s">
        <v>986</v>
      </c>
      <c r="E1481" s="93" t="s">
        <v>215</v>
      </c>
      <c r="F1481" s="93">
        <v>0.956766</v>
      </c>
      <c r="G1481" s="93">
        <v>5.93</v>
      </c>
      <c r="H1481" s="93">
        <v>5.67362238</v>
      </c>
      <c r="I1481" s="93">
        <v>12.6771495</v>
      </c>
    </row>
    <row r="1482" ht="25.5" spans="1:9">
      <c r="A1482" s="85" t="s">
        <v>2397</v>
      </c>
      <c r="B1482" s="85" t="s">
        <v>883</v>
      </c>
      <c r="C1482" s="85" t="s">
        <v>2398</v>
      </c>
      <c r="D1482" s="87" t="s">
        <v>318</v>
      </c>
      <c r="E1482" s="89" t="s">
        <v>112</v>
      </c>
      <c r="F1482" s="89">
        <v>14.2</v>
      </c>
      <c r="G1482" s="89">
        <v>65.98</v>
      </c>
      <c r="H1482" s="89">
        <v>936.91</v>
      </c>
      <c r="I1482" s="89">
        <v>14.2</v>
      </c>
    </row>
    <row r="1483" ht="38.25" spans="1:9">
      <c r="A1483" s="90"/>
      <c r="B1483" s="91" t="s">
        <v>1002</v>
      </c>
      <c r="C1483" s="91" t="s">
        <v>1068</v>
      </c>
      <c r="D1483" s="92" t="s">
        <v>1069</v>
      </c>
      <c r="E1483" s="93" t="s">
        <v>494</v>
      </c>
      <c r="F1483" s="93">
        <v>1</v>
      </c>
      <c r="G1483" s="93">
        <v>569580.71</v>
      </c>
      <c r="H1483" s="93">
        <v>11.5742274714331</v>
      </c>
      <c r="I1483" s="93">
        <v>14.2</v>
      </c>
    </row>
    <row r="1484" ht="51" spans="1:9">
      <c r="A1484" s="90"/>
      <c r="B1484" s="91" t="s">
        <v>1210</v>
      </c>
      <c r="C1484" s="91" t="s">
        <v>1209</v>
      </c>
      <c r="D1484" s="92" t="s">
        <v>1211</v>
      </c>
      <c r="E1484" s="93" t="s">
        <v>494</v>
      </c>
      <c r="F1484" s="93">
        <v>1</v>
      </c>
      <c r="G1484" s="93">
        <v>143450</v>
      </c>
      <c r="H1484" s="93">
        <v>3.7922485035</v>
      </c>
      <c r="I1484" s="93">
        <v>14.2</v>
      </c>
    </row>
    <row r="1485" spans="1:9">
      <c r="A1485" s="90"/>
      <c r="B1485" s="91" t="s">
        <v>1007</v>
      </c>
      <c r="C1485" s="91" t="s">
        <v>1048</v>
      </c>
      <c r="D1485" s="92" t="s">
        <v>1049</v>
      </c>
      <c r="E1485" s="93" t="s">
        <v>839</v>
      </c>
      <c r="F1485" s="93">
        <v>1</v>
      </c>
      <c r="G1485" s="93">
        <v>1.5</v>
      </c>
      <c r="H1485" s="93">
        <v>1.8489</v>
      </c>
      <c r="I1485" s="93">
        <v>14.2</v>
      </c>
    </row>
    <row r="1486" spans="1:9">
      <c r="A1486" s="90"/>
      <c r="B1486" s="91" t="s">
        <v>1007</v>
      </c>
      <c r="C1486" s="91" t="s">
        <v>1006</v>
      </c>
      <c r="D1486" s="92" t="s">
        <v>1008</v>
      </c>
      <c r="E1486" s="93" t="s">
        <v>839</v>
      </c>
      <c r="F1486" s="93">
        <v>1.2326</v>
      </c>
      <c r="G1486" s="93">
        <v>3.95</v>
      </c>
      <c r="H1486" s="93">
        <v>4.86877</v>
      </c>
      <c r="I1486" s="93">
        <v>17.50292</v>
      </c>
    </row>
    <row r="1487" spans="1:9">
      <c r="A1487" s="90"/>
      <c r="B1487" s="91" t="s">
        <v>1453</v>
      </c>
      <c r="C1487" s="91" t="s">
        <v>1452</v>
      </c>
      <c r="D1487" s="92" t="s">
        <v>1454</v>
      </c>
      <c r="E1487" s="93" t="s">
        <v>839</v>
      </c>
      <c r="F1487" s="93">
        <v>0.21123085</v>
      </c>
      <c r="G1487" s="93">
        <v>15.35</v>
      </c>
      <c r="H1487" s="93">
        <v>3.2423935475</v>
      </c>
      <c r="I1487" s="93">
        <v>2.99947807</v>
      </c>
    </row>
    <row r="1488" spans="1:9">
      <c r="A1488" s="90"/>
      <c r="B1488" s="91" t="s">
        <v>1248</v>
      </c>
      <c r="C1488" s="91" t="s">
        <v>1247</v>
      </c>
      <c r="D1488" s="92" t="s">
        <v>1249</v>
      </c>
      <c r="E1488" s="93" t="s">
        <v>839</v>
      </c>
      <c r="F1488" s="93">
        <v>0.769694678</v>
      </c>
      <c r="G1488" s="93">
        <v>21.83</v>
      </c>
      <c r="H1488" s="93">
        <v>16.80243482074</v>
      </c>
      <c r="I1488" s="93">
        <v>10.9296644276</v>
      </c>
    </row>
    <row r="1489" spans="1:9">
      <c r="A1489" s="90"/>
      <c r="B1489" s="91" t="s">
        <v>1023</v>
      </c>
      <c r="C1489" s="91" t="s">
        <v>1147</v>
      </c>
      <c r="D1489" s="92" t="s">
        <v>1148</v>
      </c>
      <c r="E1489" s="93" t="s">
        <v>839</v>
      </c>
      <c r="F1489" s="93">
        <v>0.27340353</v>
      </c>
      <c r="G1489" s="93">
        <v>23.07</v>
      </c>
      <c r="H1489" s="93">
        <v>6.3074194371</v>
      </c>
      <c r="I1489" s="93">
        <v>3.882330126</v>
      </c>
    </row>
    <row r="1490" spans="1:9">
      <c r="A1490" s="90"/>
      <c r="B1490" s="91" t="s">
        <v>1007</v>
      </c>
      <c r="C1490" s="91" t="s">
        <v>1378</v>
      </c>
      <c r="D1490" s="92" t="s">
        <v>1379</v>
      </c>
      <c r="E1490" s="93" t="s">
        <v>839</v>
      </c>
      <c r="F1490" s="93">
        <v>1.2326</v>
      </c>
      <c r="G1490" s="93">
        <v>0.08</v>
      </c>
      <c r="H1490" s="93">
        <v>0.098608</v>
      </c>
      <c r="I1490" s="93">
        <v>17.50292</v>
      </c>
    </row>
    <row r="1491" ht="25.5" spans="1:9">
      <c r="A1491" s="90"/>
      <c r="B1491" s="91" t="s">
        <v>1111</v>
      </c>
      <c r="C1491" s="91" t="s">
        <v>1558</v>
      </c>
      <c r="D1491" s="92" t="s">
        <v>1559</v>
      </c>
      <c r="E1491" s="93" t="s">
        <v>839</v>
      </c>
      <c r="F1491" s="93">
        <v>0.9636</v>
      </c>
      <c r="G1491" s="93">
        <v>1.13</v>
      </c>
      <c r="H1491" s="93">
        <v>1.088868</v>
      </c>
      <c r="I1491" s="93">
        <v>13.68312</v>
      </c>
    </row>
    <row r="1492" ht="25.5" spans="1:9">
      <c r="A1492" s="90"/>
      <c r="B1492" s="91" t="s">
        <v>1111</v>
      </c>
      <c r="C1492" s="91" t="s">
        <v>1287</v>
      </c>
      <c r="D1492" s="92" t="s">
        <v>1288</v>
      </c>
      <c r="E1492" s="93" t="s">
        <v>839</v>
      </c>
      <c r="F1492" s="93">
        <v>0.269</v>
      </c>
      <c r="G1492" s="93">
        <v>0.89</v>
      </c>
      <c r="H1492" s="93">
        <v>0.23941</v>
      </c>
      <c r="I1492" s="93">
        <v>3.8198</v>
      </c>
    </row>
    <row r="1493" spans="1:9">
      <c r="A1493" s="90"/>
      <c r="B1493" s="91" t="s">
        <v>1007</v>
      </c>
      <c r="C1493" s="91" t="s">
        <v>1050</v>
      </c>
      <c r="D1493" s="92" t="s">
        <v>1051</v>
      </c>
      <c r="E1493" s="93" t="s">
        <v>839</v>
      </c>
      <c r="F1493" s="93">
        <v>1.2326</v>
      </c>
      <c r="G1493" s="93">
        <v>1.43</v>
      </c>
      <c r="H1493" s="93">
        <v>1.762618</v>
      </c>
      <c r="I1493" s="93">
        <v>17.50292</v>
      </c>
    </row>
    <row r="1494" ht="25.5" spans="1:9">
      <c r="A1494" s="90"/>
      <c r="B1494" s="91" t="s">
        <v>1111</v>
      </c>
      <c r="C1494" s="91" t="s">
        <v>1674</v>
      </c>
      <c r="D1494" s="92" t="s">
        <v>1675</v>
      </c>
      <c r="E1494" s="93" t="s">
        <v>839</v>
      </c>
      <c r="F1494" s="93">
        <v>0.9636</v>
      </c>
      <c r="G1494" s="93">
        <v>0.31</v>
      </c>
      <c r="H1494" s="93">
        <v>0.298716</v>
      </c>
      <c r="I1494" s="93">
        <v>13.68312</v>
      </c>
    </row>
    <row r="1495" ht="25.5" spans="1:9">
      <c r="A1495" s="90"/>
      <c r="B1495" s="91" t="s">
        <v>1111</v>
      </c>
      <c r="C1495" s="91" t="s">
        <v>1707</v>
      </c>
      <c r="D1495" s="92" t="s">
        <v>1708</v>
      </c>
      <c r="E1495" s="93" t="s">
        <v>839</v>
      </c>
      <c r="F1495" s="93">
        <v>0.269</v>
      </c>
      <c r="G1495" s="93">
        <v>0.01</v>
      </c>
      <c r="H1495" s="93">
        <v>0.00269</v>
      </c>
      <c r="I1495" s="93">
        <v>3.8198</v>
      </c>
    </row>
    <row r="1496" spans="1:9">
      <c r="A1496" s="90"/>
      <c r="B1496" s="91" t="s">
        <v>985</v>
      </c>
      <c r="C1496" s="91" t="s">
        <v>984</v>
      </c>
      <c r="D1496" s="92" t="s">
        <v>986</v>
      </c>
      <c r="E1496" s="93" t="s">
        <v>215</v>
      </c>
      <c r="F1496" s="93">
        <v>2.370771</v>
      </c>
      <c r="G1496" s="93">
        <v>5.93</v>
      </c>
      <c r="H1496" s="93">
        <v>14.05867203</v>
      </c>
      <c r="I1496" s="93">
        <v>33.6649482</v>
      </c>
    </row>
    <row r="1497" ht="51" spans="1:9">
      <c r="A1497" s="85" t="s">
        <v>2399</v>
      </c>
      <c r="B1497" s="85" t="s">
        <v>884</v>
      </c>
      <c r="C1497" s="85" t="s">
        <v>2400</v>
      </c>
      <c r="D1497" s="87" t="s">
        <v>319</v>
      </c>
      <c r="E1497" s="89" t="s">
        <v>112</v>
      </c>
      <c r="F1497" s="89">
        <v>2</v>
      </c>
      <c r="G1497" s="89">
        <v>23.51</v>
      </c>
      <c r="H1497" s="89">
        <v>47.02</v>
      </c>
      <c r="I1497" s="89">
        <v>2</v>
      </c>
    </row>
    <row r="1498" ht="25.5" spans="1:9">
      <c r="A1498" s="90"/>
      <c r="B1498" s="91" t="s">
        <v>1103</v>
      </c>
      <c r="C1498" s="91" t="s">
        <v>1102</v>
      </c>
      <c r="D1498" s="92" t="s">
        <v>1104</v>
      </c>
      <c r="E1498" s="93" t="s">
        <v>494</v>
      </c>
      <c r="F1498" s="93">
        <v>1</v>
      </c>
      <c r="G1498" s="93">
        <v>850000</v>
      </c>
      <c r="H1498" s="93">
        <v>5.270272</v>
      </c>
      <c r="I1498" s="93">
        <v>2</v>
      </c>
    </row>
    <row r="1499" spans="1:9">
      <c r="A1499" s="90"/>
      <c r="B1499" s="91" t="s">
        <v>1007</v>
      </c>
      <c r="C1499" s="91" t="s">
        <v>1048</v>
      </c>
      <c r="D1499" s="92" t="s">
        <v>1049</v>
      </c>
      <c r="E1499" s="93" t="s">
        <v>839</v>
      </c>
      <c r="F1499" s="93">
        <v>1</v>
      </c>
      <c r="G1499" s="93">
        <v>1.5</v>
      </c>
      <c r="H1499" s="93">
        <v>0.94935</v>
      </c>
      <c r="I1499" s="93">
        <v>2</v>
      </c>
    </row>
    <row r="1500" spans="1:9">
      <c r="A1500" s="90"/>
      <c r="B1500" s="91" t="s">
        <v>1007</v>
      </c>
      <c r="C1500" s="91" t="s">
        <v>1006</v>
      </c>
      <c r="D1500" s="92" t="s">
        <v>1008</v>
      </c>
      <c r="E1500" s="93" t="s">
        <v>839</v>
      </c>
      <c r="F1500" s="93">
        <v>0.6329</v>
      </c>
      <c r="G1500" s="93">
        <v>3.95</v>
      </c>
      <c r="H1500" s="93">
        <v>2.499955</v>
      </c>
      <c r="I1500" s="93">
        <v>1.2658</v>
      </c>
    </row>
    <row r="1501" spans="1:9">
      <c r="A1501" s="90"/>
      <c r="B1501" s="91" t="s">
        <v>1376</v>
      </c>
      <c r="C1501" s="91" t="s">
        <v>1375</v>
      </c>
      <c r="D1501" s="92" t="s">
        <v>1377</v>
      </c>
      <c r="E1501" s="93" t="s">
        <v>839</v>
      </c>
      <c r="F1501" s="93">
        <v>0.34400364</v>
      </c>
      <c r="G1501" s="93">
        <v>17.35</v>
      </c>
      <c r="H1501" s="93">
        <v>5.968463154</v>
      </c>
      <c r="I1501" s="93">
        <v>0.68800728</v>
      </c>
    </row>
    <row r="1502" spans="1:9">
      <c r="A1502" s="90"/>
      <c r="B1502" s="91" t="s">
        <v>1108</v>
      </c>
      <c r="C1502" s="91" t="s">
        <v>1107</v>
      </c>
      <c r="D1502" s="92" t="s">
        <v>1109</v>
      </c>
      <c r="E1502" s="93" t="s">
        <v>839</v>
      </c>
      <c r="F1502" s="93">
        <v>0.068683566</v>
      </c>
      <c r="G1502" s="93">
        <v>21.83</v>
      </c>
      <c r="H1502" s="93">
        <v>1.49936224578</v>
      </c>
      <c r="I1502" s="93">
        <v>0.137367132</v>
      </c>
    </row>
    <row r="1503" spans="1:9">
      <c r="A1503" s="90"/>
      <c r="B1503" s="91" t="s">
        <v>1007</v>
      </c>
      <c r="C1503" s="91" t="s">
        <v>1378</v>
      </c>
      <c r="D1503" s="92" t="s">
        <v>1379</v>
      </c>
      <c r="E1503" s="93" t="s">
        <v>839</v>
      </c>
      <c r="F1503" s="93">
        <v>0.6329</v>
      </c>
      <c r="G1503" s="93">
        <v>0.08</v>
      </c>
      <c r="H1503" s="93">
        <v>0.050632</v>
      </c>
      <c r="I1503" s="93">
        <v>1.2658</v>
      </c>
    </row>
    <row r="1504" spans="1:9">
      <c r="A1504" s="90"/>
      <c r="B1504" s="91" t="s">
        <v>1020</v>
      </c>
      <c r="C1504" s="91" t="s">
        <v>1019</v>
      </c>
      <c r="D1504" s="92" t="s">
        <v>1021</v>
      </c>
      <c r="E1504" s="93" t="s">
        <v>839</v>
      </c>
      <c r="F1504" s="93">
        <v>0.2307912</v>
      </c>
      <c r="G1504" s="93">
        <v>14.49</v>
      </c>
      <c r="H1504" s="93">
        <v>3.344164488</v>
      </c>
      <c r="I1504" s="93">
        <v>0.4615824</v>
      </c>
    </row>
    <row r="1505" ht="25.5" spans="1:9">
      <c r="A1505" s="90"/>
      <c r="B1505" s="91" t="s">
        <v>1111</v>
      </c>
      <c r="C1505" s="91" t="s">
        <v>1287</v>
      </c>
      <c r="D1505" s="92" t="s">
        <v>1288</v>
      </c>
      <c r="E1505" s="93" t="s">
        <v>839</v>
      </c>
      <c r="F1505" s="93">
        <v>0.4069</v>
      </c>
      <c r="G1505" s="93">
        <v>0.89</v>
      </c>
      <c r="H1505" s="93">
        <v>0.362141</v>
      </c>
      <c r="I1505" s="93">
        <v>0.8138</v>
      </c>
    </row>
    <row r="1506" ht="25.5" spans="1:9">
      <c r="A1506" s="90"/>
      <c r="B1506" s="91" t="s">
        <v>1111</v>
      </c>
      <c r="C1506" s="91" t="s">
        <v>1110</v>
      </c>
      <c r="D1506" s="92" t="s">
        <v>1112</v>
      </c>
      <c r="E1506" s="93" t="s">
        <v>839</v>
      </c>
      <c r="F1506" s="93">
        <v>0.226</v>
      </c>
      <c r="G1506" s="93">
        <v>1.39</v>
      </c>
      <c r="H1506" s="93">
        <v>0.31414</v>
      </c>
      <c r="I1506" s="93">
        <v>0.452</v>
      </c>
    </row>
    <row r="1507" spans="1:9">
      <c r="A1507" s="90"/>
      <c r="B1507" s="91" t="s">
        <v>1007</v>
      </c>
      <c r="C1507" s="91" t="s">
        <v>1050</v>
      </c>
      <c r="D1507" s="92" t="s">
        <v>1051</v>
      </c>
      <c r="E1507" s="93" t="s">
        <v>839</v>
      </c>
      <c r="F1507" s="93">
        <v>0.6329</v>
      </c>
      <c r="G1507" s="93">
        <v>1.43</v>
      </c>
      <c r="H1507" s="93">
        <v>0.905047</v>
      </c>
      <c r="I1507" s="93">
        <v>1.2658</v>
      </c>
    </row>
    <row r="1508" ht="25.5" spans="1:9">
      <c r="A1508" s="90"/>
      <c r="B1508" s="91" t="s">
        <v>1111</v>
      </c>
      <c r="C1508" s="91" t="s">
        <v>1707</v>
      </c>
      <c r="D1508" s="92" t="s">
        <v>1708</v>
      </c>
      <c r="E1508" s="93" t="s">
        <v>839</v>
      </c>
      <c r="F1508" s="93">
        <v>0.4069</v>
      </c>
      <c r="G1508" s="93">
        <v>0.01</v>
      </c>
      <c r="H1508" s="93">
        <v>0.004069</v>
      </c>
      <c r="I1508" s="93">
        <v>0.8138</v>
      </c>
    </row>
    <row r="1509" ht="25.5" spans="1:9">
      <c r="A1509" s="90"/>
      <c r="B1509" s="91" t="s">
        <v>1111</v>
      </c>
      <c r="C1509" s="91" t="s">
        <v>1195</v>
      </c>
      <c r="D1509" s="92" t="s">
        <v>1196</v>
      </c>
      <c r="E1509" s="93" t="s">
        <v>839</v>
      </c>
      <c r="F1509" s="93">
        <v>0.226</v>
      </c>
      <c r="G1509" s="93">
        <v>0.61</v>
      </c>
      <c r="H1509" s="93">
        <v>0.13786</v>
      </c>
      <c r="I1509" s="93">
        <v>0.452</v>
      </c>
    </row>
    <row r="1510" spans="1:9">
      <c r="A1510" s="90"/>
      <c r="B1510" s="91" t="s">
        <v>985</v>
      </c>
      <c r="C1510" s="91" t="s">
        <v>984</v>
      </c>
      <c r="D1510" s="92" t="s">
        <v>986</v>
      </c>
      <c r="E1510" s="93" t="s">
        <v>215</v>
      </c>
      <c r="F1510" s="93">
        <v>0.214323</v>
      </c>
      <c r="G1510" s="93">
        <v>5.93</v>
      </c>
      <c r="H1510" s="93">
        <v>1.27093539</v>
      </c>
      <c r="I1510" s="93">
        <v>0.428646</v>
      </c>
    </row>
    <row r="1511" ht="25.5" spans="1:9">
      <c r="A1511" s="90"/>
      <c r="B1511" s="91" t="s">
        <v>1800</v>
      </c>
      <c r="C1511" s="91" t="s">
        <v>1814</v>
      </c>
      <c r="D1511" s="92" t="s">
        <v>1815</v>
      </c>
      <c r="E1511" s="93" t="s">
        <v>494</v>
      </c>
      <c r="F1511" s="93">
        <v>0.0313</v>
      </c>
      <c r="G1511" s="93">
        <v>30.07</v>
      </c>
      <c r="H1511" s="93">
        <v>0.94</v>
      </c>
      <c r="I1511" s="93">
        <v>0.0626</v>
      </c>
    </row>
    <row r="1512" ht="25.5" spans="1:9">
      <c r="A1512" s="85" t="s">
        <v>2401</v>
      </c>
      <c r="B1512" s="85" t="s">
        <v>885</v>
      </c>
      <c r="C1512" s="85" t="s">
        <v>2402</v>
      </c>
      <c r="D1512" s="87" t="s">
        <v>320</v>
      </c>
      <c r="E1512" s="89" t="s">
        <v>112</v>
      </c>
      <c r="F1512" s="89">
        <v>43.5</v>
      </c>
      <c r="G1512" s="89">
        <v>97.64</v>
      </c>
      <c r="H1512" s="89">
        <v>4247.34</v>
      </c>
      <c r="I1512" s="89">
        <v>43.5</v>
      </c>
    </row>
    <row r="1513" ht="38.25" spans="1:9">
      <c r="A1513" s="90"/>
      <c r="B1513" s="91" t="s">
        <v>1002</v>
      </c>
      <c r="C1513" s="91" t="s">
        <v>1068</v>
      </c>
      <c r="D1513" s="92" t="s">
        <v>1069</v>
      </c>
      <c r="E1513" s="93" t="s">
        <v>494</v>
      </c>
      <c r="F1513" s="93">
        <v>1</v>
      </c>
      <c r="G1513" s="93">
        <v>569580.71</v>
      </c>
      <c r="H1513" s="93">
        <v>17.0141105668159</v>
      </c>
      <c r="I1513" s="93">
        <v>43.5</v>
      </c>
    </row>
    <row r="1514" ht="51" spans="1:9">
      <c r="A1514" s="90"/>
      <c r="B1514" s="91" t="s">
        <v>1210</v>
      </c>
      <c r="C1514" s="91" t="s">
        <v>1209</v>
      </c>
      <c r="D1514" s="92" t="s">
        <v>1211</v>
      </c>
      <c r="E1514" s="93" t="s">
        <v>494</v>
      </c>
      <c r="F1514" s="93">
        <v>1</v>
      </c>
      <c r="G1514" s="93">
        <v>143450</v>
      </c>
      <c r="H1514" s="93">
        <v>5.5747782865</v>
      </c>
      <c r="I1514" s="93">
        <v>43.5</v>
      </c>
    </row>
    <row r="1515" spans="1:9">
      <c r="A1515" s="90"/>
      <c r="B1515" s="91" t="s">
        <v>1007</v>
      </c>
      <c r="C1515" s="91" t="s">
        <v>1048</v>
      </c>
      <c r="D1515" s="92" t="s">
        <v>1049</v>
      </c>
      <c r="E1515" s="93" t="s">
        <v>839</v>
      </c>
      <c r="F1515" s="93">
        <v>1</v>
      </c>
      <c r="G1515" s="93">
        <v>1.5</v>
      </c>
      <c r="H1515" s="93">
        <v>2.75145</v>
      </c>
      <c r="I1515" s="93">
        <v>43.5</v>
      </c>
    </row>
    <row r="1516" spans="1:9">
      <c r="A1516" s="90"/>
      <c r="B1516" s="91" t="s">
        <v>1007</v>
      </c>
      <c r="C1516" s="91" t="s">
        <v>1006</v>
      </c>
      <c r="D1516" s="92" t="s">
        <v>1008</v>
      </c>
      <c r="E1516" s="93" t="s">
        <v>839</v>
      </c>
      <c r="F1516" s="93">
        <v>1.8343</v>
      </c>
      <c r="G1516" s="93">
        <v>3.95</v>
      </c>
      <c r="H1516" s="93">
        <v>7.245485</v>
      </c>
      <c r="I1516" s="93">
        <v>79.79205</v>
      </c>
    </row>
    <row r="1517" spans="1:9">
      <c r="A1517" s="90"/>
      <c r="B1517" s="91" t="s">
        <v>1453</v>
      </c>
      <c r="C1517" s="91" t="s">
        <v>1452</v>
      </c>
      <c r="D1517" s="92" t="s">
        <v>1454</v>
      </c>
      <c r="E1517" s="93" t="s">
        <v>839</v>
      </c>
      <c r="F1517" s="93">
        <v>0.315472002</v>
      </c>
      <c r="G1517" s="93">
        <v>15.35</v>
      </c>
      <c r="H1517" s="93">
        <v>4.8424952307</v>
      </c>
      <c r="I1517" s="93">
        <v>13.723032087</v>
      </c>
    </row>
    <row r="1518" spans="1:9">
      <c r="A1518" s="90"/>
      <c r="B1518" s="91" t="s">
        <v>1248</v>
      </c>
      <c r="C1518" s="91" t="s">
        <v>1247</v>
      </c>
      <c r="D1518" s="92" t="s">
        <v>1249</v>
      </c>
      <c r="E1518" s="93" t="s">
        <v>839</v>
      </c>
      <c r="F1518" s="93">
        <v>1.149197622</v>
      </c>
      <c r="G1518" s="93">
        <v>21.83</v>
      </c>
      <c r="H1518" s="93">
        <v>25.08698408826</v>
      </c>
      <c r="I1518" s="93">
        <v>49.990096557</v>
      </c>
    </row>
    <row r="1519" spans="1:9">
      <c r="A1519" s="90"/>
      <c r="B1519" s="91" t="s">
        <v>1023</v>
      </c>
      <c r="C1519" s="91" t="s">
        <v>1147</v>
      </c>
      <c r="D1519" s="92" t="s">
        <v>1148</v>
      </c>
      <c r="E1519" s="93" t="s">
        <v>839</v>
      </c>
      <c r="F1519" s="93">
        <v>0.401974335</v>
      </c>
      <c r="G1519" s="93">
        <v>23.07</v>
      </c>
      <c r="H1519" s="93">
        <v>9.27354790845</v>
      </c>
      <c r="I1519" s="93">
        <v>17.4858835725</v>
      </c>
    </row>
    <row r="1520" spans="1:9">
      <c r="A1520" s="90"/>
      <c r="B1520" s="91" t="s">
        <v>1007</v>
      </c>
      <c r="C1520" s="91" t="s">
        <v>1378</v>
      </c>
      <c r="D1520" s="92" t="s">
        <v>1379</v>
      </c>
      <c r="E1520" s="93" t="s">
        <v>839</v>
      </c>
      <c r="F1520" s="93">
        <v>1.8343</v>
      </c>
      <c r="G1520" s="93">
        <v>0.08</v>
      </c>
      <c r="H1520" s="93">
        <v>0.146744</v>
      </c>
      <c r="I1520" s="93">
        <v>79.79205</v>
      </c>
    </row>
    <row r="1521" ht="25.5" spans="1:9">
      <c r="A1521" s="90"/>
      <c r="B1521" s="91" t="s">
        <v>1111</v>
      </c>
      <c r="C1521" s="91" t="s">
        <v>1558</v>
      </c>
      <c r="D1521" s="92" t="s">
        <v>1559</v>
      </c>
      <c r="E1521" s="93" t="s">
        <v>839</v>
      </c>
      <c r="F1521" s="93">
        <v>1.4388</v>
      </c>
      <c r="G1521" s="93">
        <v>1.13</v>
      </c>
      <c r="H1521" s="93">
        <v>1.625844</v>
      </c>
      <c r="I1521" s="93">
        <v>62.5878</v>
      </c>
    </row>
    <row r="1522" ht="25.5" spans="1:9">
      <c r="A1522" s="90"/>
      <c r="B1522" s="91" t="s">
        <v>1111</v>
      </c>
      <c r="C1522" s="91" t="s">
        <v>1287</v>
      </c>
      <c r="D1522" s="92" t="s">
        <v>1288</v>
      </c>
      <c r="E1522" s="93" t="s">
        <v>839</v>
      </c>
      <c r="F1522" s="93">
        <v>0.3955</v>
      </c>
      <c r="G1522" s="93">
        <v>0.89</v>
      </c>
      <c r="H1522" s="93">
        <v>0.351995</v>
      </c>
      <c r="I1522" s="93">
        <v>17.20425</v>
      </c>
    </row>
    <row r="1523" spans="1:9">
      <c r="A1523" s="90"/>
      <c r="B1523" s="91" t="s">
        <v>1007</v>
      </c>
      <c r="C1523" s="91" t="s">
        <v>1050</v>
      </c>
      <c r="D1523" s="92" t="s">
        <v>1051</v>
      </c>
      <c r="E1523" s="93" t="s">
        <v>839</v>
      </c>
      <c r="F1523" s="93">
        <v>1.8343</v>
      </c>
      <c r="G1523" s="93">
        <v>1.43</v>
      </c>
      <c r="H1523" s="93">
        <v>2.623049</v>
      </c>
      <c r="I1523" s="93">
        <v>79.79205</v>
      </c>
    </row>
    <row r="1524" ht="25.5" spans="1:9">
      <c r="A1524" s="90"/>
      <c r="B1524" s="91" t="s">
        <v>1111</v>
      </c>
      <c r="C1524" s="91" t="s">
        <v>1674</v>
      </c>
      <c r="D1524" s="92" t="s">
        <v>1675</v>
      </c>
      <c r="E1524" s="93" t="s">
        <v>839</v>
      </c>
      <c r="F1524" s="93">
        <v>1.4388</v>
      </c>
      <c r="G1524" s="93">
        <v>0.31</v>
      </c>
      <c r="H1524" s="93">
        <v>0.446028</v>
      </c>
      <c r="I1524" s="93">
        <v>62.5878</v>
      </c>
    </row>
    <row r="1525" ht="25.5" spans="1:9">
      <c r="A1525" s="90"/>
      <c r="B1525" s="91" t="s">
        <v>1111</v>
      </c>
      <c r="C1525" s="91" t="s">
        <v>1707</v>
      </c>
      <c r="D1525" s="92" t="s">
        <v>1708</v>
      </c>
      <c r="E1525" s="93" t="s">
        <v>839</v>
      </c>
      <c r="F1525" s="93">
        <v>0.3955</v>
      </c>
      <c r="G1525" s="93">
        <v>0.01</v>
      </c>
      <c r="H1525" s="93">
        <v>0.003955</v>
      </c>
      <c r="I1525" s="93">
        <v>17.20425</v>
      </c>
    </row>
    <row r="1526" spans="1:9">
      <c r="A1526" s="90"/>
      <c r="B1526" s="91" t="s">
        <v>985</v>
      </c>
      <c r="C1526" s="91" t="s">
        <v>984</v>
      </c>
      <c r="D1526" s="92" t="s">
        <v>986</v>
      </c>
      <c r="E1526" s="93" t="s">
        <v>215</v>
      </c>
      <c r="F1526" s="93">
        <v>3.483474</v>
      </c>
      <c r="G1526" s="93">
        <v>5.93</v>
      </c>
      <c r="H1526" s="93">
        <v>20.65700082</v>
      </c>
      <c r="I1526" s="93">
        <v>151.531119</v>
      </c>
    </row>
    <row r="1527" ht="38.25" spans="1:9">
      <c r="A1527" s="85" t="s">
        <v>2403</v>
      </c>
      <c r="B1527" s="85" t="s">
        <v>2404</v>
      </c>
      <c r="C1527" s="85" t="s">
        <v>2405</v>
      </c>
      <c r="D1527" s="87" t="s">
        <v>321</v>
      </c>
      <c r="E1527" s="89" t="s">
        <v>112</v>
      </c>
      <c r="F1527" s="89">
        <v>2529</v>
      </c>
      <c r="G1527" s="89">
        <v>22.67</v>
      </c>
      <c r="H1527" s="89">
        <v>57332.43</v>
      </c>
      <c r="I1527" s="89">
        <v>2529</v>
      </c>
    </row>
    <row r="1528" ht="38.25" spans="1:9">
      <c r="A1528" s="90"/>
      <c r="B1528" s="91" t="s">
        <v>1002</v>
      </c>
      <c r="C1528" s="91" t="s">
        <v>1068</v>
      </c>
      <c r="D1528" s="92" t="s">
        <v>1069</v>
      </c>
      <c r="E1528" s="93" t="s">
        <v>494</v>
      </c>
      <c r="F1528" s="93">
        <v>1</v>
      </c>
      <c r="G1528" s="93">
        <v>569580.71</v>
      </c>
      <c r="H1528" s="93">
        <v>6.2128667727309</v>
      </c>
      <c r="I1528" s="93">
        <v>2529</v>
      </c>
    </row>
    <row r="1529" ht="51" spans="1:9">
      <c r="A1529" s="90"/>
      <c r="B1529" s="91" t="s">
        <v>1210</v>
      </c>
      <c r="C1529" s="91" t="s">
        <v>1209</v>
      </c>
      <c r="D1529" s="92" t="s">
        <v>1211</v>
      </c>
      <c r="E1529" s="93" t="s">
        <v>494</v>
      </c>
      <c r="F1529" s="93">
        <v>1</v>
      </c>
      <c r="G1529" s="93">
        <v>143450</v>
      </c>
      <c r="H1529" s="93">
        <v>2.0599950765</v>
      </c>
      <c r="I1529" s="93">
        <v>2529</v>
      </c>
    </row>
    <row r="1530" spans="1:9">
      <c r="A1530" s="90"/>
      <c r="B1530" s="91" t="s">
        <v>1007</v>
      </c>
      <c r="C1530" s="91" t="s">
        <v>1048</v>
      </c>
      <c r="D1530" s="92" t="s">
        <v>1049</v>
      </c>
      <c r="E1530" s="93" t="s">
        <v>839</v>
      </c>
      <c r="F1530" s="93">
        <v>1</v>
      </c>
      <c r="G1530" s="93">
        <v>1.5</v>
      </c>
      <c r="H1530" s="93">
        <v>0.43605</v>
      </c>
      <c r="I1530" s="93">
        <v>2529</v>
      </c>
    </row>
    <row r="1531" spans="1:9">
      <c r="A1531" s="90"/>
      <c r="B1531" s="91" t="s">
        <v>1007</v>
      </c>
      <c r="C1531" s="91" t="s">
        <v>1006</v>
      </c>
      <c r="D1531" s="92" t="s">
        <v>1008</v>
      </c>
      <c r="E1531" s="93" t="s">
        <v>839</v>
      </c>
      <c r="F1531" s="93">
        <v>0.2907</v>
      </c>
      <c r="G1531" s="93">
        <v>3.95</v>
      </c>
      <c r="H1531" s="93">
        <v>1.148265</v>
      </c>
      <c r="I1531" s="93">
        <v>735.1803</v>
      </c>
    </row>
    <row r="1532" spans="1:9">
      <c r="A1532" s="90"/>
      <c r="B1532" s="91" t="s">
        <v>1376</v>
      </c>
      <c r="C1532" s="91" t="s">
        <v>1375</v>
      </c>
      <c r="D1532" s="92" t="s">
        <v>1377</v>
      </c>
      <c r="E1532" s="93" t="s">
        <v>839</v>
      </c>
      <c r="F1532" s="93">
        <v>0.04617158</v>
      </c>
      <c r="G1532" s="93">
        <v>17.35</v>
      </c>
      <c r="H1532" s="93">
        <v>0.801076913</v>
      </c>
      <c r="I1532" s="93">
        <v>116.76792582</v>
      </c>
    </row>
    <row r="1533" spans="1:9">
      <c r="A1533" s="90"/>
      <c r="B1533" s="91" t="s">
        <v>1023</v>
      </c>
      <c r="C1533" s="91" t="s">
        <v>1147</v>
      </c>
      <c r="D1533" s="92" t="s">
        <v>1148</v>
      </c>
      <c r="E1533" s="93" t="s">
        <v>839</v>
      </c>
      <c r="F1533" s="93">
        <v>0.156724254</v>
      </c>
      <c r="G1533" s="93">
        <v>23.07</v>
      </c>
      <c r="H1533" s="93">
        <v>3.61562853978</v>
      </c>
      <c r="I1533" s="93">
        <v>396.355638366</v>
      </c>
    </row>
    <row r="1534" spans="1:9">
      <c r="A1534" s="90"/>
      <c r="B1534" s="91" t="s">
        <v>1007</v>
      </c>
      <c r="C1534" s="91" t="s">
        <v>1378</v>
      </c>
      <c r="D1534" s="92" t="s">
        <v>1379</v>
      </c>
      <c r="E1534" s="93" t="s">
        <v>839</v>
      </c>
      <c r="F1534" s="93">
        <v>0.2907</v>
      </c>
      <c r="G1534" s="93">
        <v>0.08</v>
      </c>
      <c r="H1534" s="93">
        <v>0.023256</v>
      </c>
      <c r="I1534" s="93">
        <v>735.1803</v>
      </c>
    </row>
    <row r="1535" spans="1:9">
      <c r="A1535" s="90"/>
      <c r="B1535" s="91" t="s">
        <v>1020</v>
      </c>
      <c r="C1535" s="91" t="s">
        <v>1019</v>
      </c>
      <c r="D1535" s="92" t="s">
        <v>1021</v>
      </c>
      <c r="E1535" s="93" t="s">
        <v>839</v>
      </c>
      <c r="F1535" s="93">
        <v>0.0929292</v>
      </c>
      <c r="G1535" s="93">
        <v>14.49</v>
      </c>
      <c r="H1535" s="93">
        <v>1.346544108</v>
      </c>
      <c r="I1535" s="93">
        <v>235.0179468</v>
      </c>
    </row>
    <row r="1536" ht="25.5" spans="1:9">
      <c r="A1536" s="90"/>
      <c r="B1536" s="91" t="s">
        <v>1111</v>
      </c>
      <c r="C1536" s="91" t="s">
        <v>1287</v>
      </c>
      <c r="D1536" s="92" t="s">
        <v>1288</v>
      </c>
      <c r="E1536" s="93" t="s">
        <v>839</v>
      </c>
      <c r="F1536" s="93">
        <v>0.1997</v>
      </c>
      <c r="G1536" s="93">
        <v>0.89</v>
      </c>
      <c r="H1536" s="93">
        <v>0.177733</v>
      </c>
      <c r="I1536" s="93">
        <v>505.0413</v>
      </c>
    </row>
    <row r="1537" ht="25.5" spans="1:9">
      <c r="A1537" s="90"/>
      <c r="B1537" s="91" t="s">
        <v>1111</v>
      </c>
      <c r="C1537" s="91" t="s">
        <v>1110</v>
      </c>
      <c r="D1537" s="92" t="s">
        <v>1112</v>
      </c>
      <c r="E1537" s="93" t="s">
        <v>839</v>
      </c>
      <c r="F1537" s="93">
        <v>0.091</v>
      </c>
      <c r="G1537" s="93">
        <v>1.39</v>
      </c>
      <c r="H1537" s="93">
        <v>0.12649</v>
      </c>
      <c r="I1537" s="93">
        <v>230.139</v>
      </c>
    </row>
    <row r="1538" spans="1:9">
      <c r="A1538" s="90"/>
      <c r="B1538" s="91" t="s">
        <v>1007</v>
      </c>
      <c r="C1538" s="91" t="s">
        <v>1050</v>
      </c>
      <c r="D1538" s="92" t="s">
        <v>1051</v>
      </c>
      <c r="E1538" s="93" t="s">
        <v>839</v>
      </c>
      <c r="F1538" s="93">
        <v>0.2907</v>
      </c>
      <c r="G1538" s="93">
        <v>1.43</v>
      </c>
      <c r="H1538" s="93">
        <v>0.415701</v>
      </c>
      <c r="I1538" s="93">
        <v>735.1803</v>
      </c>
    </row>
    <row r="1539" ht="25.5" spans="1:9">
      <c r="A1539" s="90"/>
      <c r="B1539" s="91" t="s">
        <v>1111</v>
      </c>
      <c r="C1539" s="91" t="s">
        <v>1707</v>
      </c>
      <c r="D1539" s="92" t="s">
        <v>1708</v>
      </c>
      <c r="E1539" s="93" t="s">
        <v>839</v>
      </c>
      <c r="F1539" s="93">
        <v>0.1997</v>
      </c>
      <c r="G1539" s="93">
        <v>0.01</v>
      </c>
      <c r="H1539" s="93">
        <v>0.001997</v>
      </c>
      <c r="I1539" s="93">
        <v>505.0413</v>
      </c>
    </row>
    <row r="1540" ht="25.5" spans="1:9">
      <c r="A1540" s="90"/>
      <c r="B1540" s="91" t="s">
        <v>1111</v>
      </c>
      <c r="C1540" s="91" t="s">
        <v>1195</v>
      </c>
      <c r="D1540" s="92" t="s">
        <v>1196</v>
      </c>
      <c r="E1540" s="93" t="s">
        <v>839</v>
      </c>
      <c r="F1540" s="93">
        <v>0.091</v>
      </c>
      <c r="G1540" s="93">
        <v>0.61</v>
      </c>
      <c r="H1540" s="93">
        <v>0.05551</v>
      </c>
      <c r="I1540" s="93">
        <v>230.139</v>
      </c>
    </row>
    <row r="1541" spans="1:9">
      <c r="A1541" s="90"/>
      <c r="B1541" s="91" t="s">
        <v>985</v>
      </c>
      <c r="C1541" s="91" t="s">
        <v>984</v>
      </c>
      <c r="D1541" s="92" t="s">
        <v>986</v>
      </c>
      <c r="E1541" s="93" t="s">
        <v>215</v>
      </c>
      <c r="F1541" s="93">
        <v>1.054557</v>
      </c>
      <c r="G1541" s="93">
        <v>5.93</v>
      </c>
      <c r="H1541" s="93">
        <v>6.25352301</v>
      </c>
      <c r="I1541" s="93">
        <v>2666.974653</v>
      </c>
    </row>
    <row r="1542" ht="38.25" spans="1:9">
      <c r="A1542" s="85" t="s">
        <v>2406</v>
      </c>
      <c r="B1542" s="85" t="s">
        <v>2407</v>
      </c>
      <c r="C1542" s="85" t="s">
        <v>2408</v>
      </c>
      <c r="D1542" s="87" t="s">
        <v>322</v>
      </c>
      <c r="E1542" s="89" t="s">
        <v>112</v>
      </c>
      <c r="F1542" s="89">
        <v>15</v>
      </c>
      <c r="G1542" s="89">
        <v>0.77</v>
      </c>
      <c r="H1542" s="89">
        <v>11.55</v>
      </c>
      <c r="I1542" s="89">
        <v>15</v>
      </c>
    </row>
    <row r="1543" spans="1:9">
      <c r="A1543" s="90"/>
      <c r="B1543" s="91" t="s">
        <v>1007</v>
      </c>
      <c r="C1543" s="91" t="s">
        <v>1048</v>
      </c>
      <c r="D1543" s="92" t="s">
        <v>1049</v>
      </c>
      <c r="E1543" s="93" t="s">
        <v>839</v>
      </c>
      <c r="F1543" s="93">
        <v>1</v>
      </c>
      <c r="G1543" s="93">
        <v>1.5</v>
      </c>
      <c r="H1543" s="93">
        <v>0.04785</v>
      </c>
      <c r="I1543" s="93">
        <v>15</v>
      </c>
    </row>
    <row r="1544" spans="1:9">
      <c r="A1544" s="90"/>
      <c r="B1544" s="91" t="s">
        <v>1007</v>
      </c>
      <c r="C1544" s="91" t="s">
        <v>1006</v>
      </c>
      <c r="D1544" s="92" t="s">
        <v>1008</v>
      </c>
      <c r="E1544" s="93" t="s">
        <v>839</v>
      </c>
      <c r="F1544" s="93">
        <v>0.0319</v>
      </c>
      <c r="G1544" s="93">
        <v>3.95</v>
      </c>
      <c r="H1544" s="93">
        <v>0.126005</v>
      </c>
      <c r="I1544" s="93">
        <v>0.4785</v>
      </c>
    </row>
    <row r="1545" spans="1:9">
      <c r="A1545" s="90"/>
      <c r="B1545" s="91" t="s">
        <v>1376</v>
      </c>
      <c r="C1545" s="91" t="s">
        <v>1375</v>
      </c>
      <c r="D1545" s="92" t="s">
        <v>1377</v>
      </c>
      <c r="E1545" s="93" t="s">
        <v>839</v>
      </c>
      <c r="F1545" s="93">
        <v>0.010756456</v>
      </c>
      <c r="G1545" s="93">
        <v>17.35</v>
      </c>
      <c r="H1545" s="93">
        <v>0.1866245116</v>
      </c>
      <c r="I1545" s="93">
        <v>0.16134684</v>
      </c>
    </row>
    <row r="1546" spans="1:9">
      <c r="A1546" s="90"/>
      <c r="B1546" s="91" t="s">
        <v>1007</v>
      </c>
      <c r="C1546" s="91" t="s">
        <v>1378</v>
      </c>
      <c r="D1546" s="92" t="s">
        <v>1379</v>
      </c>
      <c r="E1546" s="93" t="s">
        <v>839</v>
      </c>
      <c r="F1546" s="93">
        <v>0.0319</v>
      </c>
      <c r="G1546" s="93">
        <v>0.08</v>
      </c>
      <c r="H1546" s="93">
        <v>0.002552</v>
      </c>
      <c r="I1546" s="93">
        <v>0.4785</v>
      </c>
    </row>
    <row r="1547" spans="1:9">
      <c r="A1547" s="90"/>
      <c r="B1547" s="91" t="s">
        <v>1020</v>
      </c>
      <c r="C1547" s="91" t="s">
        <v>1019</v>
      </c>
      <c r="D1547" s="92" t="s">
        <v>1021</v>
      </c>
      <c r="E1547" s="93" t="s">
        <v>839</v>
      </c>
      <c r="F1547" s="93">
        <v>0.02175156</v>
      </c>
      <c r="G1547" s="93">
        <v>14.49</v>
      </c>
      <c r="H1547" s="93">
        <v>0.3151801044</v>
      </c>
      <c r="I1547" s="93">
        <v>0.3262734</v>
      </c>
    </row>
    <row r="1548" ht="25.5" spans="1:9">
      <c r="A1548" s="90"/>
      <c r="B1548" s="91" t="s">
        <v>1111</v>
      </c>
      <c r="C1548" s="91" t="s">
        <v>1287</v>
      </c>
      <c r="D1548" s="92" t="s">
        <v>1288</v>
      </c>
      <c r="E1548" s="93" t="s">
        <v>839</v>
      </c>
      <c r="F1548" s="93">
        <v>0.0106</v>
      </c>
      <c r="G1548" s="93">
        <v>0.89</v>
      </c>
      <c r="H1548" s="93">
        <v>0.009434</v>
      </c>
      <c r="I1548" s="93">
        <v>0.159</v>
      </c>
    </row>
    <row r="1549" ht="25.5" spans="1:9">
      <c r="A1549" s="90"/>
      <c r="B1549" s="91" t="s">
        <v>1111</v>
      </c>
      <c r="C1549" s="91" t="s">
        <v>1110</v>
      </c>
      <c r="D1549" s="92" t="s">
        <v>1112</v>
      </c>
      <c r="E1549" s="93" t="s">
        <v>839</v>
      </c>
      <c r="F1549" s="93">
        <v>0.0213</v>
      </c>
      <c r="G1549" s="93">
        <v>1.39</v>
      </c>
      <c r="H1549" s="93">
        <v>0.029607</v>
      </c>
      <c r="I1549" s="93">
        <v>0.3195</v>
      </c>
    </row>
    <row r="1550" spans="1:9">
      <c r="A1550" s="90"/>
      <c r="B1550" s="91" t="s">
        <v>1007</v>
      </c>
      <c r="C1550" s="91" t="s">
        <v>1050</v>
      </c>
      <c r="D1550" s="92" t="s">
        <v>1051</v>
      </c>
      <c r="E1550" s="93" t="s">
        <v>839</v>
      </c>
      <c r="F1550" s="93">
        <v>0.0319</v>
      </c>
      <c r="G1550" s="93">
        <v>1.43</v>
      </c>
      <c r="H1550" s="93">
        <v>0.045617</v>
      </c>
      <c r="I1550" s="93">
        <v>0.4785</v>
      </c>
    </row>
    <row r="1551" ht="25.5" spans="1:9">
      <c r="A1551" s="90"/>
      <c r="B1551" s="91" t="s">
        <v>1111</v>
      </c>
      <c r="C1551" s="91" t="s">
        <v>1707</v>
      </c>
      <c r="D1551" s="92" t="s">
        <v>1708</v>
      </c>
      <c r="E1551" s="93" t="s">
        <v>839</v>
      </c>
      <c r="F1551" s="93">
        <v>0.0106</v>
      </c>
      <c r="G1551" s="93">
        <v>0.01</v>
      </c>
      <c r="H1551" s="93">
        <v>0.000106</v>
      </c>
      <c r="I1551" s="93">
        <v>0.159</v>
      </c>
    </row>
    <row r="1552" ht="25.5" spans="1:9">
      <c r="A1552" s="90"/>
      <c r="B1552" s="91" t="s">
        <v>1111</v>
      </c>
      <c r="C1552" s="91" t="s">
        <v>1195</v>
      </c>
      <c r="D1552" s="92" t="s">
        <v>1196</v>
      </c>
      <c r="E1552" s="93" t="s">
        <v>839</v>
      </c>
      <c r="F1552" s="93">
        <v>0.0213</v>
      </c>
      <c r="G1552" s="93">
        <v>0.61</v>
      </c>
      <c r="H1552" s="93">
        <v>0.012993</v>
      </c>
      <c r="I1552" s="93">
        <v>0.3195</v>
      </c>
    </row>
    <row r="1553" ht="38.25" spans="1:9">
      <c r="A1553" s="85" t="s">
        <v>2409</v>
      </c>
      <c r="B1553" s="85" t="s">
        <v>2410</v>
      </c>
      <c r="C1553" s="85" t="s">
        <v>2411</v>
      </c>
      <c r="D1553" s="87" t="s">
        <v>886</v>
      </c>
      <c r="E1553" s="89" t="s">
        <v>494</v>
      </c>
      <c r="F1553" s="89">
        <v>52</v>
      </c>
      <c r="G1553" s="89">
        <v>154.93</v>
      </c>
      <c r="H1553" s="89">
        <v>8056.36</v>
      </c>
      <c r="I1553" s="89">
        <v>52</v>
      </c>
    </row>
    <row r="1554" spans="1:9">
      <c r="A1554" s="90"/>
      <c r="B1554" s="91" t="s">
        <v>1007</v>
      </c>
      <c r="C1554" s="91" t="s">
        <v>1048</v>
      </c>
      <c r="D1554" s="92" t="s">
        <v>1049</v>
      </c>
      <c r="E1554" s="93" t="s">
        <v>839</v>
      </c>
      <c r="F1554" s="93">
        <v>1</v>
      </c>
      <c r="G1554" s="93">
        <v>1.5</v>
      </c>
      <c r="H1554" s="93">
        <v>5.934</v>
      </c>
      <c r="I1554" s="93">
        <v>52</v>
      </c>
    </row>
    <row r="1555" spans="1:9">
      <c r="A1555" s="90"/>
      <c r="B1555" s="91" t="s">
        <v>1007</v>
      </c>
      <c r="C1555" s="91" t="s">
        <v>1006</v>
      </c>
      <c r="D1555" s="92" t="s">
        <v>1008</v>
      </c>
      <c r="E1555" s="93" t="s">
        <v>839</v>
      </c>
      <c r="F1555" s="93">
        <v>3.956</v>
      </c>
      <c r="G1555" s="93">
        <v>3.95</v>
      </c>
      <c r="H1555" s="93">
        <v>15.6262</v>
      </c>
      <c r="I1555" s="93">
        <v>205.712</v>
      </c>
    </row>
    <row r="1556" spans="1:9">
      <c r="A1556" s="90"/>
      <c r="B1556" s="91" t="s">
        <v>1007</v>
      </c>
      <c r="C1556" s="91" t="s">
        <v>1378</v>
      </c>
      <c r="D1556" s="92" t="s">
        <v>1379</v>
      </c>
      <c r="E1556" s="93" t="s">
        <v>839</v>
      </c>
      <c r="F1556" s="93">
        <v>3.956</v>
      </c>
      <c r="G1556" s="93">
        <v>0.08</v>
      </c>
      <c r="H1556" s="93">
        <v>0.31648</v>
      </c>
      <c r="I1556" s="93">
        <v>205.712</v>
      </c>
    </row>
    <row r="1557" spans="1:9">
      <c r="A1557" s="90"/>
      <c r="B1557" s="91" t="s">
        <v>1020</v>
      </c>
      <c r="C1557" s="91" t="s">
        <v>1019</v>
      </c>
      <c r="D1557" s="92" t="s">
        <v>1021</v>
      </c>
      <c r="E1557" s="93" t="s">
        <v>839</v>
      </c>
      <c r="F1557" s="93">
        <v>4.0398672</v>
      </c>
      <c r="G1557" s="93">
        <v>14.49</v>
      </c>
      <c r="H1557" s="93">
        <v>58.537675728</v>
      </c>
      <c r="I1557" s="93">
        <v>210.0730944</v>
      </c>
    </row>
    <row r="1558" ht="25.5" spans="1:9">
      <c r="A1558" s="90"/>
      <c r="B1558" s="91" t="s">
        <v>1111</v>
      </c>
      <c r="C1558" s="91" t="s">
        <v>1110</v>
      </c>
      <c r="D1558" s="92" t="s">
        <v>1112</v>
      </c>
      <c r="E1558" s="93" t="s">
        <v>839</v>
      </c>
      <c r="F1558" s="93">
        <v>3.956</v>
      </c>
      <c r="G1558" s="93">
        <v>1.39</v>
      </c>
      <c r="H1558" s="93">
        <v>5.49884</v>
      </c>
      <c r="I1558" s="93">
        <v>205.712</v>
      </c>
    </row>
    <row r="1559" spans="1:9">
      <c r="A1559" s="90"/>
      <c r="B1559" s="91" t="s">
        <v>1007</v>
      </c>
      <c r="C1559" s="91" t="s">
        <v>1050</v>
      </c>
      <c r="D1559" s="92" t="s">
        <v>1051</v>
      </c>
      <c r="E1559" s="93" t="s">
        <v>839</v>
      </c>
      <c r="F1559" s="93">
        <v>3.956</v>
      </c>
      <c r="G1559" s="93">
        <v>1.43</v>
      </c>
      <c r="H1559" s="93">
        <v>5.65708</v>
      </c>
      <c r="I1559" s="93">
        <v>205.712</v>
      </c>
    </row>
    <row r="1560" ht="25.5" spans="1:9">
      <c r="A1560" s="90"/>
      <c r="B1560" s="91" t="s">
        <v>1111</v>
      </c>
      <c r="C1560" s="91" t="s">
        <v>1195</v>
      </c>
      <c r="D1560" s="92" t="s">
        <v>1196</v>
      </c>
      <c r="E1560" s="93" t="s">
        <v>839</v>
      </c>
      <c r="F1560" s="93">
        <v>3.956</v>
      </c>
      <c r="G1560" s="93">
        <v>0.61</v>
      </c>
      <c r="H1560" s="93">
        <v>2.41316</v>
      </c>
      <c r="I1560" s="93">
        <v>205.712</v>
      </c>
    </row>
    <row r="1561" spans="1:9">
      <c r="A1561" s="90"/>
      <c r="B1561" s="91" t="s">
        <v>1136</v>
      </c>
      <c r="C1561" s="91" t="s">
        <v>1411</v>
      </c>
      <c r="D1561" s="92" t="s">
        <v>1412</v>
      </c>
      <c r="E1561" s="93" t="s">
        <v>494</v>
      </c>
      <c r="F1561" s="93">
        <v>0.00025631455</v>
      </c>
      <c r="G1561" s="93">
        <v>112469.48</v>
      </c>
      <c r="H1561" s="93">
        <v>28.827564154934</v>
      </c>
      <c r="I1561" s="93">
        <v>0.0133283566</v>
      </c>
    </row>
    <row r="1562" ht="25.5" spans="1:9">
      <c r="A1562" s="90"/>
      <c r="B1562" s="91" t="s">
        <v>1541</v>
      </c>
      <c r="C1562" s="91" t="s">
        <v>1540</v>
      </c>
      <c r="D1562" s="92" t="s">
        <v>1542</v>
      </c>
      <c r="E1562" s="93" t="s">
        <v>494</v>
      </c>
      <c r="F1562" s="93">
        <v>0.000381162976</v>
      </c>
      <c r="G1562" s="93">
        <v>21449.64</v>
      </c>
      <c r="H1562" s="93">
        <v>8.17580861652864</v>
      </c>
      <c r="I1562" s="93">
        <v>0.019820474752</v>
      </c>
    </row>
    <row r="1563" spans="1:9">
      <c r="A1563" s="90"/>
      <c r="B1563" s="91" t="s">
        <v>985</v>
      </c>
      <c r="C1563" s="91" t="s">
        <v>984</v>
      </c>
      <c r="D1563" s="92" t="s">
        <v>986</v>
      </c>
      <c r="E1563" s="93" t="s">
        <v>215</v>
      </c>
      <c r="F1563" s="93">
        <v>4.037842</v>
      </c>
      <c r="G1563" s="93">
        <v>5.93</v>
      </c>
      <c r="H1563" s="93">
        <v>23.94440306</v>
      </c>
      <c r="I1563" s="93">
        <v>209.967784</v>
      </c>
    </row>
    <row r="1564" ht="38.25" spans="1:9">
      <c r="A1564" s="85" t="s">
        <v>2412</v>
      </c>
      <c r="B1564" s="85" t="s">
        <v>2413</v>
      </c>
      <c r="C1564" s="85" t="s">
        <v>2414</v>
      </c>
      <c r="D1564" s="87" t="s">
        <v>887</v>
      </c>
      <c r="E1564" s="89" t="s">
        <v>494</v>
      </c>
      <c r="F1564" s="89">
        <v>4</v>
      </c>
      <c r="G1564" s="89">
        <v>13.27</v>
      </c>
      <c r="H1564" s="89">
        <v>53.08</v>
      </c>
      <c r="I1564" s="89">
        <v>4</v>
      </c>
    </row>
    <row r="1565" spans="1:9">
      <c r="A1565" s="90"/>
      <c r="B1565" s="91" t="s">
        <v>1007</v>
      </c>
      <c r="C1565" s="91" t="s">
        <v>1048</v>
      </c>
      <c r="D1565" s="92" t="s">
        <v>1049</v>
      </c>
      <c r="E1565" s="93" t="s">
        <v>839</v>
      </c>
      <c r="F1565" s="93">
        <v>1</v>
      </c>
      <c r="G1565" s="93">
        <v>1.5</v>
      </c>
      <c r="H1565" s="93">
        <v>0.3177</v>
      </c>
      <c r="I1565" s="93">
        <v>4</v>
      </c>
    </row>
    <row r="1566" spans="1:9">
      <c r="A1566" s="90"/>
      <c r="B1566" s="91" t="s">
        <v>1007</v>
      </c>
      <c r="C1566" s="91" t="s">
        <v>1006</v>
      </c>
      <c r="D1566" s="92" t="s">
        <v>1008</v>
      </c>
      <c r="E1566" s="93" t="s">
        <v>839</v>
      </c>
      <c r="F1566" s="93">
        <v>0.2118</v>
      </c>
      <c r="G1566" s="93">
        <v>3.95</v>
      </c>
      <c r="H1566" s="93">
        <v>0.83661</v>
      </c>
      <c r="I1566" s="93">
        <v>0.8472</v>
      </c>
    </row>
    <row r="1567" spans="1:9">
      <c r="A1567" s="90"/>
      <c r="B1567" s="91" t="s">
        <v>1007</v>
      </c>
      <c r="C1567" s="91" t="s">
        <v>1378</v>
      </c>
      <c r="D1567" s="92" t="s">
        <v>1379</v>
      </c>
      <c r="E1567" s="93" t="s">
        <v>839</v>
      </c>
      <c r="F1567" s="93">
        <v>0.2118</v>
      </c>
      <c r="G1567" s="93">
        <v>0.08</v>
      </c>
      <c r="H1567" s="93">
        <v>0.016944</v>
      </c>
      <c r="I1567" s="93">
        <v>0.8472</v>
      </c>
    </row>
    <row r="1568" spans="1:9">
      <c r="A1568" s="90"/>
      <c r="B1568" s="91" t="s">
        <v>1020</v>
      </c>
      <c r="C1568" s="91" t="s">
        <v>1019</v>
      </c>
      <c r="D1568" s="92" t="s">
        <v>1021</v>
      </c>
      <c r="E1568" s="93" t="s">
        <v>839</v>
      </c>
      <c r="F1568" s="93">
        <v>0.21629016</v>
      </c>
      <c r="G1568" s="93">
        <v>14.49</v>
      </c>
      <c r="H1568" s="93">
        <v>3.1340444184</v>
      </c>
      <c r="I1568" s="93">
        <v>0.86516064</v>
      </c>
    </row>
    <row r="1569" ht="25.5" spans="1:9">
      <c r="A1569" s="90"/>
      <c r="B1569" s="91" t="s">
        <v>1111</v>
      </c>
      <c r="C1569" s="91" t="s">
        <v>1110</v>
      </c>
      <c r="D1569" s="92" t="s">
        <v>1112</v>
      </c>
      <c r="E1569" s="93" t="s">
        <v>839</v>
      </c>
      <c r="F1569" s="93">
        <v>0.2118</v>
      </c>
      <c r="G1569" s="93">
        <v>1.39</v>
      </c>
      <c r="H1569" s="93">
        <v>0.294402</v>
      </c>
      <c r="I1569" s="93">
        <v>0.8472</v>
      </c>
    </row>
    <row r="1570" spans="1:9">
      <c r="A1570" s="90"/>
      <c r="B1570" s="91" t="s">
        <v>1007</v>
      </c>
      <c r="C1570" s="91" t="s">
        <v>1050</v>
      </c>
      <c r="D1570" s="92" t="s">
        <v>1051</v>
      </c>
      <c r="E1570" s="93" t="s">
        <v>839</v>
      </c>
      <c r="F1570" s="93">
        <v>0.2118</v>
      </c>
      <c r="G1570" s="93">
        <v>1.43</v>
      </c>
      <c r="H1570" s="93">
        <v>0.302874</v>
      </c>
      <c r="I1570" s="93">
        <v>0.8472</v>
      </c>
    </row>
    <row r="1571" ht="25.5" spans="1:9">
      <c r="A1571" s="90"/>
      <c r="B1571" s="91" t="s">
        <v>1111</v>
      </c>
      <c r="C1571" s="91" t="s">
        <v>1195</v>
      </c>
      <c r="D1571" s="92" t="s">
        <v>1196</v>
      </c>
      <c r="E1571" s="93" t="s">
        <v>839</v>
      </c>
      <c r="F1571" s="93">
        <v>0.2118</v>
      </c>
      <c r="G1571" s="93">
        <v>0.61</v>
      </c>
      <c r="H1571" s="93">
        <v>0.129198</v>
      </c>
      <c r="I1571" s="93">
        <v>0.8472</v>
      </c>
    </row>
    <row r="1572" spans="1:9">
      <c r="A1572" s="90"/>
      <c r="B1572" s="91" t="s">
        <v>1136</v>
      </c>
      <c r="C1572" s="91" t="s">
        <v>1411</v>
      </c>
      <c r="D1572" s="92" t="s">
        <v>1412</v>
      </c>
      <c r="E1572" s="93" t="s">
        <v>494</v>
      </c>
      <c r="F1572" s="93">
        <v>4.270581e-5</v>
      </c>
      <c r="G1572" s="93">
        <v>112469.48</v>
      </c>
      <c r="H1572" s="93">
        <v>4.8031002436788</v>
      </c>
      <c r="I1572" s="93">
        <v>0.00017082324</v>
      </c>
    </row>
    <row r="1573" ht="25.5" spans="1:9">
      <c r="A1573" s="90"/>
      <c r="B1573" s="91" t="s">
        <v>1541</v>
      </c>
      <c r="C1573" s="91" t="s">
        <v>1540</v>
      </c>
      <c r="D1573" s="92" t="s">
        <v>1542</v>
      </c>
      <c r="E1573" s="93" t="s">
        <v>494</v>
      </c>
      <c r="F1573" s="93">
        <v>6.2707932e-5</v>
      </c>
      <c r="G1573" s="93">
        <v>21449.64</v>
      </c>
      <c r="H1573" s="93">
        <v>1.34506256654448</v>
      </c>
      <c r="I1573" s="93">
        <v>0.000250831728</v>
      </c>
    </row>
    <row r="1574" spans="1:9">
      <c r="A1574" s="90"/>
      <c r="B1574" s="91" t="s">
        <v>985</v>
      </c>
      <c r="C1574" s="91" t="s">
        <v>984</v>
      </c>
      <c r="D1574" s="92" t="s">
        <v>986</v>
      </c>
      <c r="E1574" s="93" t="s">
        <v>215</v>
      </c>
      <c r="F1574" s="93">
        <v>0.353115</v>
      </c>
      <c r="G1574" s="93">
        <v>5.93</v>
      </c>
      <c r="H1574" s="93">
        <v>2.09397195</v>
      </c>
      <c r="I1574" s="93">
        <v>1.41246</v>
      </c>
    </row>
    <row r="1575" ht="51" spans="1:9">
      <c r="A1575" s="85" t="s">
        <v>2415</v>
      </c>
      <c r="B1575" s="85" t="s">
        <v>2416</v>
      </c>
      <c r="C1575" s="85" t="s">
        <v>2417</v>
      </c>
      <c r="D1575" s="87" t="s">
        <v>888</v>
      </c>
      <c r="E1575" s="89" t="s">
        <v>494</v>
      </c>
      <c r="F1575" s="89">
        <v>4</v>
      </c>
      <c r="G1575" s="89">
        <v>78.87</v>
      </c>
      <c r="H1575" s="89">
        <v>315.48</v>
      </c>
      <c r="I1575" s="89">
        <v>4</v>
      </c>
    </row>
    <row r="1576" spans="1:9">
      <c r="A1576" s="90"/>
      <c r="B1576" s="91" t="s">
        <v>1007</v>
      </c>
      <c r="C1576" s="91" t="s">
        <v>1048</v>
      </c>
      <c r="D1576" s="92" t="s">
        <v>1049</v>
      </c>
      <c r="E1576" s="93" t="s">
        <v>839</v>
      </c>
      <c r="F1576" s="93">
        <v>1</v>
      </c>
      <c r="G1576" s="93">
        <v>1.5</v>
      </c>
      <c r="H1576" s="93">
        <v>2.1459</v>
      </c>
      <c r="I1576" s="93">
        <v>4</v>
      </c>
    </row>
    <row r="1577" spans="1:9">
      <c r="A1577" s="90"/>
      <c r="B1577" s="91" t="s">
        <v>1007</v>
      </c>
      <c r="C1577" s="91" t="s">
        <v>1006</v>
      </c>
      <c r="D1577" s="92" t="s">
        <v>1008</v>
      </c>
      <c r="E1577" s="93" t="s">
        <v>839</v>
      </c>
      <c r="F1577" s="93">
        <v>1.4306</v>
      </c>
      <c r="G1577" s="93">
        <v>3.95</v>
      </c>
      <c r="H1577" s="93">
        <v>5.65087</v>
      </c>
      <c r="I1577" s="93">
        <v>5.7224</v>
      </c>
    </row>
    <row r="1578" spans="1:9">
      <c r="A1578" s="90"/>
      <c r="B1578" s="91" t="s">
        <v>1007</v>
      </c>
      <c r="C1578" s="91" t="s">
        <v>1378</v>
      </c>
      <c r="D1578" s="92" t="s">
        <v>1379</v>
      </c>
      <c r="E1578" s="93" t="s">
        <v>839</v>
      </c>
      <c r="F1578" s="93">
        <v>1.4306</v>
      </c>
      <c r="G1578" s="93">
        <v>0.08</v>
      </c>
      <c r="H1578" s="93">
        <v>0.114448</v>
      </c>
      <c r="I1578" s="93">
        <v>5.7224</v>
      </c>
    </row>
    <row r="1579" spans="1:9">
      <c r="A1579" s="90"/>
      <c r="B1579" s="91" t="s">
        <v>1020</v>
      </c>
      <c r="C1579" s="91" t="s">
        <v>1019</v>
      </c>
      <c r="D1579" s="92" t="s">
        <v>1021</v>
      </c>
      <c r="E1579" s="93" t="s">
        <v>839</v>
      </c>
      <c r="F1579" s="93">
        <v>1.46092872</v>
      </c>
      <c r="G1579" s="93">
        <v>14.49</v>
      </c>
      <c r="H1579" s="93">
        <v>21.1688571528</v>
      </c>
      <c r="I1579" s="93">
        <v>5.84371488</v>
      </c>
    </row>
    <row r="1580" ht="25.5" spans="1:9">
      <c r="A1580" s="90"/>
      <c r="B1580" s="91" t="s">
        <v>1111</v>
      </c>
      <c r="C1580" s="91" t="s">
        <v>1110</v>
      </c>
      <c r="D1580" s="92" t="s">
        <v>1112</v>
      </c>
      <c r="E1580" s="93" t="s">
        <v>839</v>
      </c>
      <c r="F1580" s="93">
        <v>1.4306</v>
      </c>
      <c r="G1580" s="93">
        <v>1.39</v>
      </c>
      <c r="H1580" s="93">
        <v>1.988534</v>
      </c>
      <c r="I1580" s="93">
        <v>5.7224</v>
      </c>
    </row>
    <row r="1581" spans="1:9">
      <c r="A1581" s="90"/>
      <c r="B1581" s="91" t="s">
        <v>1007</v>
      </c>
      <c r="C1581" s="91" t="s">
        <v>1050</v>
      </c>
      <c r="D1581" s="92" t="s">
        <v>1051</v>
      </c>
      <c r="E1581" s="93" t="s">
        <v>839</v>
      </c>
      <c r="F1581" s="93">
        <v>1.4306</v>
      </c>
      <c r="G1581" s="93">
        <v>1.43</v>
      </c>
      <c r="H1581" s="93">
        <v>2.045758</v>
      </c>
      <c r="I1581" s="93">
        <v>5.7224</v>
      </c>
    </row>
    <row r="1582" ht="25.5" spans="1:9">
      <c r="A1582" s="90"/>
      <c r="B1582" s="91" t="s">
        <v>1111</v>
      </c>
      <c r="C1582" s="91" t="s">
        <v>1195</v>
      </c>
      <c r="D1582" s="92" t="s">
        <v>1196</v>
      </c>
      <c r="E1582" s="93" t="s">
        <v>839</v>
      </c>
      <c r="F1582" s="93">
        <v>1.4306</v>
      </c>
      <c r="G1582" s="93">
        <v>0.61</v>
      </c>
      <c r="H1582" s="93">
        <v>0.872666</v>
      </c>
      <c r="I1582" s="93">
        <v>5.7224</v>
      </c>
    </row>
    <row r="1583" spans="1:9">
      <c r="A1583" s="90"/>
      <c r="B1583" s="91" t="s">
        <v>1136</v>
      </c>
      <c r="C1583" s="91" t="s">
        <v>1411</v>
      </c>
      <c r="D1583" s="92" t="s">
        <v>1412</v>
      </c>
      <c r="E1583" s="93" t="s">
        <v>494</v>
      </c>
      <c r="F1583" s="93">
        <v>7.51557e-5</v>
      </c>
      <c r="G1583" s="93">
        <v>112469.48</v>
      </c>
      <c r="H1583" s="93">
        <v>8.452722498036</v>
      </c>
      <c r="I1583" s="93">
        <v>0.0003006228</v>
      </c>
    </row>
    <row r="1584" ht="25.5" spans="1:9">
      <c r="A1584" s="90"/>
      <c r="B1584" s="91" t="s">
        <v>1721</v>
      </c>
      <c r="C1584" s="91" t="s">
        <v>1720</v>
      </c>
      <c r="D1584" s="92" t="s">
        <v>1722</v>
      </c>
      <c r="E1584" s="93" t="s">
        <v>494</v>
      </c>
      <c r="F1584" s="93">
        <v>9.0348653e-5</v>
      </c>
      <c r="G1584" s="93">
        <v>95619.8</v>
      </c>
      <c r="H1584" s="93">
        <v>8.6391201301294</v>
      </c>
      <c r="I1584" s="93">
        <v>0.000361394612</v>
      </c>
    </row>
    <row r="1585" spans="1:9">
      <c r="A1585" s="90"/>
      <c r="B1585" s="91" t="s">
        <v>985</v>
      </c>
      <c r="C1585" s="91" t="s">
        <v>984</v>
      </c>
      <c r="D1585" s="92" t="s">
        <v>986</v>
      </c>
      <c r="E1585" s="93" t="s">
        <v>215</v>
      </c>
      <c r="F1585" s="93">
        <v>4.686901</v>
      </c>
      <c r="G1585" s="93">
        <v>5.93</v>
      </c>
      <c r="H1585" s="93">
        <v>27.79332293</v>
      </c>
      <c r="I1585" s="93">
        <v>18.747604</v>
      </c>
    </row>
    <row r="1586" ht="51" spans="1:9">
      <c r="A1586" s="85" t="s">
        <v>2418</v>
      </c>
      <c r="B1586" s="85" t="s">
        <v>2419</v>
      </c>
      <c r="C1586" s="85" t="s">
        <v>2420</v>
      </c>
      <c r="D1586" s="87" t="s">
        <v>889</v>
      </c>
      <c r="E1586" s="89" t="s">
        <v>494</v>
      </c>
      <c r="F1586" s="89">
        <v>4</v>
      </c>
      <c r="G1586" s="89">
        <v>583.34</v>
      </c>
      <c r="H1586" s="89">
        <v>2333.36</v>
      </c>
      <c r="I1586" s="89">
        <v>4</v>
      </c>
    </row>
    <row r="1587" ht="38.25" spans="1:9">
      <c r="A1587" s="90"/>
      <c r="B1587" s="91" t="s">
        <v>1002</v>
      </c>
      <c r="C1587" s="91" t="s">
        <v>1068</v>
      </c>
      <c r="D1587" s="92" t="s">
        <v>1069</v>
      </c>
      <c r="E1587" s="93" t="s">
        <v>494</v>
      </c>
      <c r="F1587" s="93">
        <v>1</v>
      </c>
      <c r="G1587" s="93">
        <v>569580.71</v>
      </c>
      <c r="H1587" s="93">
        <v>94.6888800180223</v>
      </c>
      <c r="I1587" s="93">
        <v>4</v>
      </c>
    </row>
    <row r="1588" ht="51" spans="1:9">
      <c r="A1588" s="90"/>
      <c r="B1588" s="91" t="s">
        <v>1210</v>
      </c>
      <c r="C1588" s="91" t="s">
        <v>1209</v>
      </c>
      <c r="D1588" s="92" t="s">
        <v>1211</v>
      </c>
      <c r="E1588" s="93" t="s">
        <v>494</v>
      </c>
      <c r="F1588" s="93">
        <v>1</v>
      </c>
      <c r="G1588" s="93">
        <v>143450</v>
      </c>
      <c r="H1588" s="93">
        <v>31.2966572055</v>
      </c>
      <c r="I1588" s="93">
        <v>4</v>
      </c>
    </row>
    <row r="1589" spans="1:9">
      <c r="A1589" s="90"/>
      <c r="B1589" s="91" t="s">
        <v>1007</v>
      </c>
      <c r="C1589" s="91" t="s">
        <v>1048</v>
      </c>
      <c r="D1589" s="92" t="s">
        <v>1049</v>
      </c>
      <c r="E1589" s="93" t="s">
        <v>839</v>
      </c>
      <c r="F1589" s="93">
        <v>1</v>
      </c>
      <c r="G1589" s="93">
        <v>1.5</v>
      </c>
      <c r="H1589" s="93">
        <v>13.4556</v>
      </c>
      <c r="I1589" s="93">
        <v>4</v>
      </c>
    </row>
    <row r="1590" spans="1:9">
      <c r="A1590" s="90"/>
      <c r="B1590" s="91" t="s">
        <v>1007</v>
      </c>
      <c r="C1590" s="91" t="s">
        <v>1006</v>
      </c>
      <c r="D1590" s="92" t="s">
        <v>1008</v>
      </c>
      <c r="E1590" s="93" t="s">
        <v>839</v>
      </c>
      <c r="F1590" s="93">
        <v>8.9704</v>
      </c>
      <c r="G1590" s="93">
        <v>3.95</v>
      </c>
      <c r="H1590" s="93">
        <v>35.43308</v>
      </c>
      <c r="I1590" s="93">
        <v>35.8816</v>
      </c>
    </row>
    <row r="1591" spans="1:9">
      <c r="A1591" s="90"/>
      <c r="B1591" s="91" t="s">
        <v>1023</v>
      </c>
      <c r="C1591" s="91" t="s">
        <v>1147</v>
      </c>
      <c r="D1591" s="92" t="s">
        <v>1148</v>
      </c>
      <c r="E1591" s="93" t="s">
        <v>839</v>
      </c>
      <c r="F1591" s="93">
        <v>2.348017974</v>
      </c>
      <c r="G1591" s="93">
        <v>23.07</v>
      </c>
      <c r="H1591" s="93">
        <v>54.16877466018</v>
      </c>
      <c r="I1591" s="93">
        <v>9.392071896</v>
      </c>
    </row>
    <row r="1592" spans="1:9">
      <c r="A1592" s="90"/>
      <c r="B1592" s="91" t="s">
        <v>1007</v>
      </c>
      <c r="C1592" s="91" t="s">
        <v>1378</v>
      </c>
      <c r="D1592" s="92" t="s">
        <v>1379</v>
      </c>
      <c r="E1592" s="93" t="s">
        <v>839</v>
      </c>
      <c r="F1592" s="93">
        <v>8.9704</v>
      </c>
      <c r="G1592" s="93">
        <v>0.08</v>
      </c>
      <c r="H1592" s="93">
        <v>0.717632</v>
      </c>
      <c r="I1592" s="93">
        <v>35.8816</v>
      </c>
    </row>
    <row r="1593" spans="1:9">
      <c r="A1593" s="90"/>
      <c r="B1593" s="91" t="s">
        <v>1020</v>
      </c>
      <c r="C1593" s="91" t="s">
        <v>1019</v>
      </c>
      <c r="D1593" s="92" t="s">
        <v>1021</v>
      </c>
      <c r="E1593" s="93" t="s">
        <v>839</v>
      </c>
      <c r="F1593" s="93">
        <v>6.80139624</v>
      </c>
      <c r="G1593" s="93">
        <v>14.49</v>
      </c>
      <c r="H1593" s="93">
        <v>98.5522315176</v>
      </c>
      <c r="I1593" s="93">
        <v>27.20558496</v>
      </c>
    </row>
    <row r="1594" ht="25.5" spans="1:9">
      <c r="A1594" s="90"/>
      <c r="B1594" s="91" t="s">
        <v>1111</v>
      </c>
      <c r="C1594" s="91" t="s">
        <v>1287</v>
      </c>
      <c r="D1594" s="92" t="s">
        <v>1288</v>
      </c>
      <c r="E1594" s="93" t="s">
        <v>839</v>
      </c>
      <c r="F1594" s="93">
        <v>2.3102</v>
      </c>
      <c r="G1594" s="93">
        <v>0.89</v>
      </c>
      <c r="H1594" s="93">
        <v>2.056078</v>
      </c>
      <c r="I1594" s="93">
        <v>9.2408</v>
      </c>
    </row>
    <row r="1595" ht="25.5" spans="1:9">
      <c r="A1595" s="90"/>
      <c r="B1595" s="91" t="s">
        <v>1111</v>
      </c>
      <c r="C1595" s="91" t="s">
        <v>1110</v>
      </c>
      <c r="D1595" s="92" t="s">
        <v>1112</v>
      </c>
      <c r="E1595" s="93" t="s">
        <v>839</v>
      </c>
      <c r="F1595" s="93">
        <v>6.6602</v>
      </c>
      <c r="G1595" s="93">
        <v>1.39</v>
      </c>
      <c r="H1595" s="93">
        <v>9.257678</v>
      </c>
      <c r="I1595" s="93">
        <v>26.6408</v>
      </c>
    </row>
    <row r="1596" spans="1:9">
      <c r="A1596" s="90"/>
      <c r="B1596" s="91" t="s">
        <v>1007</v>
      </c>
      <c r="C1596" s="91" t="s">
        <v>1050</v>
      </c>
      <c r="D1596" s="92" t="s">
        <v>1051</v>
      </c>
      <c r="E1596" s="93" t="s">
        <v>839</v>
      </c>
      <c r="F1596" s="93">
        <v>8.9704</v>
      </c>
      <c r="G1596" s="93">
        <v>1.43</v>
      </c>
      <c r="H1596" s="93">
        <v>12.827672</v>
      </c>
      <c r="I1596" s="93">
        <v>35.8816</v>
      </c>
    </row>
    <row r="1597" ht="25.5" spans="1:9">
      <c r="A1597" s="90"/>
      <c r="B1597" s="91" t="s">
        <v>1111</v>
      </c>
      <c r="C1597" s="91" t="s">
        <v>1707</v>
      </c>
      <c r="D1597" s="92" t="s">
        <v>1708</v>
      </c>
      <c r="E1597" s="93" t="s">
        <v>839</v>
      </c>
      <c r="F1597" s="93">
        <v>2.3102</v>
      </c>
      <c r="G1597" s="93">
        <v>0.01</v>
      </c>
      <c r="H1597" s="93">
        <v>0.023102</v>
      </c>
      <c r="I1597" s="93">
        <v>9.2408</v>
      </c>
    </row>
    <row r="1598" ht="25.5" spans="1:9">
      <c r="A1598" s="90"/>
      <c r="B1598" s="91" t="s">
        <v>1111</v>
      </c>
      <c r="C1598" s="91" t="s">
        <v>1195</v>
      </c>
      <c r="D1598" s="92" t="s">
        <v>1196</v>
      </c>
      <c r="E1598" s="93" t="s">
        <v>839</v>
      </c>
      <c r="F1598" s="93">
        <v>6.6602</v>
      </c>
      <c r="G1598" s="93">
        <v>0.61</v>
      </c>
      <c r="H1598" s="93">
        <v>4.062722</v>
      </c>
      <c r="I1598" s="93">
        <v>26.6408</v>
      </c>
    </row>
    <row r="1599" spans="1:9">
      <c r="A1599" s="90"/>
      <c r="B1599" s="91" t="s">
        <v>1136</v>
      </c>
      <c r="C1599" s="91" t="s">
        <v>1411</v>
      </c>
      <c r="D1599" s="92" t="s">
        <v>1412</v>
      </c>
      <c r="E1599" s="93" t="s">
        <v>494</v>
      </c>
      <c r="F1599" s="93">
        <v>0.0001749488</v>
      </c>
      <c r="G1599" s="93">
        <v>112469.48</v>
      </c>
      <c r="H1599" s="93">
        <v>19.676400562624</v>
      </c>
      <c r="I1599" s="93">
        <v>0.0006997952</v>
      </c>
    </row>
    <row r="1600" ht="25.5" spans="1:9">
      <c r="A1600" s="90"/>
      <c r="B1600" s="91" t="s">
        <v>1608</v>
      </c>
      <c r="C1600" s="91" t="s">
        <v>1607</v>
      </c>
      <c r="D1600" s="92" t="s">
        <v>1609</v>
      </c>
      <c r="E1600" s="93" t="s">
        <v>494</v>
      </c>
      <c r="F1600" s="93">
        <v>0.000210443736</v>
      </c>
      <c r="G1600" s="93">
        <v>198933.33</v>
      </c>
      <c r="H1600" s="93">
        <v>41.8642731801209</v>
      </c>
      <c r="I1600" s="93">
        <v>0.000841774944</v>
      </c>
    </row>
    <row r="1601" spans="1:9">
      <c r="A1601" s="90"/>
      <c r="B1601" s="91" t="s">
        <v>985</v>
      </c>
      <c r="C1601" s="91" t="s">
        <v>984</v>
      </c>
      <c r="D1601" s="92" t="s">
        <v>986</v>
      </c>
      <c r="E1601" s="93" t="s">
        <v>215</v>
      </c>
      <c r="F1601" s="93">
        <v>27.869703</v>
      </c>
      <c r="G1601" s="93">
        <v>5.93</v>
      </c>
      <c r="H1601" s="93">
        <v>165.26733879</v>
      </c>
      <c r="I1601" s="93">
        <v>111.478812</v>
      </c>
    </row>
    <row r="1602" ht="38.25" spans="1:9">
      <c r="A1602" s="85" t="s">
        <v>2421</v>
      </c>
      <c r="B1602" s="85" t="s">
        <v>890</v>
      </c>
      <c r="C1602" s="85" t="s">
        <v>2422</v>
      </c>
      <c r="D1602" s="87" t="s">
        <v>891</v>
      </c>
      <c r="E1602" s="89" t="s">
        <v>112</v>
      </c>
      <c r="F1602" s="89">
        <v>7.2</v>
      </c>
      <c r="G1602" s="89">
        <v>199.46</v>
      </c>
      <c r="H1602" s="89">
        <v>1436.11</v>
      </c>
      <c r="I1602" s="89">
        <v>7.2</v>
      </c>
    </row>
    <row r="1603" ht="25.5" spans="1:9">
      <c r="A1603" s="90"/>
      <c r="B1603" s="91" t="s">
        <v>1103</v>
      </c>
      <c r="C1603" s="91" t="s">
        <v>1102</v>
      </c>
      <c r="D1603" s="92" t="s">
        <v>1104</v>
      </c>
      <c r="E1603" s="93" t="s">
        <v>494</v>
      </c>
      <c r="F1603" s="93">
        <v>1</v>
      </c>
      <c r="G1603" s="93">
        <v>850000</v>
      </c>
      <c r="H1603" s="93">
        <v>14.4738</v>
      </c>
      <c r="I1603" s="93">
        <v>7.2</v>
      </c>
    </row>
    <row r="1604" spans="1:9">
      <c r="A1604" s="90"/>
      <c r="B1604" s="91" t="s">
        <v>1007</v>
      </c>
      <c r="C1604" s="91" t="s">
        <v>1048</v>
      </c>
      <c r="D1604" s="92" t="s">
        <v>1049</v>
      </c>
      <c r="E1604" s="93" t="s">
        <v>839</v>
      </c>
      <c r="F1604" s="93">
        <v>1</v>
      </c>
      <c r="G1604" s="93">
        <v>1.5</v>
      </c>
      <c r="H1604" s="93">
        <v>1.539465</v>
      </c>
      <c r="I1604" s="93">
        <v>7.2</v>
      </c>
    </row>
    <row r="1605" spans="1:9">
      <c r="A1605" s="90"/>
      <c r="B1605" s="91" t="s">
        <v>1007</v>
      </c>
      <c r="C1605" s="91" t="s">
        <v>1006</v>
      </c>
      <c r="D1605" s="92" t="s">
        <v>1008</v>
      </c>
      <c r="E1605" s="93" t="s">
        <v>839</v>
      </c>
      <c r="F1605" s="93">
        <v>1.02631</v>
      </c>
      <c r="G1605" s="93">
        <v>3.95</v>
      </c>
      <c r="H1605" s="93">
        <v>4.0539245</v>
      </c>
      <c r="I1605" s="93">
        <v>7.389432</v>
      </c>
    </row>
    <row r="1606" spans="1:9">
      <c r="A1606" s="90"/>
      <c r="B1606" s="91" t="s">
        <v>1376</v>
      </c>
      <c r="C1606" s="91" t="s">
        <v>1375</v>
      </c>
      <c r="D1606" s="92" t="s">
        <v>1377</v>
      </c>
      <c r="E1606" s="93" t="s">
        <v>839</v>
      </c>
      <c r="F1606" s="93">
        <v>0.27753686</v>
      </c>
      <c r="G1606" s="93">
        <v>17.35</v>
      </c>
      <c r="H1606" s="93">
        <v>4.815264521</v>
      </c>
      <c r="I1606" s="93">
        <v>1.998265392</v>
      </c>
    </row>
    <row r="1607" spans="1:9">
      <c r="A1607" s="90"/>
      <c r="B1607" s="91" t="s">
        <v>1108</v>
      </c>
      <c r="C1607" s="91" t="s">
        <v>1107</v>
      </c>
      <c r="D1607" s="92" t="s">
        <v>1109</v>
      </c>
      <c r="E1607" s="93" t="s">
        <v>839</v>
      </c>
      <c r="F1607" s="93">
        <v>0.1820772</v>
      </c>
      <c r="G1607" s="93">
        <v>21.83</v>
      </c>
      <c r="H1607" s="93">
        <v>3.974745276</v>
      </c>
      <c r="I1607" s="93">
        <v>1.31095584</v>
      </c>
    </row>
    <row r="1608" spans="1:9">
      <c r="A1608" s="90"/>
      <c r="B1608" s="91" t="s">
        <v>1007</v>
      </c>
      <c r="C1608" s="91" t="s">
        <v>1378</v>
      </c>
      <c r="D1608" s="92" t="s">
        <v>1379</v>
      </c>
      <c r="E1608" s="93" t="s">
        <v>839</v>
      </c>
      <c r="F1608" s="93">
        <v>1.02631</v>
      </c>
      <c r="G1608" s="93">
        <v>0.08</v>
      </c>
      <c r="H1608" s="93">
        <v>0.0821048</v>
      </c>
      <c r="I1608" s="93">
        <v>7.389432</v>
      </c>
    </row>
    <row r="1609" spans="1:9">
      <c r="A1609" s="90"/>
      <c r="B1609" s="91" t="s">
        <v>1020</v>
      </c>
      <c r="C1609" s="91" t="s">
        <v>1019</v>
      </c>
      <c r="D1609" s="92" t="s">
        <v>1021</v>
      </c>
      <c r="E1609" s="93" t="s">
        <v>839</v>
      </c>
      <c r="F1609" s="93">
        <v>0.584953572</v>
      </c>
      <c r="G1609" s="93">
        <v>14.49</v>
      </c>
      <c r="H1609" s="93">
        <v>8.47597725828</v>
      </c>
      <c r="I1609" s="93">
        <v>4.2116657184</v>
      </c>
    </row>
    <row r="1610" ht="25.5" spans="1:9">
      <c r="A1610" s="90"/>
      <c r="B1610" s="91" t="s">
        <v>1010</v>
      </c>
      <c r="C1610" s="91" t="s">
        <v>1009</v>
      </c>
      <c r="D1610" s="92" t="s">
        <v>1011</v>
      </c>
      <c r="E1610" s="93" t="s">
        <v>476</v>
      </c>
      <c r="F1610" s="93">
        <v>0.00321</v>
      </c>
      <c r="G1610" s="93">
        <v>205</v>
      </c>
      <c r="H1610" s="93">
        <v>0.65805</v>
      </c>
      <c r="I1610" s="93">
        <v>0.023112</v>
      </c>
    </row>
    <row r="1611" spans="1:9">
      <c r="A1611" s="90"/>
      <c r="B1611" s="91" t="s">
        <v>1272</v>
      </c>
      <c r="C1611" s="91" t="s">
        <v>1271</v>
      </c>
      <c r="D1611" s="92" t="s">
        <v>1273</v>
      </c>
      <c r="E1611" s="93" t="s">
        <v>463</v>
      </c>
      <c r="F1611" s="93">
        <v>1.44888</v>
      </c>
      <c r="G1611" s="93">
        <v>0.65</v>
      </c>
      <c r="H1611" s="93">
        <v>0.941772</v>
      </c>
      <c r="I1611" s="93">
        <v>10.431936</v>
      </c>
    </row>
    <row r="1612" ht="25.5" spans="1:9">
      <c r="A1612" s="90"/>
      <c r="B1612" s="91" t="s">
        <v>1111</v>
      </c>
      <c r="C1612" s="91" t="s">
        <v>1287</v>
      </c>
      <c r="D1612" s="92" t="s">
        <v>1288</v>
      </c>
      <c r="E1612" s="93" t="s">
        <v>839</v>
      </c>
      <c r="F1612" s="93">
        <v>0.4535</v>
      </c>
      <c r="G1612" s="93">
        <v>0.89</v>
      </c>
      <c r="H1612" s="93">
        <v>0.403615</v>
      </c>
      <c r="I1612" s="93">
        <v>3.2652</v>
      </c>
    </row>
    <row r="1613" ht="25.5" spans="1:9">
      <c r="A1613" s="90"/>
      <c r="B1613" s="91" t="s">
        <v>1111</v>
      </c>
      <c r="C1613" s="91" t="s">
        <v>1110</v>
      </c>
      <c r="D1613" s="92" t="s">
        <v>1112</v>
      </c>
      <c r="E1613" s="93" t="s">
        <v>839</v>
      </c>
      <c r="F1613" s="93">
        <v>0.57281</v>
      </c>
      <c r="G1613" s="93">
        <v>1.39</v>
      </c>
      <c r="H1613" s="93">
        <v>0.7962059</v>
      </c>
      <c r="I1613" s="93">
        <v>4.124232</v>
      </c>
    </row>
    <row r="1614" spans="1:9">
      <c r="A1614" s="90"/>
      <c r="B1614" s="91" t="s">
        <v>1007</v>
      </c>
      <c r="C1614" s="91" t="s">
        <v>1050</v>
      </c>
      <c r="D1614" s="92" t="s">
        <v>1051</v>
      </c>
      <c r="E1614" s="93" t="s">
        <v>839</v>
      </c>
      <c r="F1614" s="93">
        <v>1.02631</v>
      </c>
      <c r="G1614" s="93">
        <v>1.43</v>
      </c>
      <c r="H1614" s="93">
        <v>1.4676233</v>
      </c>
      <c r="I1614" s="93">
        <v>7.389432</v>
      </c>
    </row>
    <row r="1615" ht="25.5" spans="1:9">
      <c r="A1615" s="90"/>
      <c r="B1615" s="91" t="s">
        <v>1111</v>
      </c>
      <c r="C1615" s="91" t="s">
        <v>1707</v>
      </c>
      <c r="D1615" s="92" t="s">
        <v>1708</v>
      </c>
      <c r="E1615" s="93" t="s">
        <v>839</v>
      </c>
      <c r="F1615" s="93">
        <v>0.4535</v>
      </c>
      <c r="G1615" s="93">
        <v>0.01</v>
      </c>
      <c r="H1615" s="93">
        <v>0.004535</v>
      </c>
      <c r="I1615" s="93">
        <v>3.2652</v>
      </c>
    </row>
    <row r="1616" ht="25.5" spans="1:9">
      <c r="A1616" s="90"/>
      <c r="B1616" s="91" t="s">
        <v>1111</v>
      </c>
      <c r="C1616" s="91" t="s">
        <v>1195</v>
      </c>
      <c r="D1616" s="92" t="s">
        <v>1196</v>
      </c>
      <c r="E1616" s="93" t="s">
        <v>839</v>
      </c>
      <c r="F1616" s="93">
        <v>0.57281</v>
      </c>
      <c r="G1616" s="93">
        <v>0.61</v>
      </c>
      <c r="H1616" s="93">
        <v>0.3494141</v>
      </c>
      <c r="I1616" s="93">
        <v>4.124232</v>
      </c>
    </row>
    <row r="1617" spans="1:9">
      <c r="A1617" s="90"/>
      <c r="B1617" s="91" t="s">
        <v>985</v>
      </c>
      <c r="C1617" s="91" t="s">
        <v>984</v>
      </c>
      <c r="D1617" s="92" t="s">
        <v>986</v>
      </c>
      <c r="E1617" s="93" t="s">
        <v>215</v>
      </c>
      <c r="F1617" s="93">
        <v>0.659124</v>
      </c>
      <c r="G1617" s="93">
        <v>5.93</v>
      </c>
      <c r="H1617" s="93">
        <v>3.90860532</v>
      </c>
      <c r="I1617" s="93">
        <v>4.7456928</v>
      </c>
    </row>
    <row r="1618" ht="25.5" spans="1:9">
      <c r="A1618" s="90"/>
      <c r="B1618" s="91" t="s">
        <v>1450</v>
      </c>
      <c r="C1618" s="91" t="s">
        <v>1449</v>
      </c>
      <c r="D1618" s="92" t="s">
        <v>1451</v>
      </c>
      <c r="E1618" s="93" t="s">
        <v>112</v>
      </c>
      <c r="F1618" s="93">
        <v>1.03</v>
      </c>
      <c r="G1618" s="93">
        <v>149.05</v>
      </c>
      <c r="H1618" s="93">
        <v>153.52</v>
      </c>
      <c r="I1618" s="93">
        <v>7.416</v>
      </c>
    </row>
    <row r="1619" spans="1:9">
      <c r="A1619" s="85" t="s">
        <v>2423</v>
      </c>
      <c r="B1619" s="86"/>
      <c r="C1619" s="86"/>
      <c r="D1619" s="87" t="s">
        <v>892</v>
      </c>
      <c r="E1619" s="88"/>
      <c r="F1619" s="89">
        <v>0</v>
      </c>
      <c r="G1619" s="89">
        <v>0</v>
      </c>
      <c r="H1619" s="89">
        <v>0</v>
      </c>
      <c r="I1619" s="89">
        <v>0</v>
      </c>
    </row>
    <row r="1620" spans="1:9">
      <c r="A1620" s="85" t="s">
        <v>2424</v>
      </c>
      <c r="B1620" s="85" t="s">
        <v>893</v>
      </c>
      <c r="C1620" s="85" t="s">
        <v>2425</v>
      </c>
      <c r="D1620" s="87" t="s">
        <v>894</v>
      </c>
      <c r="E1620" s="89" t="s">
        <v>476</v>
      </c>
      <c r="F1620" s="89">
        <v>627.22</v>
      </c>
      <c r="G1620" s="89">
        <v>1.4</v>
      </c>
      <c r="H1620" s="89">
        <v>878.1</v>
      </c>
      <c r="I1620" s="89">
        <v>627.22</v>
      </c>
    </row>
    <row r="1621" spans="1:9">
      <c r="A1621" s="90"/>
      <c r="B1621" s="91" t="s">
        <v>1007</v>
      </c>
      <c r="C1621" s="91" t="s">
        <v>1048</v>
      </c>
      <c r="D1621" s="92" t="s">
        <v>1049</v>
      </c>
      <c r="E1621" s="93" t="s">
        <v>839</v>
      </c>
      <c r="F1621" s="93">
        <v>1</v>
      </c>
      <c r="G1621" s="93">
        <v>1.5</v>
      </c>
      <c r="H1621" s="93">
        <v>0.025878</v>
      </c>
      <c r="I1621" s="93">
        <v>627.22</v>
      </c>
    </row>
    <row r="1622" ht="25.5" spans="1:9">
      <c r="A1622" s="90"/>
      <c r="B1622" s="91" t="s">
        <v>1337</v>
      </c>
      <c r="C1622" s="91" t="s">
        <v>1529</v>
      </c>
      <c r="D1622" s="92" t="s">
        <v>1530</v>
      </c>
      <c r="E1622" s="93" t="s">
        <v>494</v>
      </c>
      <c r="F1622" s="93">
        <v>1</v>
      </c>
      <c r="G1622" s="93">
        <v>1400000</v>
      </c>
      <c r="H1622" s="93">
        <v>0.737381904</v>
      </c>
      <c r="I1622" s="93">
        <v>627.22</v>
      </c>
    </row>
    <row r="1623" spans="1:9">
      <c r="A1623" s="90"/>
      <c r="B1623" s="91" t="s">
        <v>1007</v>
      </c>
      <c r="C1623" s="91" t="s">
        <v>1006</v>
      </c>
      <c r="D1623" s="92" t="s">
        <v>1008</v>
      </c>
      <c r="E1623" s="93" t="s">
        <v>839</v>
      </c>
      <c r="F1623" s="93">
        <v>0.017252</v>
      </c>
      <c r="G1623" s="93">
        <v>3.95</v>
      </c>
      <c r="H1623" s="93">
        <v>0.0681454</v>
      </c>
      <c r="I1623" s="93">
        <v>10.82079944</v>
      </c>
    </row>
    <row r="1624" spans="1:9">
      <c r="A1624" s="90"/>
      <c r="B1624" s="91" t="s">
        <v>1108</v>
      </c>
      <c r="C1624" s="91" t="s">
        <v>1127</v>
      </c>
      <c r="D1624" s="92" t="s">
        <v>1128</v>
      </c>
      <c r="E1624" s="93" t="s">
        <v>839</v>
      </c>
      <c r="F1624" s="93">
        <v>0.00872554404</v>
      </c>
      <c r="G1624" s="93">
        <v>18</v>
      </c>
      <c r="H1624" s="93">
        <v>0.15705979272</v>
      </c>
      <c r="I1624" s="93">
        <v>5.4728357327688</v>
      </c>
    </row>
    <row r="1625" spans="1:9">
      <c r="A1625" s="90"/>
      <c r="B1625" s="91" t="s">
        <v>1007</v>
      </c>
      <c r="C1625" s="91" t="s">
        <v>1378</v>
      </c>
      <c r="D1625" s="92" t="s">
        <v>1379</v>
      </c>
      <c r="E1625" s="93" t="s">
        <v>839</v>
      </c>
      <c r="F1625" s="93">
        <v>0.017252</v>
      </c>
      <c r="G1625" s="93">
        <v>0.08</v>
      </c>
      <c r="H1625" s="93">
        <v>0.00138016</v>
      </c>
      <c r="I1625" s="93">
        <v>10.82079944</v>
      </c>
    </row>
    <row r="1626" spans="1:9">
      <c r="A1626" s="90"/>
      <c r="B1626" s="91" t="s">
        <v>1020</v>
      </c>
      <c r="C1626" s="91" t="s">
        <v>1019</v>
      </c>
      <c r="D1626" s="92" t="s">
        <v>1021</v>
      </c>
      <c r="E1626" s="93" t="s">
        <v>839</v>
      </c>
      <c r="F1626" s="93">
        <v>0.0088088712</v>
      </c>
      <c r="G1626" s="93">
        <v>14.49</v>
      </c>
      <c r="H1626" s="93">
        <v>0.127640543688</v>
      </c>
      <c r="I1626" s="93">
        <v>5.525100194064</v>
      </c>
    </row>
    <row r="1627" ht="25.5" spans="1:9">
      <c r="A1627" s="90"/>
      <c r="B1627" s="91" t="s">
        <v>1111</v>
      </c>
      <c r="C1627" s="91" t="s">
        <v>1287</v>
      </c>
      <c r="D1627" s="92" t="s">
        <v>1288</v>
      </c>
      <c r="E1627" s="93" t="s">
        <v>839</v>
      </c>
      <c r="F1627" s="93">
        <v>0.008626</v>
      </c>
      <c r="G1627" s="93">
        <v>0.89</v>
      </c>
      <c r="H1627" s="93">
        <v>0.00767714</v>
      </c>
      <c r="I1627" s="93">
        <v>5.41039972</v>
      </c>
    </row>
    <row r="1628" ht="25.5" spans="1:9">
      <c r="A1628" s="90"/>
      <c r="B1628" s="91" t="s">
        <v>1111</v>
      </c>
      <c r="C1628" s="91" t="s">
        <v>1110</v>
      </c>
      <c r="D1628" s="92" t="s">
        <v>1112</v>
      </c>
      <c r="E1628" s="93" t="s">
        <v>839</v>
      </c>
      <c r="F1628" s="93">
        <v>0.008626</v>
      </c>
      <c r="G1628" s="93">
        <v>1.39</v>
      </c>
      <c r="H1628" s="93">
        <v>0.01199014</v>
      </c>
      <c r="I1628" s="93">
        <v>5.41039972</v>
      </c>
    </row>
    <row r="1629" spans="1:9">
      <c r="A1629" s="90"/>
      <c r="B1629" s="91" t="s">
        <v>1007</v>
      </c>
      <c r="C1629" s="91" t="s">
        <v>1050</v>
      </c>
      <c r="D1629" s="92" t="s">
        <v>1051</v>
      </c>
      <c r="E1629" s="93" t="s">
        <v>839</v>
      </c>
      <c r="F1629" s="93">
        <v>0.017252</v>
      </c>
      <c r="G1629" s="93">
        <v>1.43</v>
      </c>
      <c r="H1629" s="93">
        <v>0.02467036</v>
      </c>
      <c r="I1629" s="93">
        <v>10.82079944</v>
      </c>
    </row>
    <row r="1630" ht="25.5" spans="1:9">
      <c r="A1630" s="90"/>
      <c r="B1630" s="91" t="s">
        <v>1111</v>
      </c>
      <c r="C1630" s="91" t="s">
        <v>1707</v>
      </c>
      <c r="D1630" s="92" t="s">
        <v>1708</v>
      </c>
      <c r="E1630" s="93" t="s">
        <v>839</v>
      </c>
      <c r="F1630" s="93">
        <v>0.008626</v>
      </c>
      <c r="G1630" s="93">
        <v>0.01</v>
      </c>
      <c r="H1630" s="93">
        <v>8.626e-5</v>
      </c>
      <c r="I1630" s="93">
        <v>5.41039972</v>
      </c>
    </row>
    <row r="1631" ht="25.5" spans="1:9">
      <c r="A1631" s="90"/>
      <c r="B1631" s="91" t="s">
        <v>1111</v>
      </c>
      <c r="C1631" s="91" t="s">
        <v>1195</v>
      </c>
      <c r="D1631" s="92" t="s">
        <v>1196</v>
      </c>
      <c r="E1631" s="93" t="s">
        <v>839</v>
      </c>
      <c r="F1631" s="93">
        <v>0.008626</v>
      </c>
      <c r="G1631" s="93">
        <v>0.61</v>
      </c>
      <c r="H1631" s="93">
        <v>0.00526186</v>
      </c>
      <c r="I1631" s="93">
        <v>5.41039972</v>
      </c>
    </row>
    <row r="1632" spans="1:9">
      <c r="A1632" s="90"/>
      <c r="B1632" s="91" t="s">
        <v>985</v>
      </c>
      <c r="C1632" s="91" t="s">
        <v>984</v>
      </c>
      <c r="D1632" s="92" t="s">
        <v>986</v>
      </c>
      <c r="E1632" s="93" t="s">
        <v>215</v>
      </c>
      <c r="F1632" s="93">
        <v>0.039529142</v>
      </c>
      <c r="G1632" s="93">
        <v>5.93</v>
      </c>
      <c r="H1632" s="93">
        <v>0.23440781206</v>
      </c>
      <c r="I1632" s="93">
        <v>24.79346844524</v>
      </c>
    </row>
    <row r="1633" ht="25.5" spans="1:9">
      <c r="A1633" s="85" t="s">
        <v>2426</v>
      </c>
      <c r="B1633" s="85" t="s">
        <v>2427</v>
      </c>
      <c r="C1633" s="85" t="s">
        <v>2428</v>
      </c>
      <c r="D1633" s="87" t="s">
        <v>895</v>
      </c>
      <c r="E1633" s="89" t="s">
        <v>466</v>
      </c>
      <c r="F1633" s="89">
        <v>223.74</v>
      </c>
      <c r="G1633" s="89">
        <v>9.75</v>
      </c>
      <c r="H1633" s="89">
        <v>2181.46</v>
      </c>
      <c r="I1633" s="89">
        <v>223.74</v>
      </c>
    </row>
    <row r="1634" ht="38.25" spans="1:9">
      <c r="A1634" s="90"/>
      <c r="B1634" s="91" t="s">
        <v>1002</v>
      </c>
      <c r="C1634" s="91" t="s">
        <v>1676</v>
      </c>
      <c r="D1634" s="92" t="s">
        <v>1677</v>
      </c>
      <c r="E1634" s="93" t="s">
        <v>494</v>
      </c>
      <c r="F1634" s="93">
        <v>1</v>
      </c>
      <c r="G1634" s="93">
        <v>518770.52</v>
      </c>
      <c r="H1634" s="93">
        <v>0.187520208123429</v>
      </c>
      <c r="I1634" s="93">
        <v>223.74</v>
      </c>
    </row>
    <row r="1635" spans="1:9">
      <c r="A1635" s="90"/>
      <c r="B1635" s="91" t="s">
        <v>1007</v>
      </c>
      <c r="C1635" s="91" t="s">
        <v>1048</v>
      </c>
      <c r="D1635" s="92" t="s">
        <v>1049</v>
      </c>
      <c r="E1635" s="93" t="s">
        <v>839</v>
      </c>
      <c r="F1635" s="93">
        <v>1</v>
      </c>
      <c r="G1635" s="93">
        <v>1.5</v>
      </c>
      <c r="H1635" s="93">
        <v>0.0262746</v>
      </c>
      <c r="I1635" s="93">
        <v>223.74</v>
      </c>
    </row>
    <row r="1636" ht="25.5" spans="1:9">
      <c r="A1636" s="90"/>
      <c r="B1636" s="91" t="s">
        <v>1690</v>
      </c>
      <c r="C1636" s="91" t="s">
        <v>1689</v>
      </c>
      <c r="D1636" s="92" t="s">
        <v>1691</v>
      </c>
      <c r="E1636" s="93" t="s">
        <v>494</v>
      </c>
      <c r="F1636" s="93">
        <v>1</v>
      </c>
      <c r="G1636" s="93">
        <v>265000</v>
      </c>
      <c r="H1636" s="93">
        <v>0.1385288083</v>
      </c>
      <c r="I1636" s="93">
        <v>223.74</v>
      </c>
    </row>
    <row r="1637" spans="1:9">
      <c r="A1637" s="90"/>
      <c r="B1637" s="91" t="s">
        <v>1007</v>
      </c>
      <c r="C1637" s="91" t="s">
        <v>1006</v>
      </c>
      <c r="D1637" s="92" t="s">
        <v>1008</v>
      </c>
      <c r="E1637" s="93" t="s">
        <v>839</v>
      </c>
      <c r="F1637" s="93">
        <v>0.0175164</v>
      </c>
      <c r="G1637" s="93">
        <v>3.95</v>
      </c>
      <c r="H1637" s="93">
        <v>0.06918978</v>
      </c>
      <c r="I1637" s="93">
        <v>3.919119336</v>
      </c>
    </row>
    <row r="1638" spans="1:9">
      <c r="A1638" s="90"/>
      <c r="B1638" s="91" t="s">
        <v>1023</v>
      </c>
      <c r="C1638" s="91" t="s">
        <v>1436</v>
      </c>
      <c r="D1638" s="92" t="s">
        <v>1437</v>
      </c>
      <c r="E1638" s="93" t="s">
        <v>839</v>
      </c>
      <c r="F1638" s="93">
        <v>0.005626091784</v>
      </c>
      <c r="G1638" s="93">
        <v>21.83</v>
      </c>
      <c r="H1638" s="93">
        <v>0.12281758364472</v>
      </c>
      <c r="I1638" s="93">
        <v>1.25878177575216</v>
      </c>
    </row>
    <row r="1639" spans="1:9">
      <c r="A1639" s="90"/>
      <c r="B1639" s="91" t="s">
        <v>1108</v>
      </c>
      <c r="C1639" s="91" t="s">
        <v>1127</v>
      </c>
      <c r="D1639" s="92" t="s">
        <v>1128</v>
      </c>
      <c r="E1639" s="93" t="s">
        <v>839</v>
      </c>
      <c r="F1639" s="93">
        <v>0.006394146648</v>
      </c>
      <c r="G1639" s="93">
        <v>18</v>
      </c>
      <c r="H1639" s="93">
        <v>0.115094639664</v>
      </c>
      <c r="I1639" s="93">
        <v>1.43062637102352</v>
      </c>
    </row>
    <row r="1640" spans="1:9">
      <c r="A1640" s="90"/>
      <c r="B1640" s="91" t="s">
        <v>1007</v>
      </c>
      <c r="C1640" s="91" t="s">
        <v>1378</v>
      </c>
      <c r="D1640" s="92" t="s">
        <v>1379</v>
      </c>
      <c r="E1640" s="93" t="s">
        <v>839</v>
      </c>
      <c r="F1640" s="93">
        <v>0.0175164</v>
      </c>
      <c r="G1640" s="93">
        <v>0.08</v>
      </c>
      <c r="H1640" s="93">
        <v>0.001401312</v>
      </c>
      <c r="I1640" s="93">
        <v>3.919119336</v>
      </c>
    </row>
    <row r="1641" spans="1:9">
      <c r="A1641" s="90"/>
      <c r="B1641" s="91" t="s">
        <v>1020</v>
      </c>
      <c r="C1641" s="91" t="s">
        <v>1019</v>
      </c>
      <c r="D1641" s="92" t="s">
        <v>1021</v>
      </c>
      <c r="E1641" s="93" t="s">
        <v>839</v>
      </c>
      <c r="F1641" s="93">
        <v>0.00571626912</v>
      </c>
      <c r="G1641" s="93">
        <v>14.49</v>
      </c>
      <c r="H1641" s="93">
        <v>0.0828287395488</v>
      </c>
      <c r="I1641" s="93">
        <v>1.2789580529088</v>
      </c>
    </row>
    <row r="1642" ht="25.5" spans="1:9">
      <c r="A1642" s="90"/>
      <c r="B1642" s="91" t="s">
        <v>1402</v>
      </c>
      <c r="C1642" s="91" t="s">
        <v>1401</v>
      </c>
      <c r="D1642" s="92" t="s">
        <v>1403</v>
      </c>
      <c r="E1642" s="93" t="s">
        <v>463</v>
      </c>
      <c r="F1642" s="93">
        <v>1.2</v>
      </c>
      <c r="G1642" s="93">
        <v>7.17</v>
      </c>
      <c r="H1642" s="93">
        <v>8.6</v>
      </c>
      <c r="I1642" s="93">
        <v>268.488</v>
      </c>
    </row>
    <row r="1643" ht="25.5" spans="1:9">
      <c r="A1643" s="90"/>
      <c r="B1643" s="91" t="s">
        <v>1111</v>
      </c>
      <c r="C1643" s="91" t="s">
        <v>1287</v>
      </c>
      <c r="D1643" s="92" t="s">
        <v>1288</v>
      </c>
      <c r="E1643" s="93" t="s">
        <v>839</v>
      </c>
      <c r="F1643" s="93">
        <v>0.0119188</v>
      </c>
      <c r="G1643" s="93">
        <v>0.89</v>
      </c>
      <c r="H1643" s="93">
        <v>0.010607732</v>
      </c>
      <c r="I1643" s="93">
        <v>2.666712312</v>
      </c>
    </row>
    <row r="1644" ht="25.5" spans="1:9">
      <c r="A1644" s="90"/>
      <c r="B1644" s="91" t="s">
        <v>1111</v>
      </c>
      <c r="C1644" s="91" t="s">
        <v>1110</v>
      </c>
      <c r="D1644" s="92" t="s">
        <v>1112</v>
      </c>
      <c r="E1644" s="93" t="s">
        <v>839</v>
      </c>
      <c r="F1644" s="93">
        <v>0.0055976</v>
      </c>
      <c r="G1644" s="93">
        <v>1.39</v>
      </c>
      <c r="H1644" s="93">
        <v>0.007780664</v>
      </c>
      <c r="I1644" s="93">
        <v>1.252407024</v>
      </c>
    </row>
    <row r="1645" ht="38.25" spans="1:9">
      <c r="A1645" s="90"/>
      <c r="B1645" s="91" t="s">
        <v>1726</v>
      </c>
      <c r="C1645" s="91" t="s">
        <v>1725</v>
      </c>
      <c r="D1645" s="92" t="s">
        <v>1727</v>
      </c>
      <c r="E1645" s="93" t="s">
        <v>494</v>
      </c>
      <c r="F1645" s="93">
        <v>3.0298176e-7</v>
      </c>
      <c r="G1645" s="93">
        <v>246246.87</v>
      </c>
      <c r="H1645" s="93">
        <v>0.0746083100670912</v>
      </c>
      <c r="I1645" s="93">
        <v>6.77891389824e-5</v>
      </c>
    </row>
    <row r="1646" spans="1:9">
      <c r="A1646" s="90"/>
      <c r="B1646" s="91" t="s">
        <v>1007</v>
      </c>
      <c r="C1646" s="91" t="s">
        <v>1050</v>
      </c>
      <c r="D1646" s="92" t="s">
        <v>1051</v>
      </c>
      <c r="E1646" s="93" t="s">
        <v>839</v>
      </c>
      <c r="F1646" s="93">
        <v>0.0175164</v>
      </c>
      <c r="G1646" s="93">
        <v>1.43</v>
      </c>
      <c r="H1646" s="93">
        <v>0.025048452</v>
      </c>
      <c r="I1646" s="93">
        <v>3.919119336</v>
      </c>
    </row>
    <row r="1647" ht="25.5" spans="1:9">
      <c r="A1647" s="90"/>
      <c r="B1647" s="91" t="s">
        <v>1111</v>
      </c>
      <c r="C1647" s="91" t="s">
        <v>1707</v>
      </c>
      <c r="D1647" s="92" t="s">
        <v>1708</v>
      </c>
      <c r="E1647" s="93" t="s">
        <v>839</v>
      </c>
      <c r="F1647" s="93">
        <v>0.0119188</v>
      </c>
      <c r="G1647" s="93">
        <v>0.01</v>
      </c>
      <c r="H1647" s="93">
        <v>0.000119188</v>
      </c>
      <c r="I1647" s="93">
        <v>2.666712312</v>
      </c>
    </row>
    <row r="1648" ht="25.5" spans="1:9">
      <c r="A1648" s="90"/>
      <c r="B1648" s="91" t="s">
        <v>1111</v>
      </c>
      <c r="C1648" s="91" t="s">
        <v>1195</v>
      </c>
      <c r="D1648" s="92" t="s">
        <v>1196</v>
      </c>
      <c r="E1648" s="93" t="s">
        <v>839</v>
      </c>
      <c r="F1648" s="93">
        <v>0.0055976</v>
      </c>
      <c r="G1648" s="93">
        <v>0.61</v>
      </c>
      <c r="H1648" s="93">
        <v>0.003414536</v>
      </c>
      <c r="I1648" s="93">
        <v>1.252407024</v>
      </c>
    </row>
    <row r="1649" spans="1:9">
      <c r="A1649" s="90"/>
      <c r="B1649" s="91" t="s">
        <v>985</v>
      </c>
      <c r="C1649" s="91" t="s">
        <v>984</v>
      </c>
      <c r="D1649" s="92" t="s">
        <v>986</v>
      </c>
      <c r="E1649" s="93" t="s">
        <v>215</v>
      </c>
      <c r="F1649" s="93">
        <v>0.042062278</v>
      </c>
      <c r="G1649" s="93">
        <v>5.93</v>
      </c>
      <c r="H1649" s="93">
        <v>0.24942930854</v>
      </c>
      <c r="I1649" s="93">
        <v>9.41101407972</v>
      </c>
    </row>
    <row r="1650" ht="25.5" spans="1:9">
      <c r="A1650" s="90"/>
      <c r="B1650" s="91" t="s">
        <v>1761</v>
      </c>
      <c r="C1650" s="91" t="s">
        <v>1760</v>
      </c>
      <c r="D1650" s="92" t="s">
        <v>1762</v>
      </c>
      <c r="E1650" s="93" t="s">
        <v>494</v>
      </c>
      <c r="F1650" s="93">
        <v>5.1090008e-7</v>
      </c>
      <c r="G1650" s="93">
        <v>70306.12</v>
      </c>
      <c r="H1650" s="93">
        <v>0.0359194023324896</v>
      </c>
      <c r="I1650" s="93">
        <v>0.0001143087838992</v>
      </c>
    </row>
    <row r="1651" ht="38.25" spans="1:9">
      <c r="A1651" s="85" t="s">
        <v>2429</v>
      </c>
      <c r="B1651" s="85" t="s">
        <v>581</v>
      </c>
      <c r="C1651" s="85" t="s">
        <v>2430</v>
      </c>
      <c r="D1651" s="87" t="s">
        <v>582</v>
      </c>
      <c r="E1651" s="89" t="s">
        <v>466</v>
      </c>
      <c r="F1651" s="89">
        <v>11.16</v>
      </c>
      <c r="G1651" s="89">
        <v>106.94</v>
      </c>
      <c r="H1651" s="89">
        <v>1193.45</v>
      </c>
      <c r="I1651" s="89">
        <v>11.16</v>
      </c>
    </row>
    <row r="1652" ht="25.5" spans="1:9">
      <c r="A1652" s="90"/>
      <c r="B1652" s="91" t="s">
        <v>1776</v>
      </c>
      <c r="C1652" s="91" t="s">
        <v>1775</v>
      </c>
      <c r="D1652" s="92" t="s">
        <v>1777</v>
      </c>
      <c r="E1652" s="93" t="s">
        <v>494</v>
      </c>
      <c r="F1652" s="93">
        <v>1</v>
      </c>
      <c r="G1652" s="93">
        <v>5000</v>
      </c>
      <c r="H1652" s="93">
        <v>0.0907458239</v>
      </c>
      <c r="I1652" s="93">
        <v>11.16</v>
      </c>
    </row>
    <row r="1653" spans="1:9">
      <c r="A1653" s="90"/>
      <c r="B1653" s="91" t="s">
        <v>1007</v>
      </c>
      <c r="C1653" s="91" t="s">
        <v>1048</v>
      </c>
      <c r="D1653" s="92" t="s">
        <v>1049</v>
      </c>
      <c r="E1653" s="93" t="s">
        <v>839</v>
      </c>
      <c r="F1653" s="93">
        <v>1</v>
      </c>
      <c r="G1653" s="93">
        <v>1.5</v>
      </c>
      <c r="H1653" s="93">
        <v>1.566274725</v>
      </c>
      <c r="I1653" s="93">
        <v>11.16</v>
      </c>
    </row>
    <row r="1654" spans="1:9">
      <c r="A1654" s="90"/>
      <c r="B1654" s="91" t="s">
        <v>1007</v>
      </c>
      <c r="C1654" s="91" t="s">
        <v>1006</v>
      </c>
      <c r="D1654" s="92" t="s">
        <v>1008</v>
      </c>
      <c r="E1654" s="93" t="s">
        <v>839</v>
      </c>
      <c r="F1654" s="93">
        <v>1.04418315</v>
      </c>
      <c r="G1654" s="93">
        <v>3.95</v>
      </c>
      <c r="H1654" s="93">
        <v>4.1245234425</v>
      </c>
      <c r="I1654" s="93">
        <v>11.653083954</v>
      </c>
    </row>
    <row r="1655" spans="1:9">
      <c r="A1655" s="90"/>
      <c r="B1655" s="91" t="s">
        <v>993</v>
      </c>
      <c r="C1655" s="91" t="s">
        <v>992</v>
      </c>
      <c r="D1655" s="92" t="s">
        <v>994</v>
      </c>
      <c r="E1655" s="93" t="s">
        <v>839</v>
      </c>
      <c r="F1655" s="93">
        <v>0.131601354</v>
      </c>
      <c r="G1655" s="93">
        <v>21.83</v>
      </c>
      <c r="H1655" s="93">
        <v>2.87285755782</v>
      </c>
      <c r="I1655" s="93">
        <v>1.46867111064</v>
      </c>
    </row>
    <row r="1656" spans="1:9">
      <c r="A1656" s="90"/>
      <c r="B1656" s="91" t="s">
        <v>1506</v>
      </c>
      <c r="C1656" s="91" t="s">
        <v>1505</v>
      </c>
      <c r="D1656" s="92" t="s">
        <v>1507</v>
      </c>
      <c r="E1656" s="93" t="s">
        <v>839</v>
      </c>
      <c r="F1656" s="93">
        <v>0.159366521261</v>
      </c>
      <c r="G1656" s="93">
        <v>18</v>
      </c>
      <c r="H1656" s="93">
        <v>2.868597382698</v>
      </c>
      <c r="I1656" s="93">
        <v>1.77853037727276</v>
      </c>
    </row>
    <row r="1657" spans="1:9">
      <c r="A1657" s="90"/>
      <c r="B1657" s="91" t="s">
        <v>1090</v>
      </c>
      <c r="C1657" s="91" t="s">
        <v>1089</v>
      </c>
      <c r="D1657" s="92" t="s">
        <v>1091</v>
      </c>
      <c r="E1657" s="93" t="s">
        <v>839</v>
      </c>
      <c r="F1657" s="93">
        <v>0.19218984</v>
      </c>
      <c r="G1657" s="93">
        <v>21.83</v>
      </c>
      <c r="H1657" s="93">
        <v>4.1955042072</v>
      </c>
      <c r="I1657" s="93">
        <v>2.1448386144</v>
      </c>
    </row>
    <row r="1658" spans="1:9">
      <c r="A1658" s="90"/>
      <c r="B1658" s="91" t="s">
        <v>1007</v>
      </c>
      <c r="C1658" s="91" t="s">
        <v>1378</v>
      </c>
      <c r="D1658" s="92" t="s">
        <v>1379</v>
      </c>
      <c r="E1658" s="93" t="s">
        <v>839</v>
      </c>
      <c r="F1658" s="93">
        <v>1.04418315</v>
      </c>
      <c r="G1658" s="93">
        <v>0.08</v>
      </c>
      <c r="H1658" s="93">
        <v>0.083534652</v>
      </c>
      <c r="I1658" s="93">
        <v>11.653083954</v>
      </c>
    </row>
    <row r="1659" spans="1:9">
      <c r="A1659" s="90"/>
      <c r="B1659" s="91" t="s">
        <v>1020</v>
      </c>
      <c r="C1659" s="91" t="s">
        <v>1019</v>
      </c>
      <c r="D1659" s="92" t="s">
        <v>1021</v>
      </c>
      <c r="E1659" s="93" t="s">
        <v>839</v>
      </c>
      <c r="F1659" s="93">
        <v>0.57986804706</v>
      </c>
      <c r="G1659" s="93">
        <v>14.49</v>
      </c>
      <c r="H1659" s="93">
        <v>8.4022880018994</v>
      </c>
      <c r="I1659" s="93">
        <v>6.4713274051896</v>
      </c>
    </row>
    <row r="1660" ht="25.5" spans="1:9">
      <c r="A1660" s="90"/>
      <c r="B1660" s="91" t="s">
        <v>1010</v>
      </c>
      <c r="C1660" s="91" t="s">
        <v>1009</v>
      </c>
      <c r="D1660" s="92" t="s">
        <v>1011</v>
      </c>
      <c r="E1660" s="93" t="s">
        <v>476</v>
      </c>
      <c r="F1660" s="93">
        <v>0.0744463</v>
      </c>
      <c r="G1660" s="93">
        <v>205</v>
      </c>
      <c r="H1660" s="93">
        <v>15.2614915</v>
      </c>
      <c r="I1660" s="93">
        <v>0.830820708</v>
      </c>
    </row>
    <row r="1661" spans="1:9">
      <c r="A1661" s="90"/>
      <c r="B1661" s="91" t="s">
        <v>1272</v>
      </c>
      <c r="C1661" s="91" t="s">
        <v>1271</v>
      </c>
      <c r="D1661" s="92" t="s">
        <v>1273</v>
      </c>
      <c r="E1661" s="93" t="s">
        <v>463</v>
      </c>
      <c r="F1661" s="93">
        <v>31.81330345</v>
      </c>
      <c r="G1661" s="93">
        <v>0.65</v>
      </c>
      <c r="H1661" s="93">
        <v>20.6786472425</v>
      </c>
      <c r="I1661" s="93">
        <v>355.036466502</v>
      </c>
    </row>
    <row r="1662" ht="25.5" spans="1:9">
      <c r="A1662" s="90"/>
      <c r="B1662" s="91" t="s">
        <v>1586</v>
      </c>
      <c r="C1662" s="91" t="s">
        <v>1585</v>
      </c>
      <c r="D1662" s="92" t="s">
        <v>1587</v>
      </c>
      <c r="E1662" s="93" t="s">
        <v>215</v>
      </c>
      <c r="F1662" s="93">
        <v>0.0017</v>
      </c>
      <c r="G1662" s="93">
        <v>7.16</v>
      </c>
      <c r="H1662" s="93">
        <v>0.01</v>
      </c>
      <c r="I1662" s="93">
        <v>0.018972</v>
      </c>
    </row>
    <row r="1663" spans="1:9">
      <c r="A1663" s="90"/>
      <c r="B1663" s="91" t="s">
        <v>1693</v>
      </c>
      <c r="C1663" s="91" t="s">
        <v>1692</v>
      </c>
      <c r="D1663" s="92" t="s">
        <v>1694</v>
      </c>
      <c r="E1663" s="93" t="s">
        <v>1695</v>
      </c>
      <c r="F1663" s="93">
        <v>0.1016889375</v>
      </c>
      <c r="G1663" s="93">
        <v>0.72</v>
      </c>
      <c r="H1663" s="93">
        <v>0.073216035</v>
      </c>
      <c r="I1663" s="93">
        <v>1.1348485425</v>
      </c>
    </row>
    <row r="1664" ht="25.5" spans="1:9">
      <c r="A1664" s="90"/>
      <c r="B1664" s="91" t="s">
        <v>1111</v>
      </c>
      <c r="C1664" s="91" t="s">
        <v>1174</v>
      </c>
      <c r="D1664" s="92" t="s">
        <v>1175</v>
      </c>
      <c r="E1664" s="93" t="s">
        <v>839</v>
      </c>
      <c r="F1664" s="93">
        <v>0.1301</v>
      </c>
      <c r="G1664" s="93">
        <v>1.43</v>
      </c>
      <c r="H1664" s="93">
        <v>0.186043</v>
      </c>
      <c r="I1664" s="93">
        <v>1.451916</v>
      </c>
    </row>
    <row r="1665" ht="25.5" spans="1:9">
      <c r="A1665" s="90"/>
      <c r="B1665" s="91" t="s">
        <v>1111</v>
      </c>
      <c r="C1665" s="91" t="s">
        <v>1287</v>
      </c>
      <c r="D1665" s="92" t="s">
        <v>1288</v>
      </c>
      <c r="E1665" s="93" t="s">
        <v>839</v>
      </c>
      <c r="F1665" s="93">
        <v>0.1580531</v>
      </c>
      <c r="G1665" s="93">
        <v>0.89</v>
      </c>
      <c r="H1665" s="93">
        <v>0.140667259</v>
      </c>
      <c r="I1665" s="93">
        <v>1.763872596</v>
      </c>
    </row>
    <row r="1666" ht="25.5" spans="1:9">
      <c r="A1666" s="90"/>
      <c r="B1666" s="91" t="s">
        <v>1111</v>
      </c>
      <c r="C1666" s="91" t="s">
        <v>1351</v>
      </c>
      <c r="D1666" s="92" t="s">
        <v>1352</v>
      </c>
      <c r="E1666" s="93" t="s">
        <v>839</v>
      </c>
      <c r="F1666" s="93">
        <v>0.1882</v>
      </c>
      <c r="G1666" s="93">
        <v>1.31</v>
      </c>
      <c r="H1666" s="93">
        <v>0.246542</v>
      </c>
      <c r="I1666" s="93">
        <v>2.100312</v>
      </c>
    </row>
    <row r="1667" ht="25.5" spans="1:9">
      <c r="A1667" s="90"/>
      <c r="B1667" s="91" t="s">
        <v>1111</v>
      </c>
      <c r="C1667" s="91" t="s">
        <v>1110</v>
      </c>
      <c r="D1667" s="92" t="s">
        <v>1112</v>
      </c>
      <c r="E1667" s="93" t="s">
        <v>839</v>
      </c>
      <c r="F1667" s="93">
        <v>0.56783005</v>
      </c>
      <c r="G1667" s="93">
        <v>1.39</v>
      </c>
      <c r="H1667" s="93">
        <v>0.7892837695</v>
      </c>
      <c r="I1667" s="93">
        <v>6.336983358</v>
      </c>
    </row>
    <row r="1668" spans="1:9">
      <c r="A1668" s="90"/>
      <c r="B1668" s="91" t="s">
        <v>1007</v>
      </c>
      <c r="C1668" s="91" t="s">
        <v>1050</v>
      </c>
      <c r="D1668" s="92" t="s">
        <v>1051</v>
      </c>
      <c r="E1668" s="93" t="s">
        <v>839</v>
      </c>
      <c r="F1668" s="93">
        <v>1.04418315</v>
      </c>
      <c r="G1668" s="93">
        <v>1.43</v>
      </c>
      <c r="H1668" s="93">
        <v>1.4931819045</v>
      </c>
      <c r="I1668" s="93">
        <v>11.653083954</v>
      </c>
    </row>
    <row r="1669" ht="25.5" spans="1:9">
      <c r="A1669" s="90"/>
      <c r="B1669" s="91" t="s">
        <v>1111</v>
      </c>
      <c r="C1669" s="91" t="s">
        <v>1310</v>
      </c>
      <c r="D1669" s="92" t="s">
        <v>1311</v>
      </c>
      <c r="E1669" s="93" t="s">
        <v>839</v>
      </c>
      <c r="F1669" s="93">
        <v>0.1301</v>
      </c>
      <c r="G1669" s="93">
        <v>0.44</v>
      </c>
      <c r="H1669" s="93">
        <v>0.057244</v>
      </c>
      <c r="I1669" s="93">
        <v>1.451916</v>
      </c>
    </row>
    <row r="1670" ht="25.5" spans="1:9">
      <c r="A1670" s="90"/>
      <c r="B1670" s="91" t="s">
        <v>1111</v>
      </c>
      <c r="C1670" s="91" t="s">
        <v>1707</v>
      </c>
      <c r="D1670" s="92" t="s">
        <v>1708</v>
      </c>
      <c r="E1670" s="93" t="s">
        <v>839</v>
      </c>
      <c r="F1670" s="93">
        <v>0.1580531</v>
      </c>
      <c r="G1670" s="93">
        <v>0.01</v>
      </c>
      <c r="H1670" s="93">
        <v>0.001580531</v>
      </c>
      <c r="I1670" s="93">
        <v>1.763872596</v>
      </c>
    </row>
    <row r="1671" ht="25.5" spans="1:9">
      <c r="A1671" s="90"/>
      <c r="B1671" s="91" t="s">
        <v>1111</v>
      </c>
      <c r="C1671" s="91" t="s">
        <v>1427</v>
      </c>
      <c r="D1671" s="92" t="s">
        <v>1428</v>
      </c>
      <c r="E1671" s="93" t="s">
        <v>839</v>
      </c>
      <c r="F1671" s="93">
        <v>0.1882</v>
      </c>
      <c r="G1671" s="93">
        <v>0.78</v>
      </c>
      <c r="H1671" s="93">
        <v>0.146796</v>
      </c>
      <c r="I1671" s="93">
        <v>2.100312</v>
      </c>
    </row>
    <row r="1672" ht="25.5" spans="1:9">
      <c r="A1672" s="90"/>
      <c r="B1672" s="91" t="s">
        <v>1111</v>
      </c>
      <c r="C1672" s="91" t="s">
        <v>1195</v>
      </c>
      <c r="D1672" s="92" t="s">
        <v>1196</v>
      </c>
      <c r="E1672" s="93" t="s">
        <v>839</v>
      </c>
      <c r="F1672" s="93">
        <v>0.56783005</v>
      </c>
      <c r="G1672" s="93">
        <v>0.61</v>
      </c>
      <c r="H1672" s="93">
        <v>0.3463763305</v>
      </c>
      <c r="I1672" s="93">
        <v>6.336983358</v>
      </c>
    </row>
    <row r="1673" spans="1:9">
      <c r="A1673" s="90"/>
      <c r="B1673" s="91" t="s">
        <v>1393</v>
      </c>
      <c r="C1673" s="91" t="s">
        <v>1392</v>
      </c>
      <c r="D1673" s="92" t="s">
        <v>1394</v>
      </c>
      <c r="E1673" s="93" t="s">
        <v>476</v>
      </c>
      <c r="F1673" s="93">
        <v>0.0578392</v>
      </c>
      <c r="G1673" s="93">
        <v>197.39</v>
      </c>
      <c r="H1673" s="93">
        <v>11.416879688</v>
      </c>
      <c r="I1673" s="93">
        <v>0.645485472</v>
      </c>
    </row>
    <row r="1674" spans="1:9">
      <c r="A1674" s="90"/>
      <c r="B1674" s="91" t="s">
        <v>1251</v>
      </c>
      <c r="C1674" s="91" t="s">
        <v>1596</v>
      </c>
      <c r="D1674" s="92" t="s">
        <v>1597</v>
      </c>
      <c r="E1674" s="93" t="s">
        <v>463</v>
      </c>
      <c r="F1674" s="93">
        <v>0.024</v>
      </c>
      <c r="G1674" s="93">
        <v>18.72</v>
      </c>
      <c r="H1674" s="93">
        <v>0.44</v>
      </c>
      <c r="I1674" s="93">
        <v>0.26784</v>
      </c>
    </row>
    <row r="1675" spans="1:9">
      <c r="A1675" s="90"/>
      <c r="B1675" s="91" t="s">
        <v>1283</v>
      </c>
      <c r="C1675" s="91" t="s">
        <v>1282</v>
      </c>
      <c r="D1675" s="92" t="s">
        <v>1284</v>
      </c>
      <c r="E1675" s="93" t="s">
        <v>112</v>
      </c>
      <c r="F1675" s="93">
        <v>0.25</v>
      </c>
      <c r="G1675" s="93">
        <v>3.94</v>
      </c>
      <c r="H1675" s="93">
        <v>0.98</v>
      </c>
      <c r="I1675" s="93">
        <v>2.79</v>
      </c>
    </row>
    <row r="1676" spans="1:9">
      <c r="A1676" s="90"/>
      <c r="B1676" s="91" t="s">
        <v>1602</v>
      </c>
      <c r="C1676" s="91" t="s">
        <v>1601</v>
      </c>
      <c r="D1676" s="92" t="s">
        <v>1603</v>
      </c>
      <c r="E1676" s="93" t="s">
        <v>112</v>
      </c>
      <c r="F1676" s="93">
        <v>0.2</v>
      </c>
      <c r="G1676" s="93">
        <v>2.72</v>
      </c>
      <c r="H1676" s="93">
        <v>0.54</v>
      </c>
      <c r="I1676" s="93">
        <v>2.232</v>
      </c>
    </row>
    <row r="1677" ht="25.5" spans="1:9">
      <c r="A1677" s="90"/>
      <c r="B1677" s="91" t="s">
        <v>1130</v>
      </c>
      <c r="C1677" s="91" t="s">
        <v>1129</v>
      </c>
      <c r="D1677" s="92" t="s">
        <v>1131</v>
      </c>
      <c r="E1677" s="93" t="s">
        <v>466</v>
      </c>
      <c r="F1677" s="93">
        <v>1.0816</v>
      </c>
      <c r="G1677" s="93">
        <v>27.68</v>
      </c>
      <c r="H1677" s="93">
        <v>29.93</v>
      </c>
      <c r="I1677" s="93">
        <v>12.070656</v>
      </c>
    </row>
    <row r="1678" spans="1:9">
      <c r="A1678" s="85" t="s">
        <v>2431</v>
      </c>
      <c r="B1678" s="85" t="s">
        <v>2432</v>
      </c>
      <c r="C1678" s="85" t="s">
        <v>2433</v>
      </c>
      <c r="D1678" s="87" t="s">
        <v>896</v>
      </c>
      <c r="E1678" s="89" t="s">
        <v>466</v>
      </c>
      <c r="F1678" s="89">
        <v>223.74</v>
      </c>
      <c r="G1678" s="89">
        <v>3.16</v>
      </c>
      <c r="H1678" s="89">
        <v>707.01</v>
      </c>
      <c r="I1678" s="89">
        <v>223.74</v>
      </c>
    </row>
    <row r="1679" ht="38.25" spans="1:9">
      <c r="A1679" s="90"/>
      <c r="B1679" s="91" t="s">
        <v>1002</v>
      </c>
      <c r="C1679" s="91" t="s">
        <v>1676</v>
      </c>
      <c r="D1679" s="92" t="s">
        <v>1677</v>
      </c>
      <c r="E1679" s="93" t="s">
        <v>494</v>
      </c>
      <c r="F1679" s="93">
        <v>1</v>
      </c>
      <c r="G1679" s="93">
        <v>518770.52</v>
      </c>
      <c r="H1679" s="93">
        <v>0.162102081582862</v>
      </c>
      <c r="I1679" s="93">
        <v>223.74</v>
      </c>
    </row>
    <row r="1680" spans="1:9">
      <c r="A1680" s="90"/>
      <c r="B1680" s="91" t="s">
        <v>1007</v>
      </c>
      <c r="C1680" s="91" t="s">
        <v>1048</v>
      </c>
      <c r="D1680" s="92" t="s">
        <v>1049</v>
      </c>
      <c r="E1680" s="93" t="s">
        <v>839</v>
      </c>
      <c r="F1680" s="93">
        <v>1</v>
      </c>
      <c r="G1680" s="93">
        <v>1.5</v>
      </c>
      <c r="H1680" s="93">
        <v>0.02555415</v>
      </c>
      <c r="I1680" s="93">
        <v>223.74</v>
      </c>
    </row>
    <row r="1681" ht="25.5" spans="1:9">
      <c r="A1681" s="90"/>
      <c r="B1681" s="91" t="s">
        <v>1690</v>
      </c>
      <c r="C1681" s="91" t="s">
        <v>1689</v>
      </c>
      <c r="D1681" s="92" t="s">
        <v>1691</v>
      </c>
      <c r="E1681" s="93" t="s">
        <v>494</v>
      </c>
      <c r="F1681" s="93">
        <v>1</v>
      </c>
      <c r="G1681" s="93">
        <v>265000</v>
      </c>
      <c r="H1681" s="93">
        <v>0.1415186549</v>
      </c>
      <c r="I1681" s="93">
        <v>223.74</v>
      </c>
    </row>
    <row r="1682" spans="1:9">
      <c r="A1682" s="90"/>
      <c r="B1682" s="91" t="s">
        <v>1007</v>
      </c>
      <c r="C1682" s="91" t="s">
        <v>1006</v>
      </c>
      <c r="D1682" s="92" t="s">
        <v>1008</v>
      </c>
      <c r="E1682" s="93" t="s">
        <v>839</v>
      </c>
      <c r="F1682" s="93">
        <v>0.0170361</v>
      </c>
      <c r="G1682" s="93">
        <v>3.95</v>
      </c>
      <c r="H1682" s="93">
        <v>0.067292595</v>
      </c>
      <c r="I1682" s="93">
        <v>3.811657014</v>
      </c>
    </row>
    <row r="1683" spans="1:9">
      <c r="A1683" s="90"/>
      <c r="B1683" s="91" t="s">
        <v>1023</v>
      </c>
      <c r="C1683" s="91" t="s">
        <v>1436</v>
      </c>
      <c r="D1683" s="92" t="s">
        <v>1437</v>
      </c>
      <c r="E1683" s="93" t="s">
        <v>839</v>
      </c>
      <c r="F1683" s="93">
        <v>0.00530084466</v>
      </c>
      <c r="G1683" s="93">
        <v>21.83</v>
      </c>
      <c r="H1683" s="93">
        <v>0.1157174389278</v>
      </c>
      <c r="I1683" s="93">
        <v>1.1860109842284</v>
      </c>
    </row>
    <row r="1684" spans="1:9">
      <c r="A1684" s="90"/>
      <c r="B1684" s="91" t="s">
        <v>1108</v>
      </c>
      <c r="C1684" s="91" t="s">
        <v>1127</v>
      </c>
      <c r="D1684" s="92" t="s">
        <v>1128</v>
      </c>
      <c r="E1684" s="93" t="s">
        <v>839</v>
      </c>
      <c r="F1684" s="93">
        <v>0.006562972674</v>
      </c>
      <c r="G1684" s="93">
        <v>18</v>
      </c>
      <c r="H1684" s="93">
        <v>0.118133508132</v>
      </c>
      <c r="I1684" s="93">
        <v>1.46839950608076</v>
      </c>
    </row>
    <row r="1685" spans="1:9">
      <c r="A1685" s="90"/>
      <c r="B1685" s="91" t="s">
        <v>1007</v>
      </c>
      <c r="C1685" s="91" t="s">
        <v>1378</v>
      </c>
      <c r="D1685" s="92" t="s">
        <v>1379</v>
      </c>
      <c r="E1685" s="93" t="s">
        <v>839</v>
      </c>
      <c r="F1685" s="93">
        <v>0.0170361</v>
      </c>
      <c r="G1685" s="93">
        <v>0.08</v>
      </c>
      <c r="H1685" s="93">
        <v>0.001362888</v>
      </c>
      <c r="I1685" s="93">
        <v>3.811657014</v>
      </c>
    </row>
    <row r="1686" spans="1:9">
      <c r="A1686" s="90"/>
      <c r="B1686" s="91" t="s">
        <v>1020</v>
      </c>
      <c r="C1686" s="91" t="s">
        <v>1019</v>
      </c>
      <c r="D1686" s="92" t="s">
        <v>1021</v>
      </c>
      <c r="E1686" s="93" t="s">
        <v>839</v>
      </c>
      <c r="F1686" s="93">
        <v>0.0053858088</v>
      </c>
      <c r="G1686" s="93">
        <v>14.49</v>
      </c>
      <c r="H1686" s="93">
        <v>0.078040369512</v>
      </c>
      <c r="I1686" s="93">
        <v>1.205020860912</v>
      </c>
    </row>
    <row r="1687" ht="25.5" spans="1:9">
      <c r="A1687" s="90"/>
      <c r="B1687" s="91" t="s">
        <v>1527</v>
      </c>
      <c r="C1687" s="91" t="s">
        <v>1526</v>
      </c>
      <c r="D1687" s="92" t="s">
        <v>1528</v>
      </c>
      <c r="E1687" s="93" t="s">
        <v>463</v>
      </c>
      <c r="F1687" s="93">
        <v>0.45</v>
      </c>
      <c r="G1687" s="93">
        <v>4.76</v>
      </c>
      <c r="H1687" s="93">
        <v>2.14</v>
      </c>
      <c r="I1687" s="93">
        <v>100.683</v>
      </c>
    </row>
    <row r="1688" ht="25.5" spans="1:9">
      <c r="A1688" s="90"/>
      <c r="B1688" s="91" t="s">
        <v>1111</v>
      </c>
      <c r="C1688" s="91" t="s">
        <v>1287</v>
      </c>
      <c r="D1688" s="92" t="s">
        <v>1288</v>
      </c>
      <c r="E1688" s="93" t="s">
        <v>839</v>
      </c>
      <c r="F1688" s="93">
        <v>0.0117621</v>
      </c>
      <c r="G1688" s="93">
        <v>0.89</v>
      </c>
      <c r="H1688" s="93">
        <v>0.010468269</v>
      </c>
      <c r="I1688" s="93">
        <v>2.631652254</v>
      </c>
    </row>
    <row r="1689" ht="25.5" spans="1:9">
      <c r="A1689" s="90"/>
      <c r="B1689" s="91" t="s">
        <v>1111</v>
      </c>
      <c r="C1689" s="91" t="s">
        <v>1110</v>
      </c>
      <c r="D1689" s="92" t="s">
        <v>1112</v>
      </c>
      <c r="E1689" s="93" t="s">
        <v>839</v>
      </c>
      <c r="F1689" s="93">
        <v>0.005274</v>
      </c>
      <c r="G1689" s="93">
        <v>1.39</v>
      </c>
      <c r="H1689" s="93">
        <v>0.00733086</v>
      </c>
      <c r="I1689" s="93">
        <v>1.18000476</v>
      </c>
    </row>
    <row r="1690" ht="38.25" spans="1:9">
      <c r="A1690" s="90"/>
      <c r="B1690" s="91" t="s">
        <v>1726</v>
      </c>
      <c r="C1690" s="91" t="s">
        <v>1725</v>
      </c>
      <c r="D1690" s="92" t="s">
        <v>1727</v>
      </c>
      <c r="E1690" s="93" t="s">
        <v>494</v>
      </c>
      <c r="F1690" s="93">
        <v>2.679584e-7</v>
      </c>
      <c r="G1690" s="93">
        <v>246246.87</v>
      </c>
      <c r="H1690" s="93">
        <v>0.065983917290208</v>
      </c>
      <c r="I1690" s="93">
        <v>5.9953012416e-5</v>
      </c>
    </row>
    <row r="1691" spans="1:9">
      <c r="A1691" s="90"/>
      <c r="B1691" s="91" t="s">
        <v>1007</v>
      </c>
      <c r="C1691" s="91" t="s">
        <v>1050</v>
      </c>
      <c r="D1691" s="92" t="s">
        <v>1051</v>
      </c>
      <c r="E1691" s="93" t="s">
        <v>839</v>
      </c>
      <c r="F1691" s="93">
        <v>0.0170361</v>
      </c>
      <c r="G1691" s="93">
        <v>1.43</v>
      </c>
      <c r="H1691" s="93">
        <v>0.024361623</v>
      </c>
      <c r="I1691" s="93">
        <v>3.811657014</v>
      </c>
    </row>
    <row r="1692" ht="25.5" spans="1:9">
      <c r="A1692" s="90"/>
      <c r="B1692" s="91" t="s">
        <v>1111</v>
      </c>
      <c r="C1692" s="91" t="s">
        <v>1707</v>
      </c>
      <c r="D1692" s="92" t="s">
        <v>1708</v>
      </c>
      <c r="E1692" s="93" t="s">
        <v>839</v>
      </c>
      <c r="F1692" s="93">
        <v>0.0117621</v>
      </c>
      <c r="G1692" s="93">
        <v>0.01</v>
      </c>
      <c r="H1692" s="93">
        <v>0.000117621</v>
      </c>
      <c r="I1692" s="93">
        <v>2.631652254</v>
      </c>
    </row>
    <row r="1693" ht="25.5" spans="1:9">
      <c r="A1693" s="90"/>
      <c r="B1693" s="91" t="s">
        <v>1111</v>
      </c>
      <c r="C1693" s="91" t="s">
        <v>1195</v>
      </c>
      <c r="D1693" s="92" t="s">
        <v>1196</v>
      </c>
      <c r="E1693" s="93" t="s">
        <v>839</v>
      </c>
      <c r="F1693" s="93">
        <v>0.005274</v>
      </c>
      <c r="G1693" s="93">
        <v>0.61</v>
      </c>
      <c r="H1693" s="93">
        <v>0.00321714</v>
      </c>
      <c r="I1693" s="93">
        <v>1.18000476</v>
      </c>
    </row>
    <row r="1694" spans="1:9">
      <c r="A1694" s="90"/>
      <c r="B1694" s="91" t="s">
        <v>985</v>
      </c>
      <c r="C1694" s="91" t="s">
        <v>984</v>
      </c>
      <c r="D1694" s="92" t="s">
        <v>986</v>
      </c>
      <c r="E1694" s="93" t="s">
        <v>215</v>
      </c>
      <c r="F1694" s="93">
        <v>0.029373043</v>
      </c>
      <c r="G1694" s="93">
        <v>5.93</v>
      </c>
      <c r="H1694" s="93">
        <v>0.17418214499</v>
      </c>
      <c r="I1694" s="93">
        <v>6.57192464082</v>
      </c>
    </row>
    <row r="1695" ht="25.5" spans="1:9">
      <c r="A1695" s="90"/>
      <c r="B1695" s="91" t="s">
        <v>1761</v>
      </c>
      <c r="C1695" s="91" t="s">
        <v>1760</v>
      </c>
      <c r="D1695" s="92" t="s">
        <v>1762</v>
      </c>
      <c r="E1695" s="93" t="s">
        <v>494</v>
      </c>
      <c r="F1695" s="93">
        <v>4.879892e-7</v>
      </c>
      <c r="G1695" s="93">
        <v>70306.12</v>
      </c>
      <c r="H1695" s="93">
        <v>0.034308627253904</v>
      </c>
      <c r="I1695" s="93">
        <v>0.000109182703608</v>
      </c>
    </row>
    <row r="1696" ht="38.25" spans="1:9">
      <c r="A1696" s="85" t="s">
        <v>2434</v>
      </c>
      <c r="B1696" s="85" t="s">
        <v>897</v>
      </c>
      <c r="C1696" s="85" t="s">
        <v>2435</v>
      </c>
      <c r="D1696" s="87" t="s">
        <v>326</v>
      </c>
      <c r="E1696" s="89" t="s">
        <v>476</v>
      </c>
      <c r="F1696" s="89">
        <v>6.71</v>
      </c>
      <c r="G1696" s="89">
        <v>2300</v>
      </c>
      <c r="H1696" s="89">
        <v>15433</v>
      </c>
      <c r="I1696" s="89">
        <v>6.71</v>
      </c>
    </row>
    <row r="1697" ht="25.5" spans="1:9">
      <c r="A1697" s="90"/>
      <c r="B1697" s="91" t="s">
        <v>1103</v>
      </c>
      <c r="C1697" s="91" t="s">
        <v>1102</v>
      </c>
      <c r="D1697" s="92" t="s">
        <v>1104</v>
      </c>
      <c r="E1697" s="93" t="s">
        <v>494</v>
      </c>
      <c r="F1697" s="93">
        <v>1</v>
      </c>
      <c r="G1697" s="93">
        <v>850000</v>
      </c>
      <c r="H1697" s="93">
        <v>185.87392</v>
      </c>
      <c r="I1697" s="93">
        <v>6.71</v>
      </c>
    </row>
    <row r="1698" spans="1:9">
      <c r="A1698" s="90"/>
      <c r="B1698" s="91" t="s">
        <v>1007</v>
      </c>
      <c r="C1698" s="91" t="s">
        <v>1048</v>
      </c>
      <c r="D1698" s="92" t="s">
        <v>1049</v>
      </c>
      <c r="E1698" s="93" t="s">
        <v>839</v>
      </c>
      <c r="F1698" s="93">
        <v>1</v>
      </c>
      <c r="G1698" s="93">
        <v>1.5</v>
      </c>
      <c r="H1698" s="93">
        <v>16.8849</v>
      </c>
      <c r="I1698" s="93">
        <v>6.71</v>
      </c>
    </row>
    <row r="1699" spans="1:9">
      <c r="A1699" s="90"/>
      <c r="B1699" s="91" t="s">
        <v>1007</v>
      </c>
      <c r="C1699" s="91" t="s">
        <v>1006</v>
      </c>
      <c r="D1699" s="92" t="s">
        <v>1008</v>
      </c>
      <c r="E1699" s="93" t="s">
        <v>839</v>
      </c>
      <c r="F1699" s="93">
        <v>11.2566</v>
      </c>
      <c r="G1699" s="93">
        <v>3.95</v>
      </c>
      <c r="H1699" s="93">
        <v>44.46357</v>
      </c>
      <c r="I1699" s="93">
        <v>75.531786</v>
      </c>
    </row>
    <row r="1700" spans="1:9">
      <c r="A1700" s="90"/>
      <c r="B1700" s="91" t="s">
        <v>1108</v>
      </c>
      <c r="C1700" s="91" t="s">
        <v>1107</v>
      </c>
      <c r="D1700" s="92" t="s">
        <v>1109</v>
      </c>
      <c r="E1700" s="93" t="s">
        <v>839</v>
      </c>
      <c r="F1700" s="93">
        <v>2.47220376</v>
      </c>
      <c r="G1700" s="93">
        <v>21.83</v>
      </c>
      <c r="H1700" s="93">
        <v>53.9682080808</v>
      </c>
      <c r="I1700" s="93">
        <v>16.5884872296</v>
      </c>
    </row>
    <row r="1701" spans="1:9">
      <c r="A1701" s="90"/>
      <c r="B1701" s="91" t="s">
        <v>1108</v>
      </c>
      <c r="C1701" s="91" t="s">
        <v>1295</v>
      </c>
      <c r="D1701" s="92" t="s">
        <v>1296</v>
      </c>
      <c r="E1701" s="93" t="s">
        <v>839</v>
      </c>
      <c r="F1701" s="93">
        <v>0.795859083</v>
      </c>
      <c r="G1701" s="93">
        <v>18</v>
      </c>
      <c r="H1701" s="93">
        <v>14.325463494</v>
      </c>
      <c r="I1701" s="93">
        <v>5.34021444693</v>
      </c>
    </row>
    <row r="1702" spans="1:9">
      <c r="A1702" s="90"/>
      <c r="B1702" s="91" t="s">
        <v>1090</v>
      </c>
      <c r="C1702" s="91" t="s">
        <v>1089</v>
      </c>
      <c r="D1702" s="92" t="s">
        <v>1091</v>
      </c>
      <c r="E1702" s="93" t="s">
        <v>839</v>
      </c>
      <c r="F1702" s="93">
        <v>4.9691592</v>
      </c>
      <c r="G1702" s="93">
        <v>21.83</v>
      </c>
      <c r="H1702" s="93">
        <v>108.476745336</v>
      </c>
      <c r="I1702" s="93">
        <v>33.343058232</v>
      </c>
    </row>
    <row r="1703" spans="1:9">
      <c r="A1703" s="90"/>
      <c r="B1703" s="91" t="s">
        <v>1007</v>
      </c>
      <c r="C1703" s="91" t="s">
        <v>1378</v>
      </c>
      <c r="D1703" s="92" t="s">
        <v>1379</v>
      </c>
      <c r="E1703" s="93" t="s">
        <v>839</v>
      </c>
      <c r="F1703" s="93">
        <v>11.2566</v>
      </c>
      <c r="G1703" s="93">
        <v>0.08</v>
      </c>
      <c r="H1703" s="93">
        <v>0.900528</v>
      </c>
      <c r="I1703" s="93">
        <v>75.531786</v>
      </c>
    </row>
    <row r="1704" spans="1:9">
      <c r="A1704" s="90"/>
      <c r="B1704" s="91" t="s">
        <v>1020</v>
      </c>
      <c r="C1704" s="91" t="s">
        <v>1019</v>
      </c>
      <c r="D1704" s="92" t="s">
        <v>1021</v>
      </c>
      <c r="E1704" s="93" t="s">
        <v>839</v>
      </c>
      <c r="F1704" s="93">
        <v>3.22423476</v>
      </c>
      <c r="G1704" s="93">
        <v>14.49</v>
      </c>
      <c r="H1704" s="93">
        <v>46.7191616724</v>
      </c>
      <c r="I1704" s="93">
        <v>21.6346152396</v>
      </c>
    </row>
    <row r="1705" ht="25.5" spans="1:9">
      <c r="A1705" s="90"/>
      <c r="B1705" s="91" t="s">
        <v>1155</v>
      </c>
      <c r="C1705" s="91" t="s">
        <v>1154</v>
      </c>
      <c r="D1705" s="92" t="s">
        <v>1156</v>
      </c>
      <c r="E1705" s="93" t="s">
        <v>601</v>
      </c>
      <c r="F1705" s="93">
        <v>2.5548</v>
      </c>
      <c r="G1705" s="93">
        <v>660</v>
      </c>
      <c r="H1705" s="93">
        <v>1686.16</v>
      </c>
      <c r="I1705" s="93">
        <v>17.142708</v>
      </c>
    </row>
    <row r="1706" ht="38.25" spans="1:9">
      <c r="A1706" s="90"/>
      <c r="B1706" s="91" t="s">
        <v>1718</v>
      </c>
      <c r="C1706" s="91" t="s">
        <v>1728</v>
      </c>
      <c r="D1706" s="92" t="s">
        <v>1729</v>
      </c>
      <c r="E1706" s="93" t="s">
        <v>494</v>
      </c>
      <c r="F1706" s="93">
        <v>0.000298176</v>
      </c>
      <c r="G1706" s="93">
        <v>13815.56</v>
      </c>
      <c r="H1706" s="93">
        <v>4.11946841856</v>
      </c>
      <c r="I1706" s="93">
        <v>0.00200076096</v>
      </c>
    </row>
    <row r="1707" ht="25.5" spans="1:9">
      <c r="A1707" s="90"/>
      <c r="B1707" s="91" t="s">
        <v>1862</v>
      </c>
      <c r="C1707" s="91" t="s">
        <v>1861</v>
      </c>
      <c r="D1707" s="92" t="s">
        <v>1863</v>
      </c>
      <c r="E1707" s="93" t="s">
        <v>494</v>
      </c>
      <c r="F1707" s="93">
        <v>0.00025792</v>
      </c>
      <c r="G1707" s="93">
        <v>411.72</v>
      </c>
      <c r="H1707" s="93">
        <v>0.1061908224</v>
      </c>
      <c r="I1707" s="93">
        <v>0.0017306432</v>
      </c>
    </row>
    <row r="1708" ht="25.5" spans="1:9">
      <c r="A1708" s="90"/>
      <c r="B1708" s="91" t="s">
        <v>1111</v>
      </c>
      <c r="C1708" s="91" t="s">
        <v>1287</v>
      </c>
      <c r="D1708" s="92" t="s">
        <v>1288</v>
      </c>
      <c r="E1708" s="93" t="s">
        <v>839</v>
      </c>
      <c r="F1708" s="93">
        <v>3.2333</v>
      </c>
      <c r="G1708" s="93">
        <v>0.89</v>
      </c>
      <c r="H1708" s="93">
        <v>2.877637</v>
      </c>
      <c r="I1708" s="93">
        <v>21.695443</v>
      </c>
    </row>
    <row r="1709" ht="25.5" spans="1:9">
      <c r="A1709" s="90"/>
      <c r="B1709" s="91" t="s">
        <v>1111</v>
      </c>
      <c r="C1709" s="91" t="s">
        <v>1351</v>
      </c>
      <c r="D1709" s="92" t="s">
        <v>1352</v>
      </c>
      <c r="E1709" s="93" t="s">
        <v>839</v>
      </c>
      <c r="F1709" s="93">
        <v>4.866</v>
      </c>
      <c r="G1709" s="93">
        <v>1.31</v>
      </c>
      <c r="H1709" s="93">
        <v>6.37446</v>
      </c>
      <c r="I1709" s="93">
        <v>32.65086</v>
      </c>
    </row>
    <row r="1710" ht="25.5" spans="1:9">
      <c r="A1710" s="90"/>
      <c r="B1710" s="91" t="s">
        <v>1111</v>
      </c>
      <c r="C1710" s="91" t="s">
        <v>1110</v>
      </c>
      <c r="D1710" s="92" t="s">
        <v>1112</v>
      </c>
      <c r="E1710" s="93" t="s">
        <v>839</v>
      </c>
      <c r="F1710" s="93">
        <v>3.1573</v>
      </c>
      <c r="G1710" s="93">
        <v>1.39</v>
      </c>
      <c r="H1710" s="93">
        <v>4.388647</v>
      </c>
      <c r="I1710" s="93">
        <v>21.185483</v>
      </c>
    </row>
    <row r="1711" spans="1:9">
      <c r="A1711" s="90"/>
      <c r="B1711" s="91" t="s">
        <v>1007</v>
      </c>
      <c r="C1711" s="91" t="s">
        <v>1050</v>
      </c>
      <c r="D1711" s="92" t="s">
        <v>1051</v>
      </c>
      <c r="E1711" s="93" t="s">
        <v>839</v>
      </c>
      <c r="F1711" s="93">
        <v>11.2566</v>
      </c>
      <c r="G1711" s="93">
        <v>1.43</v>
      </c>
      <c r="H1711" s="93">
        <v>16.096938</v>
      </c>
      <c r="I1711" s="93">
        <v>75.531786</v>
      </c>
    </row>
    <row r="1712" ht="25.5" spans="1:9">
      <c r="A1712" s="90"/>
      <c r="B1712" s="91" t="s">
        <v>1111</v>
      </c>
      <c r="C1712" s="91" t="s">
        <v>1707</v>
      </c>
      <c r="D1712" s="92" t="s">
        <v>1708</v>
      </c>
      <c r="E1712" s="93" t="s">
        <v>839</v>
      </c>
      <c r="F1712" s="93">
        <v>3.2333</v>
      </c>
      <c r="G1712" s="93">
        <v>0.01</v>
      </c>
      <c r="H1712" s="93">
        <v>0.032333</v>
      </c>
      <c r="I1712" s="93">
        <v>21.695443</v>
      </c>
    </row>
    <row r="1713" ht="25.5" spans="1:9">
      <c r="A1713" s="90"/>
      <c r="B1713" s="91" t="s">
        <v>1111</v>
      </c>
      <c r="C1713" s="91" t="s">
        <v>1427</v>
      </c>
      <c r="D1713" s="92" t="s">
        <v>1428</v>
      </c>
      <c r="E1713" s="93" t="s">
        <v>839</v>
      </c>
      <c r="F1713" s="93">
        <v>4.866</v>
      </c>
      <c r="G1713" s="93">
        <v>0.78</v>
      </c>
      <c r="H1713" s="93">
        <v>3.79548</v>
      </c>
      <c r="I1713" s="93">
        <v>32.65086</v>
      </c>
    </row>
    <row r="1714" ht="25.5" spans="1:9">
      <c r="A1714" s="90"/>
      <c r="B1714" s="91" t="s">
        <v>1111</v>
      </c>
      <c r="C1714" s="91" t="s">
        <v>1195</v>
      </c>
      <c r="D1714" s="92" t="s">
        <v>1196</v>
      </c>
      <c r="E1714" s="93" t="s">
        <v>839</v>
      </c>
      <c r="F1714" s="93">
        <v>3.1573</v>
      </c>
      <c r="G1714" s="93">
        <v>0.61</v>
      </c>
      <c r="H1714" s="93">
        <v>1.925953</v>
      </c>
      <c r="I1714" s="93">
        <v>21.185483</v>
      </c>
    </row>
    <row r="1715" spans="1:9">
      <c r="A1715" s="90"/>
      <c r="B1715" s="91" t="s">
        <v>985</v>
      </c>
      <c r="C1715" s="91" t="s">
        <v>1227</v>
      </c>
      <c r="D1715" s="92" t="s">
        <v>1228</v>
      </c>
      <c r="E1715" s="93" t="s">
        <v>215</v>
      </c>
      <c r="F1715" s="93">
        <v>1.5196</v>
      </c>
      <c r="G1715" s="93">
        <v>5.96</v>
      </c>
      <c r="H1715" s="93">
        <v>9.056816</v>
      </c>
      <c r="I1715" s="93">
        <v>10.196516</v>
      </c>
    </row>
    <row r="1716" spans="1:9">
      <c r="A1716" s="90"/>
      <c r="B1716" s="91" t="s">
        <v>985</v>
      </c>
      <c r="C1716" s="91" t="s">
        <v>984</v>
      </c>
      <c r="D1716" s="92" t="s">
        <v>986</v>
      </c>
      <c r="E1716" s="93" t="s">
        <v>215</v>
      </c>
      <c r="F1716" s="93">
        <v>7.780853</v>
      </c>
      <c r="G1716" s="93">
        <v>5.93</v>
      </c>
      <c r="H1716" s="93">
        <v>46.14045829</v>
      </c>
      <c r="I1716" s="93">
        <v>52.20952363</v>
      </c>
    </row>
    <row r="1717" ht="25.5" spans="1:9">
      <c r="A1717" s="90"/>
      <c r="B1717" s="91" t="s">
        <v>1561</v>
      </c>
      <c r="C1717" s="91" t="s">
        <v>1560</v>
      </c>
      <c r="D1717" s="92" t="s">
        <v>1562</v>
      </c>
      <c r="E1717" s="93" t="s">
        <v>494</v>
      </c>
      <c r="F1717" s="93">
        <v>6.076705e-5</v>
      </c>
      <c r="G1717" s="93">
        <v>778642.87</v>
      </c>
      <c r="H1717" s="93">
        <v>47.3158302134335</v>
      </c>
      <c r="I1717" s="93">
        <v>0.0004077469055</v>
      </c>
    </row>
    <row r="1718" spans="1:9">
      <c r="A1718" s="85" t="s">
        <v>2436</v>
      </c>
      <c r="B1718" s="85" t="s">
        <v>898</v>
      </c>
      <c r="C1718" s="85" t="s">
        <v>2437</v>
      </c>
      <c r="D1718" s="87" t="s">
        <v>899</v>
      </c>
      <c r="E1718" s="89" t="s">
        <v>466</v>
      </c>
      <c r="F1718" s="89">
        <v>3136.09</v>
      </c>
      <c r="G1718" s="89">
        <v>1.94</v>
      </c>
      <c r="H1718" s="89">
        <v>6084.01</v>
      </c>
      <c r="I1718" s="89">
        <v>3136.09</v>
      </c>
    </row>
    <row r="1719" ht="38.25" spans="1:9">
      <c r="A1719" s="90"/>
      <c r="B1719" s="91" t="s">
        <v>1002</v>
      </c>
      <c r="C1719" s="91" t="s">
        <v>1297</v>
      </c>
      <c r="D1719" s="92" t="s">
        <v>1298</v>
      </c>
      <c r="E1719" s="93" t="s">
        <v>494</v>
      </c>
      <c r="F1719" s="93">
        <v>1</v>
      </c>
      <c r="G1719" s="93">
        <v>717852.52</v>
      </c>
      <c r="H1719" s="93">
        <v>0.383976570751374</v>
      </c>
      <c r="I1719" s="93">
        <v>3136.09</v>
      </c>
    </row>
    <row r="1720" spans="1:9">
      <c r="A1720" s="90"/>
      <c r="B1720" s="91" t="s">
        <v>1007</v>
      </c>
      <c r="C1720" s="91" t="s">
        <v>1048</v>
      </c>
      <c r="D1720" s="92" t="s">
        <v>1049</v>
      </c>
      <c r="E1720" s="93" t="s">
        <v>839</v>
      </c>
      <c r="F1720" s="93">
        <v>1</v>
      </c>
      <c r="G1720" s="93">
        <v>1.5</v>
      </c>
      <c r="H1720" s="93">
        <v>0.0289485</v>
      </c>
      <c r="I1720" s="93">
        <v>3136.09</v>
      </c>
    </row>
    <row r="1721" spans="1:9">
      <c r="A1721" s="90"/>
      <c r="B1721" s="91" t="s">
        <v>1007</v>
      </c>
      <c r="C1721" s="91" t="s">
        <v>1006</v>
      </c>
      <c r="D1721" s="92" t="s">
        <v>1008</v>
      </c>
      <c r="E1721" s="93" t="s">
        <v>839</v>
      </c>
      <c r="F1721" s="93">
        <v>0.019299</v>
      </c>
      <c r="G1721" s="93">
        <v>3.95</v>
      </c>
      <c r="H1721" s="93">
        <v>0.07623105</v>
      </c>
      <c r="I1721" s="93">
        <v>60.52340091</v>
      </c>
    </row>
    <row r="1722" spans="1:9">
      <c r="A1722" s="90"/>
      <c r="B1722" s="91" t="s">
        <v>1023</v>
      </c>
      <c r="C1722" s="91" t="s">
        <v>1436</v>
      </c>
      <c r="D1722" s="92" t="s">
        <v>1437</v>
      </c>
      <c r="E1722" s="93" t="s">
        <v>839</v>
      </c>
      <c r="F1722" s="93">
        <v>0.008659051368</v>
      </c>
      <c r="G1722" s="93">
        <v>21.83</v>
      </c>
      <c r="H1722" s="93">
        <v>0.18902709136344</v>
      </c>
      <c r="I1722" s="93">
        <v>27.1555644046711</v>
      </c>
    </row>
    <row r="1723" spans="1:9">
      <c r="A1723" s="90"/>
      <c r="B1723" s="91" t="s">
        <v>1108</v>
      </c>
      <c r="C1723" s="91" t="s">
        <v>1658</v>
      </c>
      <c r="D1723" s="92" t="s">
        <v>1659</v>
      </c>
      <c r="E1723" s="93" t="s">
        <v>839</v>
      </c>
      <c r="F1723" s="93">
        <v>0.001042895033</v>
      </c>
      <c r="G1723" s="93">
        <v>32.06</v>
      </c>
      <c r="H1723" s="93">
        <v>0.03343521475798</v>
      </c>
      <c r="I1723" s="93">
        <v>3.27061268404097</v>
      </c>
    </row>
    <row r="1724" spans="1:9">
      <c r="A1724" s="90"/>
      <c r="B1724" s="91" t="s">
        <v>1108</v>
      </c>
      <c r="C1724" s="91" t="s">
        <v>1295</v>
      </c>
      <c r="D1724" s="92" t="s">
        <v>1296</v>
      </c>
      <c r="E1724" s="93" t="s">
        <v>839</v>
      </c>
      <c r="F1724" s="93">
        <v>0.008686792312</v>
      </c>
      <c r="G1724" s="93">
        <v>18</v>
      </c>
      <c r="H1724" s="93">
        <v>0.156362261616</v>
      </c>
      <c r="I1724" s="93">
        <v>27.2425625017401</v>
      </c>
    </row>
    <row r="1725" spans="1:9">
      <c r="A1725" s="90"/>
      <c r="B1725" s="91" t="s">
        <v>1007</v>
      </c>
      <c r="C1725" s="91" t="s">
        <v>1378</v>
      </c>
      <c r="D1725" s="92" t="s">
        <v>1379</v>
      </c>
      <c r="E1725" s="93" t="s">
        <v>839</v>
      </c>
      <c r="F1725" s="93">
        <v>0.019299</v>
      </c>
      <c r="G1725" s="93">
        <v>0.08</v>
      </c>
      <c r="H1725" s="93">
        <v>0.00154392</v>
      </c>
      <c r="I1725" s="93">
        <v>60.52340091</v>
      </c>
    </row>
    <row r="1726" spans="1:9">
      <c r="A1726" s="90"/>
      <c r="B1726" s="91" t="s">
        <v>1020</v>
      </c>
      <c r="C1726" s="91" t="s">
        <v>1019</v>
      </c>
      <c r="D1726" s="92" t="s">
        <v>1021</v>
      </c>
      <c r="E1726" s="93" t="s">
        <v>839</v>
      </c>
      <c r="F1726" s="93">
        <v>0.00105622716</v>
      </c>
      <c r="G1726" s="93">
        <v>14.49</v>
      </c>
      <c r="H1726" s="93">
        <v>0.0153047315484</v>
      </c>
      <c r="I1726" s="93">
        <v>3.3124234342044</v>
      </c>
    </row>
    <row r="1727" ht="25.5" spans="1:9">
      <c r="A1727" s="90"/>
      <c r="B1727" s="91" t="s">
        <v>1111</v>
      </c>
      <c r="C1727" s="91" t="s">
        <v>1287</v>
      </c>
      <c r="D1727" s="92" t="s">
        <v>1288</v>
      </c>
      <c r="E1727" s="93" t="s">
        <v>839</v>
      </c>
      <c r="F1727" s="93">
        <v>0.0182647</v>
      </c>
      <c r="G1727" s="93">
        <v>0.89</v>
      </c>
      <c r="H1727" s="93">
        <v>0.016255583</v>
      </c>
      <c r="I1727" s="93">
        <v>57.279743023</v>
      </c>
    </row>
    <row r="1728" ht="25.5" spans="1:9">
      <c r="A1728" s="90"/>
      <c r="B1728" s="91" t="s">
        <v>1111</v>
      </c>
      <c r="C1728" s="91" t="s">
        <v>1110</v>
      </c>
      <c r="D1728" s="92" t="s">
        <v>1112</v>
      </c>
      <c r="E1728" s="93" t="s">
        <v>839</v>
      </c>
      <c r="F1728" s="93">
        <v>0.0010343</v>
      </c>
      <c r="G1728" s="93">
        <v>1.39</v>
      </c>
      <c r="H1728" s="93">
        <v>0.001437677</v>
      </c>
      <c r="I1728" s="93">
        <v>3.243657887</v>
      </c>
    </row>
    <row r="1729" spans="1:9">
      <c r="A1729" s="90"/>
      <c r="B1729" s="91" t="s">
        <v>1007</v>
      </c>
      <c r="C1729" s="91" t="s">
        <v>1050</v>
      </c>
      <c r="D1729" s="92" t="s">
        <v>1051</v>
      </c>
      <c r="E1729" s="93" t="s">
        <v>839</v>
      </c>
      <c r="F1729" s="93">
        <v>0.019299</v>
      </c>
      <c r="G1729" s="93">
        <v>1.43</v>
      </c>
      <c r="H1729" s="93">
        <v>0.02759757</v>
      </c>
      <c r="I1729" s="93">
        <v>60.52340091</v>
      </c>
    </row>
    <row r="1730" ht="25.5" spans="1:9">
      <c r="A1730" s="90"/>
      <c r="B1730" s="91" t="s">
        <v>1111</v>
      </c>
      <c r="C1730" s="91" t="s">
        <v>1707</v>
      </c>
      <c r="D1730" s="92" t="s">
        <v>1708</v>
      </c>
      <c r="E1730" s="93" t="s">
        <v>839</v>
      </c>
      <c r="F1730" s="93">
        <v>0.0182647</v>
      </c>
      <c r="G1730" s="93">
        <v>0.01</v>
      </c>
      <c r="H1730" s="93">
        <v>0.000182647</v>
      </c>
      <c r="I1730" s="93">
        <v>57.279743023</v>
      </c>
    </row>
    <row r="1731" ht="25.5" spans="1:9">
      <c r="A1731" s="90"/>
      <c r="B1731" s="91" t="s">
        <v>1111</v>
      </c>
      <c r="C1731" s="91" t="s">
        <v>1195</v>
      </c>
      <c r="D1731" s="92" t="s">
        <v>1196</v>
      </c>
      <c r="E1731" s="93" t="s">
        <v>839</v>
      </c>
      <c r="F1731" s="93">
        <v>0.0010343</v>
      </c>
      <c r="G1731" s="93">
        <v>0.61</v>
      </c>
      <c r="H1731" s="93">
        <v>0.000630923</v>
      </c>
      <c r="I1731" s="93">
        <v>3.243657887</v>
      </c>
    </row>
    <row r="1732" ht="25.5" spans="1:9">
      <c r="A1732" s="90"/>
      <c r="B1732" s="91" t="s">
        <v>1578</v>
      </c>
      <c r="C1732" s="91" t="s">
        <v>1577</v>
      </c>
      <c r="D1732" s="92" t="s">
        <v>1579</v>
      </c>
      <c r="E1732" s="93" t="s">
        <v>494</v>
      </c>
      <c r="F1732" s="93">
        <v>7.540638e-8</v>
      </c>
      <c r="G1732" s="93">
        <v>1150000</v>
      </c>
      <c r="H1732" s="93">
        <v>0.086717337</v>
      </c>
      <c r="I1732" s="93">
        <v>0.0002364811942542</v>
      </c>
    </row>
    <row r="1733" spans="1:9">
      <c r="A1733" s="90"/>
      <c r="B1733" s="91" t="s">
        <v>985</v>
      </c>
      <c r="C1733" s="91" t="s">
        <v>984</v>
      </c>
      <c r="D1733" s="92" t="s">
        <v>986</v>
      </c>
      <c r="E1733" s="93" t="s">
        <v>215</v>
      </c>
      <c r="F1733" s="93">
        <v>0.062710832</v>
      </c>
      <c r="G1733" s="93">
        <v>5.93</v>
      </c>
      <c r="H1733" s="93">
        <v>0.37187523376</v>
      </c>
      <c r="I1733" s="93">
        <v>196.66681312688</v>
      </c>
    </row>
    <row r="1734" ht="25.5" spans="1:9">
      <c r="A1734" s="90"/>
      <c r="B1734" s="91" t="s">
        <v>1080</v>
      </c>
      <c r="C1734" s="91" t="s">
        <v>1125</v>
      </c>
      <c r="D1734" s="92" t="s">
        <v>1126</v>
      </c>
      <c r="E1734" s="93" t="s">
        <v>494</v>
      </c>
      <c r="F1734" s="93">
        <v>7.5129969e-7</v>
      </c>
      <c r="G1734" s="93">
        <v>659269.78</v>
      </c>
      <c r="H1734" s="93">
        <v>0.495309181340368</v>
      </c>
      <c r="I1734" s="93">
        <v>0.0023561434448121</v>
      </c>
    </row>
    <row r="1735" ht="38.25" spans="1:9">
      <c r="A1735" s="90"/>
      <c r="B1735" s="91" t="s">
        <v>1002</v>
      </c>
      <c r="C1735" s="91" t="s">
        <v>1514</v>
      </c>
      <c r="D1735" s="92" t="s">
        <v>1515</v>
      </c>
      <c r="E1735" s="93" t="s">
        <v>494</v>
      </c>
      <c r="F1735" s="93">
        <v>7.2246134e-7</v>
      </c>
      <c r="G1735" s="93">
        <v>85950</v>
      </c>
      <c r="H1735" s="93">
        <v>0.062095552173</v>
      </c>
      <c r="I1735" s="93">
        <v>0.0022657037837606</v>
      </c>
    </row>
    <row r="1736" spans="1:9">
      <c r="A1736" s="85" t="s">
        <v>2438</v>
      </c>
      <c r="B1736" s="86"/>
      <c r="C1736" s="86"/>
      <c r="D1736" s="87" t="s">
        <v>900</v>
      </c>
      <c r="E1736" s="88"/>
      <c r="F1736" s="89">
        <v>0</v>
      </c>
      <c r="G1736" s="89">
        <v>0</v>
      </c>
      <c r="H1736" s="89">
        <v>0</v>
      </c>
      <c r="I1736" s="89">
        <v>0</v>
      </c>
    </row>
    <row r="1737" spans="1:9">
      <c r="A1737" s="85" t="s">
        <v>2439</v>
      </c>
      <c r="B1737" s="85" t="s">
        <v>2440</v>
      </c>
      <c r="C1737" s="85" t="s">
        <v>2441</v>
      </c>
      <c r="D1737" s="87" t="s">
        <v>901</v>
      </c>
      <c r="E1737" s="89" t="s">
        <v>494</v>
      </c>
      <c r="F1737" s="89">
        <v>1</v>
      </c>
      <c r="G1737" s="89">
        <v>23.73</v>
      </c>
      <c r="H1737" s="89">
        <v>23.73</v>
      </c>
      <c r="I1737" s="89">
        <v>1</v>
      </c>
    </row>
    <row r="1738" spans="1:9">
      <c r="A1738" s="90"/>
      <c r="B1738" s="91" t="s">
        <v>1007</v>
      </c>
      <c r="C1738" s="91" t="s">
        <v>1048</v>
      </c>
      <c r="D1738" s="92" t="s">
        <v>1049</v>
      </c>
      <c r="E1738" s="93" t="s">
        <v>839</v>
      </c>
      <c r="F1738" s="93">
        <v>1</v>
      </c>
      <c r="G1738" s="93">
        <v>1.5</v>
      </c>
      <c r="H1738" s="93">
        <v>1.2945</v>
      </c>
      <c r="I1738" s="93">
        <v>1</v>
      </c>
    </row>
    <row r="1739" spans="1:9">
      <c r="A1739" s="90"/>
      <c r="B1739" s="91" t="s">
        <v>1007</v>
      </c>
      <c r="C1739" s="91" t="s">
        <v>1006</v>
      </c>
      <c r="D1739" s="92" t="s">
        <v>1008</v>
      </c>
      <c r="E1739" s="93" t="s">
        <v>839</v>
      </c>
      <c r="F1739" s="93">
        <v>0.863</v>
      </c>
      <c r="G1739" s="93">
        <v>3.95</v>
      </c>
      <c r="H1739" s="93">
        <v>3.40885</v>
      </c>
      <c r="I1739" s="93">
        <v>0.863</v>
      </c>
    </row>
    <row r="1740" spans="1:9">
      <c r="A1740" s="90"/>
      <c r="B1740" s="91" t="s">
        <v>1453</v>
      </c>
      <c r="C1740" s="91" t="s">
        <v>1452</v>
      </c>
      <c r="D1740" s="92" t="s">
        <v>1454</v>
      </c>
      <c r="E1740" s="93" t="s">
        <v>839</v>
      </c>
      <c r="F1740" s="93">
        <v>0.43925837</v>
      </c>
      <c r="G1740" s="93">
        <v>15.35</v>
      </c>
      <c r="H1740" s="93">
        <v>6.7426159795</v>
      </c>
      <c r="I1740" s="93">
        <v>0.43925837</v>
      </c>
    </row>
    <row r="1741" spans="1:9">
      <c r="A1741" s="90"/>
      <c r="B1741" s="91" t="s">
        <v>1248</v>
      </c>
      <c r="C1741" s="91" t="s">
        <v>1247</v>
      </c>
      <c r="D1741" s="92" t="s">
        <v>1249</v>
      </c>
      <c r="E1741" s="93" t="s">
        <v>839</v>
      </c>
      <c r="F1741" s="93">
        <v>0.43925837</v>
      </c>
      <c r="G1741" s="93">
        <v>21.83</v>
      </c>
      <c r="H1741" s="93">
        <v>9.5890102171</v>
      </c>
      <c r="I1741" s="93">
        <v>0.43925837</v>
      </c>
    </row>
    <row r="1742" spans="1:9">
      <c r="A1742" s="90"/>
      <c r="B1742" s="91" t="s">
        <v>1007</v>
      </c>
      <c r="C1742" s="91" t="s">
        <v>1378</v>
      </c>
      <c r="D1742" s="92" t="s">
        <v>1379</v>
      </c>
      <c r="E1742" s="93" t="s">
        <v>839</v>
      </c>
      <c r="F1742" s="93">
        <v>0.863</v>
      </c>
      <c r="G1742" s="93">
        <v>0.08</v>
      </c>
      <c r="H1742" s="93">
        <v>0.06904</v>
      </c>
      <c r="I1742" s="93">
        <v>0.863</v>
      </c>
    </row>
    <row r="1743" ht="25.5" spans="1:9">
      <c r="A1743" s="90"/>
      <c r="B1743" s="91" t="s">
        <v>1111</v>
      </c>
      <c r="C1743" s="91" t="s">
        <v>1558</v>
      </c>
      <c r="D1743" s="92" t="s">
        <v>1559</v>
      </c>
      <c r="E1743" s="93" t="s">
        <v>839</v>
      </c>
      <c r="F1743" s="93">
        <v>0.863</v>
      </c>
      <c r="G1743" s="93">
        <v>1.13</v>
      </c>
      <c r="H1743" s="93">
        <v>0.97519</v>
      </c>
      <c r="I1743" s="93">
        <v>0.863</v>
      </c>
    </row>
    <row r="1744" spans="1:9">
      <c r="A1744" s="90"/>
      <c r="B1744" s="91" t="s">
        <v>1007</v>
      </c>
      <c r="C1744" s="91" t="s">
        <v>1050</v>
      </c>
      <c r="D1744" s="92" t="s">
        <v>1051</v>
      </c>
      <c r="E1744" s="93" t="s">
        <v>839</v>
      </c>
      <c r="F1744" s="93">
        <v>0.863</v>
      </c>
      <c r="G1744" s="93">
        <v>1.43</v>
      </c>
      <c r="H1744" s="93">
        <v>1.23409</v>
      </c>
      <c r="I1744" s="93">
        <v>0.863</v>
      </c>
    </row>
    <row r="1745" ht="25.5" spans="1:9">
      <c r="A1745" s="90"/>
      <c r="B1745" s="91" t="s">
        <v>1111</v>
      </c>
      <c r="C1745" s="91" t="s">
        <v>1674</v>
      </c>
      <c r="D1745" s="92" t="s">
        <v>1675</v>
      </c>
      <c r="E1745" s="93" t="s">
        <v>839</v>
      </c>
      <c r="F1745" s="93">
        <v>0.863</v>
      </c>
      <c r="G1745" s="93">
        <v>0.31</v>
      </c>
      <c r="H1745" s="93">
        <v>0.26753</v>
      </c>
      <c r="I1745" s="93">
        <v>0.863</v>
      </c>
    </row>
    <row r="1746" spans="1:9">
      <c r="A1746" s="90"/>
      <c r="B1746" s="91" t="s">
        <v>1872</v>
      </c>
      <c r="C1746" s="91" t="s">
        <v>1871</v>
      </c>
      <c r="D1746" s="92" t="s">
        <v>1873</v>
      </c>
      <c r="E1746" s="93" t="s">
        <v>494</v>
      </c>
      <c r="F1746" s="93">
        <v>0.0106</v>
      </c>
      <c r="G1746" s="93">
        <v>14.38</v>
      </c>
      <c r="H1746" s="93">
        <v>0.15</v>
      </c>
      <c r="I1746" s="93">
        <v>0.0106</v>
      </c>
    </row>
    <row r="1747" ht="38.25" spans="1:9">
      <c r="A1747" s="85" t="s">
        <v>2442</v>
      </c>
      <c r="B1747" s="85" t="s">
        <v>902</v>
      </c>
      <c r="C1747" s="85" t="s">
        <v>2443</v>
      </c>
      <c r="D1747" s="87" t="s">
        <v>903</v>
      </c>
      <c r="E1747" s="89" t="s">
        <v>494</v>
      </c>
      <c r="F1747" s="89">
        <v>1</v>
      </c>
      <c r="G1747" s="89">
        <v>138.08</v>
      </c>
      <c r="H1747" s="89">
        <v>138.08</v>
      </c>
      <c r="I1747" s="89">
        <v>1</v>
      </c>
    </row>
    <row r="1748" spans="1:9">
      <c r="A1748" s="90"/>
      <c r="B1748" s="91" t="s">
        <v>1007</v>
      </c>
      <c r="C1748" s="91" t="s">
        <v>1048</v>
      </c>
      <c r="D1748" s="92" t="s">
        <v>1049</v>
      </c>
      <c r="E1748" s="93" t="s">
        <v>839</v>
      </c>
      <c r="F1748" s="93">
        <v>1</v>
      </c>
      <c r="G1748" s="93">
        <v>1.5</v>
      </c>
      <c r="H1748" s="93">
        <v>0.7896</v>
      </c>
      <c r="I1748" s="93">
        <v>1</v>
      </c>
    </row>
    <row r="1749" spans="1:9">
      <c r="A1749" s="90"/>
      <c r="B1749" s="91" t="s">
        <v>1007</v>
      </c>
      <c r="C1749" s="91" t="s">
        <v>1006</v>
      </c>
      <c r="D1749" s="92" t="s">
        <v>1008</v>
      </c>
      <c r="E1749" s="93" t="s">
        <v>839</v>
      </c>
      <c r="F1749" s="93">
        <v>0.5264</v>
      </c>
      <c r="G1749" s="93">
        <v>3.95</v>
      </c>
      <c r="H1749" s="93">
        <v>2.07928</v>
      </c>
      <c r="I1749" s="93">
        <v>0.5264</v>
      </c>
    </row>
    <row r="1750" spans="1:9">
      <c r="A1750" s="90"/>
      <c r="B1750" s="91" t="s">
        <v>1453</v>
      </c>
      <c r="C1750" s="91" t="s">
        <v>1452</v>
      </c>
      <c r="D1750" s="92" t="s">
        <v>1454</v>
      </c>
      <c r="E1750" s="93" t="s">
        <v>839</v>
      </c>
      <c r="F1750" s="93">
        <v>0.267932336</v>
      </c>
      <c r="G1750" s="93">
        <v>15.35</v>
      </c>
      <c r="H1750" s="93">
        <v>4.1127613576</v>
      </c>
      <c r="I1750" s="93">
        <v>0.267932336</v>
      </c>
    </row>
    <row r="1751" spans="1:9">
      <c r="A1751" s="90"/>
      <c r="B1751" s="91" t="s">
        <v>1248</v>
      </c>
      <c r="C1751" s="91" t="s">
        <v>1247</v>
      </c>
      <c r="D1751" s="92" t="s">
        <v>1249</v>
      </c>
      <c r="E1751" s="93" t="s">
        <v>839</v>
      </c>
      <c r="F1751" s="93">
        <v>0.267932336</v>
      </c>
      <c r="G1751" s="93">
        <v>21.83</v>
      </c>
      <c r="H1751" s="93">
        <v>5.84896289488</v>
      </c>
      <c r="I1751" s="93">
        <v>0.267932336</v>
      </c>
    </row>
    <row r="1752" spans="1:9">
      <c r="A1752" s="90"/>
      <c r="B1752" s="91" t="s">
        <v>1007</v>
      </c>
      <c r="C1752" s="91" t="s">
        <v>1378</v>
      </c>
      <c r="D1752" s="92" t="s">
        <v>1379</v>
      </c>
      <c r="E1752" s="93" t="s">
        <v>839</v>
      </c>
      <c r="F1752" s="93">
        <v>0.5264</v>
      </c>
      <c r="G1752" s="93">
        <v>0.08</v>
      </c>
      <c r="H1752" s="93">
        <v>0.042112</v>
      </c>
      <c r="I1752" s="93">
        <v>0.5264</v>
      </c>
    </row>
    <row r="1753" ht="25.5" spans="1:9">
      <c r="A1753" s="90"/>
      <c r="B1753" s="91" t="s">
        <v>1637</v>
      </c>
      <c r="C1753" s="91" t="s">
        <v>1636</v>
      </c>
      <c r="D1753" s="92" t="s">
        <v>1638</v>
      </c>
      <c r="E1753" s="93" t="s">
        <v>494</v>
      </c>
      <c r="F1753" s="93">
        <v>1</v>
      </c>
      <c r="G1753" s="93">
        <v>123.7</v>
      </c>
      <c r="H1753" s="93">
        <v>123.7</v>
      </c>
      <c r="I1753" s="93">
        <v>1</v>
      </c>
    </row>
    <row r="1754" ht="25.5" spans="1:9">
      <c r="A1754" s="90"/>
      <c r="B1754" s="91" t="s">
        <v>1111</v>
      </c>
      <c r="C1754" s="91" t="s">
        <v>1558</v>
      </c>
      <c r="D1754" s="92" t="s">
        <v>1559</v>
      </c>
      <c r="E1754" s="93" t="s">
        <v>839</v>
      </c>
      <c r="F1754" s="93">
        <v>0.5264</v>
      </c>
      <c r="G1754" s="93">
        <v>1.13</v>
      </c>
      <c r="H1754" s="93">
        <v>0.594832</v>
      </c>
      <c r="I1754" s="93">
        <v>0.5264</v>
      </c>
    </row>
    <row r="1755" spans="1:9">
      <c r="A1755" s="90"/>
      <c r="B1755" s="91" t="s">
        <v>1007</v>
      </c>
      <c r="C1755" s="91" t="s">
        <v>1050</v>
      </c>
      <c r="D1755" s="92" t="s">
        <v>1051</v>
      </c>
      <c r="E1755" s="93" t="s">
        <v>839</v>
      </c>
      <c r="F1755" s="93">
        <v>0.5264</v>
      </c>
      <c r="G1755" s="93">
        <v>1.43</v>
      </c>
      <c r="H1755" s="93">
        <v>0.752752</v>
      </c>
      <c r="I1755" s="93">
        <v>0.5264</v>
      </c>
    </row>
    <row r="1756" ht="25.5" spans="1:9">
      <c r="A1756" s="90"/>
      <c r="B1756" s="91" t="s">
        <v>1111</v>
      </c>
      <c r="C1756" s="91" t="s">
        <v>1674</v>
      </c>
      <c r="D1756" s="92" t="s">
        <v>1675</v>
      </c>
      <c r="E1756" s="93" t="s">
        <v>839</v>
      </c>
      <c r="F1756" s="93">
        <v>0.5264</v>
      </c>
      <c r="G1756" s="93">
        <v>0.31</v>
      </c>
      <c r="H1756" s="93">
        <v>0.163184</v>
      </c>
      <c r="I1756" s="93">
        <v>0.5264</v>
      </c>
    </row>
    <row r="1757" ht="38.25" spans="1:9">
      <c r="A1757" s="85" t="s">
        <v>2444</v>
      </c>
      <c r="B1757" s="85" t="s">
        <v>904</v>
      </c>
      <c r="C1757" s="85" t="s">
        <v>2445</v>
      </c>
      <c r="D1757" s="87" t="s">
        <v>905</v>
      </c>
      <c r="E1757" s="89" t="s">
        <v>494</v>
      </c>
      <c r="F1757" s="89">
        <v>1</v>
      </c>
      <c r="G1757" s="89">
        <v>183.03</v>
      </c>
      <c r="H1757" s="89">
        <v>183.03</v>
      </c>
      <c r="I1757" s="89">
        <v>1</v>
      </c>
    </row>
    <row r="1758" spans="1:9">
      <c r="A1758" s="90"/>
      <c r="B1758" s="91" t="s">
        <v>1007</v>
      </c>
      <c r="C1758" s="91" t="s">
        <v>1048</v>
      </c>
      <c r="D1758" s="92" t="s">
        <v>1049</v>
      </c>
      <c r="E1758" s="93" t="s">
        <v>839</v>
      </c>
      <c r="F1758" s="93">
        <v>1</v>
      </c>
      <c r="G1758" s="93">
        <v>1.5</v>
      </c>
      <c r="H1758" s="93">
        <v>4.5795</v>
      </c>
      <c r="I1758" s="93">
        <v>1</v>
      </c>
    </row>
    <row r="1759" spans="1:9">
      <c r="A1759" s="90"/>
      <c r="B1759" s="91" t="s">
        <v>1007</v>
      </c>
      <c r="C1759" s="91" t="s">
        <v>1006</v>
      </c>
      <c r="D1759" s="92" t="s">
        <v>1008</v>
      </c>
      <c r="E1759" s="93" t="s">
        <v>839</v>
      </c>
      <c r="F1759" s="93">
        <v>3.053</v>
      </c>
      <c r="G1759" s="93">
        <v>3.95</v>
      </c>
      <c r="H1759" s="93">
        <v>12.05935</v>
      </c>
      <c r="I1759" s="93">
        <v>3.053</v>
      </c>
    </row>
    <row r="1760" spans="1:9">
      <c r="A1760" s="90"/>
      <c r="B1760" s="91" t="s">
        <v>1453</v>
      </c>
      <c r="C1760" s="91" t="s">
        <v>1452</v>
      </c>
      <c r="D1760" s="92" t="s">
        <v>1454</v>
      </c>
      <c r="E1760" s="93" t="s">
        <v>839</v>
      </c>
      <c r="F1760" s="93">
        <v>1.55394647</v>
      </c>
      <c r="G1760" s="93">
        <v>15.35</v>
      </c>
      <c r="H1760" s="93">
        <v>23.8530783145</v>
      </c>
      <c r="I1760" s="93">
        <v>1.55394647</v>
      </c>
    </row>
    <row r="1761" spans="1:9">
      <c r="A1761" s="90"/>
      <c r="B1761" s="91" t="s">
        <v>1248</v>
      </c>
      <c r="C1761" s="91" t="s">
        <v>1247</v>
      </c>
      <c r="D1761" s="92" t="s">
        <v>1249</v>
      </c>
      <c r="E1761" s="93" t="s">
        <v>839</v>
      </c>
      <c r="F1761" s="93">
        <v>1.55394647</v>
      </c>
      <c r="G1761" s="93">
        <v>21.83</v>
      </c>
      <c r="H1761" s="93">
        <v>33.9226514401</v>
      </c>
      <c r="I1761" s="93">
        <v>1.55394647</v>
      </c>
    </row>
    <row r="1762" spans="1:9">
      <c r="A1762" s="90"/>
      <c r="B1762" s="91" t="s">
        <v>1007</v>
      </c>
      <c r="C1762" s="91" t="s">
        <v>1378</v>
      </c>
      <c r="D1762" s="92" t="s">
        <v>1379</v>
      </c>
      <c r="E1762" s="93" t="s">
        <v>839</v>
      </c>
      <c r="F1762" s="93">
        <v>3.053</v>
      </c>
      <c r="G1762" s="93">
        <v>0.08</v>
      </c>
      <c r="H1762" s="93">
        <v>0.24424</v>
      </c>
      <c r="I1762" s="93">
        <v>3.053</v>
      </c>
    </row>
    <row r="1763" ht="25.5" spans="1:9">
      <c r="A1763" s="90"/>
      <c r="B1763" s="91" t="s">
        <v>1837</v>
      </c>
      <c r="C1763" s="91" t="s">
        <v>1836</v>
      </c>
      <c r="D1763" s="92" t="s">
        <v>1838</v>
      </c>
      <c r="E1763" s="93" t="s">
        <v>494</v>
      </c>
      <c r="F1763" s="93">
        <v>2</v>
      </c>
      <c r="G1763" s="93">
        <v>0.96</v>
      </c>
      <c r="H1763" s="93">
        <v>1.92</v>
      </c>
      <c r="I1763" s="93">
        <v>2</v>
      </c>
    </row>
    <row r="1764" spans="1:9">
      <c r="A1764" s="90"/>
      <c r="B1764" s="91" t="s">
        <v>1809</v>
      </c>
      <c r="C1764" s="91" t="s">
        <v>1808</v>
      </c>
      <c r="D1764" s="92" t="s">
        <v>1810</v>
      </c>
      <c r="E1764" s="93" t="s">
        <v>494</v>
      </c>
      <c r="F1764" s="93">
        <v>0.0729</v>
      </c>
      <c r="G1764" s="93">
        <v>72.86</v>
      </c>
      <c r="H1764" s="93">
        <v>5.31</v>
      </c>
      <c r="I1764" s="93">
        <v>0.0729</v>
      </c>
    </row>
    <row r="1765" ht="25.5" spans="1:9">
      <c r="A1765" s="90"/>
      <c r="B1765" s="91" t="s">
        <v>1817</v>
      </c>
      <c r="C1765" s="91" t="s">
        <v>1816</v>
      </c>
      <c r="D1765" s="92" t="s">
        <v>1818</v>
      </c>
      <c r="E1765" s="93" t="s">
        <v>494</v>
      </c>
      <c r="F1765" s="93">
        <v>1</v>
      </c>
      <c r="G1765" s="93">
        <v>4.55</v>
      </c>
      <c r="H1765" s="93">
        <v>4.55</v>
      </c>
      <c r="I1765" s="93">
        <v>1</v>
      </c>
    </row>
    <row r="1766" ht="25.5" spans="1:9">
      <c r="A1766" s="90"/>
      <c r="B1766" s="91" t="s">
        <v>1111</v>
      </c>
      <c r="C1766" s="91" t="s">
        <v>1558</v>
      </c>
      <c r="D1766" s="92" t="s">
        <v>1559</v>
      </c>
      <c r="E1766" s="93" t="s">
        <v>839</v>
      </c>
      <c r="F1766" s="93">
        <v>3.053</v>
      </c>
      <c r="G1766" s="93">
        <v>1.13</v>
      </c>
      <c r="H1766" s="93">
        <v>3.44989</v>
      </c>
      <c r="I1766" s="93">
        <v>3.053</v>
      </c>
    </row>
    <row r="1767" spans="1:9">
      <c r="A1767" s="90"/>
      <c r="B1767" s="91" t="s">
        <v>1007</v>
      </c>
      <c r="C1767" s="91" t="s">
        <v>1050</v>
      </c>
      <c r="D1767" s="92" t="s">
        <v>1051</v>
      </c>
      <c r="E1767" s="93" t="s">
        <v>839</v>
      </c>
      <c r="F1767" s="93">
        <v>3.053</v>
      </c>
      <c r="G1767" s="93">
        <v>1.43</v>
      </c>
      <c r="H1767" s="93">
        <v>4.36579</v>
      </c>
      <c r="I1767" s="93">
        <v>3.053</v>
      </c>
    </row>
    <row r="1768" ht="25.5" spans="1:9">
      <c r="A1768" s="90"/>
      <c r="B1768" s="91" t="s">
        <v>1111</v>
      </c>
      <c r="C1768" s="91" t="s">
        <v>1674</v>
      </c>
      <c r="D1768" s="92" t="s">
        <v>1675</v>
      </c>
      <c r="E1768" s="93" t="s">
        <v>839</v>
      </c>
      <c r="F1768" s="93">
        <v>3.053</v>
      </c>
      <c r="G1768" s="93">
        <v>0.31</v>
      </c>
      <c r="H1768" s="93">
        <v>0.94643</v>
      </c>
      <c r="I1768" s="93">
        <v>3.053</v>
      </c>
    </row>
    <row r="1769" spans="1:9">
      <c r="A1769" s="90"/>
      <c r="B1769" s="91" t="s">
        <v>1872</v>
      </c>
      <c r="C1769" s="91" t="s">
        <v>1871</v>
      </c>
      <c r="D1769" s="92" t="s">
        <v>1873</v>
      </c>
      <c r="E1769" s="93" t="s">
        <v>494</v>
      </c>
      <c r="F1769" s="93">
        <v>0.0132</v>
      </c>
      <c r="G1769" s="93">
        <v>14.38</v>
      </c>
      <c r="H1769" s="93">
        <v>0.18</v>
      </c>
      <c r="I1769" s="93">
        <v>0.0132</v>
      </c>
    </row>
    <row r="1770" ht="25.5" spans="1:9">
      <c r="A1770" s="90"/>
      <c r="B1770" s="91" t="s">
        <v>1843</v>
      </c>
      <c r="C1770" s="91" t="s">
        <v>1842</v>
      </c>
      <c r="D1770" s="92" t="s">
        <v>1844</v>
      </c>
      <c r="E1770" s="93" t="s">
        <v>494</v>
      </c>
      <c r="F1770" s="93">
        <v>2</v>
      </c>
      <c r="G1770" s="93">
        <v>0.78</v>
      </c>
      <c r="H1770" s="93">
        <v>1.56</v>
      </c>
      <c r="I1770" s="93">
        <v>2</v>
      </c>
    </row>
    <row r="1771" ht="25.5" spans="1:9">
      <c r="A1771" s="90"/>
      <c r="B1771" s="91" t="s">
        <v>1782</v>
      </c>
      <c r="C1771" s="91" t="s">
        <v>1781</v>
      </c>
      <c r="D1771" s="92" t="s">
        <v>1783</v>
      </c>
      <c r="E1771" s="93" t="s">
        <v>494</v>
      </c>
      <c r="F1771" s="93">
        <v>2</v>
      </c>
      <c r="G1771" s="93">
        <v>5.36</v>
      </c>
      <c r="H1771" s="93">
        <v>10.72</v>
      </c>
      <c r="I1771" s="93">
        <v>2</v>
      </c>
    </row>
    <row r="1772" spans="1:9">
      <c r="A1772" s="90"/>
      <c r="B1772" s="91" t="s">
        <v>1848</v>
      </c>
      <c r="C1772" s="91" t="s">
        <v>1847</v>
      </c>
      <c r="D1772" s="92" t="s">
        <v>1849</v>
      </c>
      <c r="E1772" s="93" t="s">
        <v>494</v>
      </c>
      <c r="F1772" s="93">
        <v>0.1681</v>
      </c>
      <c r="G1772" s="93">
        <v>2.57</v>
      </c>
      <c r="H1772" s="93">
        <v>0.43</v>
      </c>
      <c r="I1772" s="93">
        <v>0.1681</v>
      </c>
    </row>
    <row r="1773" spans="1:9">
      <c r="A1773" s="90"/>
      <c r="B1773" s="91" t="s">
        <v>1715</v>
      </c>
      <c r="C1773" s="91" t="s">
        <v>1714</v>
      </c>
      <c r="D1773" s="92" t="s">
        <v>1716</v>
      </c>
      <c r="E1773" s="93" t="s">
        <v>494</v>
      </c>
      <c r="F1773" s="93">
        <v>1</v>
      </c>
      <c r="G1773" s="93">
        <v>38.45</v>
      </c>
      <c r="H1773" s="93">
        <v>38.45</v>
      </c>
      <c r="I1773" s="93">
        <v>1</v>
      </c>
    </row>
    <row r="1774" spans="1:9">
      <c r="A1774" s="90"/>
      <c r="B1774" s="91" t="s">
        <v>1800</v>
      </c>
      <c r="C1774" s="91" t="s">
        <v>1799</v>
      </c>
      <c r="D1774" s="92" t="s">
        <v>1801</v>
      </c>
      <c r="E1774" s="93" t="s">
        <v>494</v>
      </c>
      <c r="F1774" s="93">
        <v>0.091</v>
      </c>
      <c r="G1774" s="93">
        <v>82.55</v>
      </c>
      <c r="H1774" s="93">
        <v>7.51</v>
      </c>
      <c r="I1774" s="93">
        <v>0.091</v>
      </c>
    </row>
    <row r="1775" spans="1:9">
      <c r="A1775" s="90"/>
      <c r="B1775" s="91" t="s">
        <v>1767</v>
      </c>
      <c r="C1775" s="91" t="s">
        <v>1766</v>
      </c>
      <c r="D1775" s="92" t="s">
        <v>1768</v>
      </c>
      <c r="E1775" s="93" t="s">
        <v>112</v>
      </c>
      <c r="F1775" s="93">
        <v>2.9905</v>
      </c>
      <c r="G1775" s="93">
        <v>4.46</v>
      </c>
      <c r="H1775" s="93">
        <v>13.33</v>
      </c>
      <c r="I1775" s="93">
        <v>2.9905</v>
      </c>
    </row>
    <row r="1776" spans="1:9">
      <c r="A1776" s="90"/>
      <c r="B1776" s="91" t="s">
        <v>1664</v>
      </c>
      <c r="C1776" s="91" t="s">
        <v>1663</v>
      </c>
      <c r="D1776" s="92" t="s">
        <v>1665</v>
      </c>
      <c r="E1776" s="93" t="s">
        <v>112</v>
      </c>
      <c r="F1776" s="93">
        <v>0.9444</v>
      </c>
      <c r="G1776" s="93">
        <v>16.58</v>
      </c>
      <c r="H1776" s="93">
        <v>15.65</v>
      </c>
      <c r="I1776" s="93">
        <v>0.9444</v>
      </c>
    </row>
    <row r="1777" spans="1:9">
      <c r="A1777" s="85" t="s">
        <v>2446</v>
      </c>
      <c r="B1777" s="86"/>
      <c r="C1777" s="86"/>
      <c r="D1777" s="87" t="s">
        <v>906</v>
      </c>
      <c r="E1777" s="88"/>
      <c r="F1777" s="89">
        <v>0</v>
      </c>
      <c r="G1777" s="89">
        <v>0</v>
      </c>
      <c r="H1777" s="89">
        <v>0</v>
      </c>
      <c r="I1777" s="89">
        <v>0</v>
      </c>
    </row>
    <row r="1778" ht="25.5" spans="1:9">
      <c r="A1778" s="85" t="s">
        <v>2447</v>
      </c>
      <c r="B1778" s="85" t="s">
        <v>577</v>
      </c>
      <c r="C1778" s="85" t="s">
        <v>2448</v>
      </c>
      <c r="D1778" s="87" t="s">
        <v>578</v>
      </c>
      <c r="E1778" s="89" t="s">
        <v>466</v>
      </c>
      <c r="F1778" s="89">
        <v>298.4</v>
      </c>
      <c r="G1778" s="89">
        <v>203.84</v>
      </c>
      <c r="H1778" s="89">
        <v>60825.85</v>
      </c>
      <c r="I1778" s="89">
        <v>298.4</v>
      </c>
    </row>
    <row r="1779" spans="1:9">
      <c r="A1779" s="90"/>
      <c r="B1779" s="91" t="s">
        <v>1007</v>
      </c>
      <c r="C1779" s="91" t="s">
        <v>1048</v>
      </c>
      <c r="D1779" s="92" t="s">
        <v>1049</v>
      </c>
      <c r="E1779" s="93" t="s">
        <v>839</v>
      </c>
      <c r="F1779" s="93">
        <v>1</v>
      </c>
      <c r="G1779" s="93">
        <v>1.5</v>
      </c>
      <c r="H1779" s="93">
        <v>0.18015</v>
      </c>
      <c r="I1779" s="93">
        <v>298.4</v>
      </c>
    </row>
    <row r="1780" spans="1:9">
      <c r="A1780" s="90"/>
      <c r="B1780" s="91" t="s">
        <v>1007</v>
      </c>
      <c r="C1780" s="91" t="s">
        <v>1006</v>
      </c>
      <c r="D1780" s="92" t="s">
        <v>1008</v>
      </c>
      <c r="E1780" s="93" t="s">
        <v>839</v>
      </c>
      <c r="F1780" s="93">
        <v>0.1201</v>
      </c>
      <c r="G1780" s="93">
        <v>3.95</v>
      </c>
      <c r="H1780" s="93">
        <v>0.474395</v>
      </c>
      <c r="I1780" s="93">
        <v>35.83784</v>
      </c>
    </row>
    <row r="1781" spans="1:9">
      <c r="A1781" s="90"/>
      <c r="B1781" s="91" t="s">
        <v>1316</v>
      </c>
      <c r="C1781" s="91" t="s">
        <v>1669</v>
      </c>
      <c r="D1781" s="92" t="s">
        <v>1670</v>
      </c>
      <c r="E1781" s="93" t="s">
        <v>839</v>
      </c>
      <c r="F1781" s="93">
        <v>0.002134377</v>
      </c>
      <c r="G1781" s="93">
        <v>18</v>
      </c>
      <c r="H1781" s="93">
        <v>0.038418786</v>
      </c>
      <c r="I1781" s="93">
        <v>0.6368980968</v>
      </c>
    </row>
    <row r="1782" spans="1:9">
      <c r="A1782" s="90"/>
      <c r="B1782" s="91" t="s">
        <v>1007</v>
      </c>
      <c r="C1782" s="91" t="s">
        <v>1378</v>
      </c>
      <c r="D1782" s="92" t="s">
        <v>1379</v>
      </c>
      <c r="E1782" s="93" t="s">
        <v>839</v>
      </c>
      <c r="F1782" s="93">
        <v>0.1201</v>
      </c>
      <c r="G1782" s="93">
        <v>0.08</v>
      </c>
      <c r="H1782" s="93">
        <v>0.009608</v>
      </c>
      <c r="I1782" s="93">
        <v>35.83784</v>
      </c>
    </row>
    <row r="1783" spans="1:9">
      <c r="A1783" s="90"/>
      <c r="B1783" s="91" t="s">
        <v>1020</v>
      </c>
      <c r="C1783" s="91" t="s">
        <v>1019</v>
      </c>
      <c r="D1783" s="92" t="s">
        <v>1021</v>
      </c>
      <c r="E1783" s="93" t="s">
        <v>839</v>
      </c>
      <c r="F1783" s="93">
        <v>0.0633144</v>
      </c>
      <c r="G1783" s="93">
        <v>14.49</v>
      </c>
      <c r="H1783" s="93">
        <v>0.917425656</v>
      </c>
      <c r="I1783" s="93">
        <v>18.89301696</v>
      </c>
    </row>
    <row r="1784" spans="1:9">
      <c r="A1784" s="90"/>
      <c r="B1784" s="91" t="s">
        <v>1405</v>
      </c>
      <c r="C1784" s="91" t="s">
        <v>1551</v>
      </c>
      <c r="D1784" s="92" t="s">
        <v>1552</v>
      </c>
      <c r="E1784" s="93" t="s">
        <v>839</v>
      </c>
      <c r="F1784" s="93">
        <v>0.05664624</v>
      </c>
      <c r="G1784" s="93">
        <v>21.55</v>
      </c>
      <c r="H1784" s="93">
        <v>1.220726472</v>
      </c>
      <c r="I1784" s="93">
        <v>16.903238016</v>
      </c>
    </row>
    <row r="1785" spans="1:9">
      <c r="A1785" s="90"/>
      <c r="B1785" s="91" t="s">
        <v>1693</v>
      </c>
      <c r="C1785" s="91" t="s">
        <v>1692</v>
      </c>
      <c r="D1785" s="92" t="s">
        <v>1694</v>
      </c>
      <c r="E1785" s="93" t="s">
        <v>1695</v>
      </c>
      <c r="F1785" s="93">
        <v>0.000702</v>
      </c>
      <c r="G1785" s="93">
        <v>0.72</v>
      </c>
      <c r="H1785" s="93">
        <v>0.00050544</v>
      </c>
      <c r="I1785" s="93">
        <v>0.2094768</v>
      </c>
    </row>
    <row r="1786" ht="25.5" spans="1:9">
      <c r="A1786" s="90"/>
      <c r="B1786" s="91" t="s">
        <v>1111</v>
      </c>
      <c r="C1786" s="91" t="s">
        <v>1174</v>
      </c>
      <c r="D1786" s="92" t="s">
        <v>1175</v>
      </c>
      <c r="E1786" s="93" t="s">
        <v>839</v>
      </c>
      <c r="F1786" s="93">
        <v>0.056</v>
      </c>
      <c r="G1786" s="93">
        <v>1.43</v>
      </c>
      <c r="H1786" s="93">
        <v>0.08008</v>
      </c>
      <c r="I1786" s="93">
        <v>16.7104</v>
      </c>
    </row>
    <row r="1787" ht="25.5" spans="1:9">
      <c r="A1787" s="90"/>
      <c r="B1787" s="91" t="s">
        <v>1111</v>
      </c>
      <c r="C1787" s="91" t="s">
        <v>1287</v>
      </c>
      <c r="D1787" s="92" t="s">
        <v>1288</v>
      </c>
      <c r="E1787" s="93" t="s">
        <v>839</v>
      </c>
      <c r="F1787" s="93">
        <v>0.0021</v>
      </c>
      <c r="G1787" s="93">
        <v>0.89</v>
      </c>
      <c r="H1787" s="93">
        <v>0.001869</v>
      </c>
      <c r="I1787" s="93">
        <v>0.62664</v>
      </c>
    </row>
    <row r="1788" ht="25.5" spans="1:9">
      <c r="A1788" s="90"/>
      <c r="B1788" s="91" t="s">
        <v>1111</v>
      </c>
      <c r="C1788" s="91" t="s">
        <v>1110</v>
      </c>
      <c r="D1788" s="92" t="s">
        <v>1112</v>
      </c>
      <c r="E1788" s="93" t="s">
        <v>839</v>
      </c>
      <c r="F1788" s="93">
        <v>0.062</v>
      </c>
      <c r="G1788" s="93">
        <v>1.39</v>
      </c>
      <c r="H1788" s="93">
        <v>0.08618</v>
      </c>
      <c r="I1788" s="93">
        <v>18.5008</v>
      </c>
    </row>
    <row r="1789" spans="1:9">
      <c r="A1789" s="90"/>
      <c r="B1789" s="91" t="s">
        <v>1007</v>
      </c>
      <c r="C1789" s="91" t="s">
        <v>1050</v>
      </c>
      <c r="D1789" s="92" t="s">
        <v>1051</v>
      </c>
      <c r="E1789" s="93" t="s">
        <v>839</v>
      </c>
      <c r="F1789" s="93">
        <v>0.1201</v>
      </c>
      <c r="G1789" s="93">
        <v>1.43</v>
      </c>
      <c r="H1789" s="93">
        <v>0.171743</v>
      </c>
      <c r="I1789" s="93">
        <v>35.83784</v>
      </c>
    </row>
    <row r="1790" ht="25.5" spans="1:9">
      <c r="A1790" s="90"/>
      <c r="B1790" s="91" t="s">
        <v>1111</v>
      </c>
      <c r="C1790" s="91" t="s">
        <v>1310</v>
      </c>
      <c r="D1790" s="92" t="s">
        <v>1311</v>
      </c>
      <c r="E1790" s="93" t="s">
        <v>839</v>
      </c>
      <c r="F1790" s="93">
        <v>0.056</v>
      </c>
      <c r="G1790" s="93">
        <v>0.44</v>
      </c>
      <c r="H1790" s="93">
        <v>0.02464</v>
      </c>
      <c r="I1790" s="93">
        <v>16.7104</v>
      </c>
    </row>
    <row r="1791" ht="25.5" spans="1:9">
      <c r="A1791" s="90"/>
      <c r="B1791" s="91" t="s">
        <v>1111</v>
      </c>
      <c r="C1791" s="91" t="s">
        <v>1707</v>
      </c>
      <c r="D1791" s="92" t="s">
        <v>1708</v>
      </c>
      <c r="E1791" s="93" t="s">
        <v>839</v>
      </c>
      <c r="F1791" s="93">
        <v>0.0021</v>
      </c>
      <c r="G1791" s="93">
        <v>0.01</v>
      </c>
      <c r="H1791" s="93">
        <v>2.1e-5</v>
      </c>
      <c r="I1791" s="93">
        <v>0.62664</v>
      </c>
    </row>
    <row r="1792" ht="25.5" spans="1:9">
      <c r="A1792" s="90"/>
      <c r="B1792" s="91" t="s">
        <v>1111</v>
      </c>
      <c r="C1792" s="91" t="s">
        <v>1195</v>
      </c>
      <c r="D1792" s="92" t="s">
        <v>1196</v>
      </c>
      <c r="E1792" s="93" t="s">
        <v>839</v>
      </c>
      <c r="F1792" s="93">
        <v>0.062</v>
      </c>
      <c r="G1792" s="93">
        <v>0.61</v>
      </c>
      <c r="H1792" s="93">
        <v>0.03782</v>
      </c>
      <c r="I1792" s="93">
        <v>18.5008</v>
      </c>
    </row>
    <row r="1793" ht="25.5" spans="1:9">
      <c r="A1793" s="90"/>
      <c r="B1793" s="91" t="s">
        <v>1726</v>
      </c>
      <c r="C1793" s="91" t="s">
        <v>1834</v>
      </c>
      <c r="D1793" s="92" t="s">
        <v>1835</v>
      </c>
      <c r="E1793" s="93" t="s">
        <v>494</v>
      </c>
      <c r="F1793" s="93">
        <v>2.1948e-7</v>
      </c>
      <c r="G1793" s="93">
        <v>4363.58</v>
      </c>
      <c r="H1793" s="93">
        <v>0.0009577185384</v>
      </c>
      <c r="I1793" s="93">
        <v>6.5492832e-5</v>
      </c>
    </row>
    <row r="1794" ht="25.5" spans="1:9">
      <c r="A1794" s="90"/>
      <c r="B1794" s="91" t="s">
        <v>1346</v>
      </c>
      <c r="C1794" s="91" t="s">
        <v>1345</v>
      </c>
      <c r="D1794" s="92" t="s">
        <v>1347</v>
      </c>
      <c r="E1794" s="93" t="s">
        <v>1348</v>
      </c>
      <c r="F1794" s="93">
        <v>4.15</v>
      </c>
      <c r="G1794" s="93">
        <v>1.99</v>
      </c>
      <c r="H1794" s="93">
        <v>8.25</v>
      </c>
      <c r="I1794" s="93">
        <v>1238.36</v>
      </c>
    </row>
    <row r="1795" ht="51" spans="1:9">
      <c r="A1795" s="90"/>
      <c r="B1795" s="91" t="s">
        <v>1037</v>
      </c>
      <c r="C1795" s="91" t="s">
        <v>1036</v>
      </c>
      <c r="D1795" s="92" t="s">
        <v>1038</v>
      </c>
      <c r="E1795" s="93" t="s">
        <v>466</v>
      </c>
      <c r="F1795" s="93">
        <v>1.146</v>
      </c>
      <c r="G1795" s="93">
        <v>167.85</v>
      </c>
      <c r="H1795" s="93">
        <v>192.35</v>
      </c>
      <c r="I1795" s="93">
        <v>341.9664</v>
      </c>
    </row>
    <row r="1796" ht="38.25" spans="1:9">
      <c r="A1796" s="85" t="s">
        <v>2449</v>
      </c>
      <c r="B1796" s="85" t="s">
        <v>572</v>
      </c>
      <c r="C1796" s="85" t="s">
        <v>2450</v>
      </c>
      <c r="D1796" s="87" t="s">
        <v>573</v>
      </c>
      <c r="E1796" s="89" t="s">
        <v>466</v>
      </c>
      <c r="F1796" s="89">
        <v>298.4</v>
      </c>
      <c r="G1796" s="89">
        <v>47.42</v>
      </c>
      <c r="H1796" s="89">
        <v>14150.12</v>
      </c>
      <c r="I1796" s="89">
        <v>298.4</v>
      </c>
    </row>
    <row r="1797" spans="1:9">
      <c r="A1797" s="90"/>
      <c r="B1797" s="91" t="s">
        <v>1007</v>
      </c>
      <c r="C1797" s="91" t="s">
        <v>1048</v>
      </c>
      <c r="D1797" s="92" t="s">
        <v>1049</v>
      </c>
      <c r="E1797" s="93" t="s">
        <v>839</v>
      </c>
      <c r="F1797" s="93">
        <v>1</v>
      </c>
      <c r="G1797" s="93">
        <v>1.5</v>
      </c>
      <c r="H1797" s="93">
        <v>0.5028</v>
      </c>
      <c r="I1797" s="93">
        <v>298.4</v>
      </c>
    </row>
    <row r="1798" spans="1:9">
      <c r="A1798" s="90"/>
      <c r="B1798" s="91" t="s">
        <v>1007</v>
      </c>
      <c r="C1798" s="91" t="s">
        <v>1006</v>
      </c>
      <c r="D1798" s="92" t="s">
        <v>1008</v>
      </c>
      <c r="E1798" s="93" t="s">
        <v>839</v>
      </c>
      <c r="F1798" s="93">
        <v>0.3352</v>
      </c>
      <c r="G1798" s="93">
        <v>3.95</v>
      </c>
      <c r="H1798" s="93">
        <v>1.32404</v>
      </c>
      <c r="I1798" s="93">
        <v>100.02368</v>
      </c>
    </row>
    <row r="1799" spans="1:9">
      <c r="A1799" s="90"/>
      <c r="B1799" s="91" t="s">
        <v>1447</v>
      </c>
      <c r="C1799" s="91" t="s">
        <v>1446</v>
      </c>
      <c r="D1799" s="92" t="s">
        <v>1448</v>
      </c>
      <c r="E1799" s="93" t="s">
        <v>839</v>
      </c>
      <c r="F1799" s="93">
        <v>0.21545802</v>
      </c>
      <c r="G1799" s="93">
        <v>17.58</v>
      </c>
      <c r="H1799" s="93">
        <v>3.7877519916</v>
      </c>
      <c r="I1799" s="93">
        <v>64.292673168</v>
      </c>
    </row>
    <row r="1800" spans="1:9">
      <c r="A1800" s="90"/>
      <c r="B1800" s="91" t="s">
        <v>1316</v>
      </c>
      <c r="C1800" s="91" t="s">
        <v>1669</v>
      </c>
      <c r="D1800" s="92" t="s">
        <v>1670</v>
      </c>
      <c r="E1800" s="93" t="s">
        <v>839</v>
      </c>
      <c r="F1800" s="93">
        <v>0.016465194</v>
      </c>
      <c r="G1800" s="93">
        <v>18</v>
      </c>
      <c r="H1800" s="93">
        <v>0.296373492</v>
      </c>
      <c r="I1800" s="93">
        <v>4.9132138896</v>
      </c>
    </row>
    <row r="1801" spans="1:9">
      <c r="A1801" s="90"/>
      <c r="B1801" s="91" t="s">
        <v>1007</v>
      </c>
      <c r="C1801" s="91" t="s">
        <v>1378</v>
      </c>
      <c r="D1801" s="92" t="s">
        <v>1379</v>
      </c>
      <c r="E1801" s="93" t="s">
        <v>839</v>
      </c>
      <c r="F1801" s="93">
        <v>0.3352</v>
      </c>
      <c r="G1801" s="93">
        <v>0.08</v>
      </c>
      <c r="H1801" s="93">
        <v>0.026816</v>
      </c>
      <c r="I1801" s="93">
        <v>100.02368</v>
      </c>
    </row>
    <row r="1802" spans="1:9">
      <c r="A1802" s="90"/>
      <c r="B1802" s="91" t="s">
        <v>1020</v>
      </c>
      <c r="C1802" s="91" t="s">
        <v>1019</v>
      </c>
      <c r="D1802" s="92" t="s">
        <v>1021</v>
      </c>
      <c r="E1802" s="93" t="s">
        <v>839</v>
      </c>
      <c r="F1802" s="93">
        <v>0.1082472</v>
      </c>
      <c r="G1802" s="93">
        <v>14.49</v>
      </c>
      <c r="H1802" s="93">
        <v>1.568501928</v>
      </c>
      <c r="I1802" s="93">
        <v>32.30096448</v>
      </c>
    </row>
    <row r="1803" spans="1:9">
      <c r="A1803" s="90"/>
      <c r="B1803" s="91" t="s">
        <v>1693</v>
      </c>
      <c r="C1803" s="91" t="s">
        <v>1692</v>
      </c>
      <c r="D1803" s="92" t="s">
        <v>1694</v>
      </c>
      <c r="E1803" s="93" t="s">
        <v>1695</v>
      </c>
      <c r="F1803" s="93">
        <v>0.005304</v>
      </c>
      <c r="G1803" s="93">
        <v>0.72</v>
      </c>
      <c r="H1803" s="93">
        <v>0.00381888</v>
      </c>
      <c r="I1803" s="93">
        <v>1.5827136</v>
      </c>
    </row>
    <row r="1804" ht="25.5" spans="1:9">
      <c r="A1804" s="90"/>
      <c r="B1804" s="91" t="s">
        <v>1111</v>
      </c>
      <c r="C1804" s="91" t="s">
        <v>1287</v>
      </c>
      <c r="D1804" s="92" t="s">
        <v>1288</v>
      </c>
      <c r="E1804" s="93" t="s">
        <v>839</v>
      </c>
      <c r="F1804" s="93">
        <v>0.2292</v>
      </c>
      <c r="G1804" s="93">
        <v>0.89</v>
      </c>
      <c r="H1804" s="93">
        <v>0.203988</v>
      </c>
      <c r="I1804" s="93">
        <v>68.39328</v>
      </c>
    </row>
    <row r="1805" ht="25.5" spans="1:9">
      <c r="A1805" s="90"/>
      <c r="B1805" s="91" t="s">
        <v>1111</v>
      </c>
      <c r="C1805" s="91" t="s">
        <v>1110</v>
      </c>
      <c r="D1805" s="92" t="s">
        <v>1112</v>
      </c>
      <c r="E1805" s="93" t="s">
        <v>839</v>
      </c>
      <c r="F1805" s="93">
        <v>0.106</v>
      </c>
      <c r="G1805" s="93">
        <v>1.39</v>
      </c>
      <c r="H1805" s="93">
        <v>0.14734</v>
      </c>
      <c r="I1805" s="93">
        <v>31.6304</v>
      </c>
    </row>
    <row r="1806" spans="1:9">
      <c r="A1806" s="90"/>
      <c r="B1806" s="91" t="s">
        <v>1007</v>
      </c>
      <c r="C1806" s="91" t="s">
        <v>1050</v>
      </c>
      <c r="D1806" s="92" t="s">
        <v>1051</v>
      </c>
      <c r="E1806" s="93" t="s">
        <v>839</v>
      </c>
      <c r="F1806" s="93">
        <v>0.3352</v>
      </c>
      <c r="G1806" s="93">
        <v>1.43</v>
      </c>
      <c r="H1806" s="93">
        <v>0.479336</v>
      </c>
      <c r="I1806" s="93">
        <v>100.02368</v>
      </c>
    </row>
    <row r="1807" ht="25.5" spans="1:9">
      <c r="A1807" s="90"/>
      <c r="B1807" s="91" t="s">
        <v>1111</v>
      </c>
      <c r="C1807" s="91" t="s">
        <v>1707</v>
      </c>
      <c r="D1807" s="92" t="s">
        <v>1708</v>
      </c>
      <c r="E1807" s="93" t="s">
        <v>839</v>
      </c>
      <c r="F1807" s="93">
        <v>0.2292</v>
      </c>
      <c r="G1807" s="93">
        <v>0.01</v>
      </c>
      <c r="H1807" s="93">
        <v>0.002292</v>
      </c>
      <c r="I1807" s="93">
        <v>68.39328</v>
      </c>
    </row>
    <row r="1808" ht="25.5" spans="1:9">
      <c r="A1808" s="90"/>
      <c r="B1808" s="91" t="s">
        <v>1111</v>
      </c>
      <c r="C1808" s="91" t="s">
        <v>1195</v>
      </c>
      <c r="D1808" s="92" t="s">
        <v>1196</v>
      </c>
      <c r="E1808" s="93" t="s">
        <v>839</v>
      </c>
      <c r="F1808" s="93">
        <v>0.106</v>
      </c>
      <c r="G1808" s="93">
        <v>0.61</v>
      </c>
      <c r="H1808" s="93">
        <v>0.06466</v>
      </c>
      <c r="I1808" s="93">
        <v>31.6304</v>
      </c>
    </row>
    <row r="1809" ht="25.5" spans="1:9">
      <c r="A1809" s="90"/>
      <c r="B1809" s="91" t="s">
        <v>1726</v>
      </c>
      <c r="C1809" s="91" t="s">
        <v>1834</v>
      </c>
      <c r="D1809" s="92" t="s">
        <v>1835</v>
      </c>
      <c r="E1809" s="93" t="s">
        <v>494</v>
      </c>
      <c r="F1809" s="93">
        <v>1.68456e-6</v>
      </c>
      <c r="G1809" s="93">
        <v>4363.58</v>
      </c>
      <c r="H1809" s="93">
        <v>0.0073507123248</v>
      </c>
      <c r="I1809" s="93">
        <v>0.000502672704</v>
      </c>
    </row>
    <row r="1810" ht="25.5" spans="1:9">
      <c r="A1810" s="90"/>
      <c r="B1810" s="91" t="s">
        <v>1534</v>
      </c>
      <c r="C1810" s="91" t="s">
        <v>1533</v>
      </c>
      <c r="D1810" s="92" t="s">
        <v>1535</v>
      </c>
      <c r="E1810" s="93" t="s">
        <v>1536</v>
      </c>
      <c r="F1810" s="93">
        <v>0.007</v>
      </c>
      <c r="G1810" s="93">
        <v>214.19</v>
      </c>
      <c r="H1810" s="93">
        <v>1.49</v>
      </c>
      <c r="I1810" s="93">
        <v>2.0888</v>
      </c>
    </row>
    <row r="1811" ht="25.5" spans="1:9">
      <c r="A1811" s="90"/>
      <c r="B1811" s="91" t="s">
        <v>1158</v>
      </c>
      <c r="C1811" s="91" t="s">
        <v>1157</v>
      </c>
      <c r="D1811" s="92" t="s">
        <v>1159</v>
      </c>
      <c r="E1811" s="93" t="s">
        <v>463</v>
      </c>
      <c r="F1811" s="93">
        <v>4.333</v>
      </c>
      <c r="G1811" s="93">
        <v>8.66</v>
      </c>
      <c r="H1811" s="93">
        <v>37.52</v>
      </c>
      <c r="I1811" s="93">
        <v>1292.9672</v>
      </c>
    </row>
    <row r="1812" spans="1:9">
      <c r="A1812" s="85" t="s">
        <v>2451</v>
      </c>
      <c r="B1812" s="86"/>
      <c r="C1812" s="86"/>
      <c r="D1812" s="87" t="s">
        <v>907</v>
      </c>
      <c r="E1812" s="88"/>
      <c r="F1812" s="89">
        <v>0</v>
      </c>
      <c r="G1812" s="89">
        <v>0</v>
      </c>
      <c r="H1812" s="89">
        <v>0</v>
      </c>
      <c r="I1812" s="89">
        <v>0</v>
      </c>
    </row>
    <row r="1813" ht="38.25" spans="1:9">
      <c r="A1813" s="85" t="s">
        <v>2452</v>
      </c>
      <c r="B1813" s="85" t="s">
        <v>908</v>
      </c>
      <c r="C1813" s="85" t="s">
        <v>2453</v>
      </c>
      <c r="D1813" s="87" t="s">
        <v>909</v>
      </c>
      <c r="E1813" s="89" t="s">
        <v>466</v>
      </c>
      <c r="F1813" s="89">
        <v>158.84</v>
      </c>
      <c r="G1813" s="89">
        <v>38.85</v>
      </c>
      <c r="H1813" s="89">
        <v>6170.93</v>
      </c>
      <c r="I1813" s="89">
        <v>158.84</v>
      </c>
    </row>
    <row r="1814" ht="25.5" spans="1:9">
      <c r="A1814" s="90"/>
      <c r="B1814" s="91" t="s">
        <v>1776</v>
      </c>
      <c r="C1814" s="91" t="s">
        <v>1775</v>
      </c>
      <c r="D1814" s="92" t="s">
        <v>1777</v>
      </c>
      <c r="E1814" s="93" t="s">
        <v>494</v>
      </c>
      <c r="F1814" s="93">
        <v>1</v>
      </c>
      <c r="G1814" s="93">
        <v>5000</v>
      </c>
      <c r="H1814" s="93">
        <v>0.0650712</v>
      </c>
      <c r="I1814" s="93">
        <v>158.84</v>
      </c>
    </row>
    <row r="1815" spans="1:9">
      <c r="A1815" s="90"/>
      <c r="B1815" s="91" t="s">
        <v>1007</v>
      </c>
      <c r="C1815" s="91" t="s">
        <v>1048</v>
      </c>
      <c r="D1815" s="92" t="s">
        <v>1049</v>
      </c>
      <c r="E1815" s="93" t="s">
        <v>839</v>
      </c>
      <c r="F1815" s="93">
        <v>1</v>
      </c>
      <c r="G1815" s="93">
        <v>1.5</v>
      </c>
      <c r="H1815" s="93">
        <v>1.0467</v>
      </c>
      <c r="I1815" s="93">
        <v>158.84</v>
      </c>
    </row>
    <row r="1816" spans="1:9">
      <c r="A1816" s="90"/>
      <c r="B1816" s="91" t="s">
        <v>1007</v>
      </c>
      <c r="C1816" s="91" t="s">
        <v>1006</v>
      </c>
      <c r="D1816" s="92" t="s">
        <v>1008</v>
      </c>
      <c r="E1816" s="93" t="s">
        <v>839</v>
      </c>
      <c r="F1816" s="93">
        <v>0.6978</v>
      </c>
      <c r="G1816" s="93">
        <v>3.95</v>
      </c>
      <c r="H1816" s="93">
        <v>2.75631</v>
      </c>
      <c r="I1816" s="93">
        <v>110.838552</v>
      </c>
    </row>
    <row r="1817" spans="1:9">
      <c r="A1817" s="90"/>
      <c r="B1817" s="91" t="s">
        <v>1506</v>
      </c>
      <c r="C1817" s="91" t="s">
        <v>1505</v>
      </c>
      <c r="D1817" s="92" t="s">
        <v>1507</v>
      </c>
      <c r="E1817" s="93" t="s">
        <v>839</v>
      </c>
      <c r="F1817" s="93">
        <v>0.137936808</v>
      </c>
      <c r="G1817" s="93">
        <v>18</v>
      </c>
      <c r="H1817" s="93">
        <v>2.482862544</v>
      </c>
      <c r="I1817" s="93">
        <v>21.90988258272</v>
      </c>
    </row>
    <row r="1818" spans="1:9">
      <c r="A1818" s="90"/>
      <c r="B1818" s="91" t="s">
        <v>1090</v>
      </c>
      <c r="C1818" s="91" t="s">
        <v>1089</v>
      </c>
      <c r="D1818" s="92" t="s">
        <v>1091</v>
      </c>
      <c r="E1818" s="93" t="s">
        <v>839</v>
      </c>
      <c r="F1818" s="93">
        <v>0.3819288</v>
      </c>
      <c r="G1818" s="93">
        <v>21.83</v>
      </c>
      <c r="H1818" s="93">
        <v>8.337505704</v>
      </c>
      <c r="I1818" s="93">
        <v>60.665570592</v>
      </c>
    </row>
    <row r="1819" spans="1:9">
      <c r="A1819" s="90"/>
      <c r="B1819" s="91" t="s">
        <v>1007</v>
      </c>
      <c r="C1819" s="91" t="s">
        <v>1378</v>
      </c>
      <c r="D1819" s="92" t="s">
        <v>1379</v>
      </c>
      <c r="E1819" s="93" t="s">
        <v>839</v>
      </c>
      <c r="F1819" s="93">
        <v>0.6978</v>
      </c>
      <c r="G1819" s="93">
        <v>0.08</v>
      </c>
      <c r="H1819" s="93">
        <v>0.055824</v>
      </c>
      <c r="I1819" s="93">
        <v>110.838552</v>
      </c>
    </row>
    <row r="1820" spans="1:9">
      <c r="A1820" s="90"/>
      <c r="B1820" s="91" t="s">
        <v>1020</v>
      </c>
      <c r="C1820" s="91" t="s">
        <v>1019</v>
      </c>
      <c r="D1820" s="92" t="s">
        <v>1021</v>
      </c>
      <c r="E1820" s="93" t="s">
        <v>839</v>
      </c>
      <c r="F1820" s="93">
        <v>0.1909644</v>
      </c>
      <c r="G1820" s="93">
        <v>14.49</v>
      </c>
      <c r="H1820" s="93">
        <v>2.767074156</v>
      </c>
      <c r="I1820" s="93">
        <v>30.332785296</v>
      </c>
    </row>
    <row r="1821" ht="25.5" spans="1:9">
      <c r="A1821" s="90"/>
      <c r="B1821" s="91" t="s">
        <v>1010</v>
      </c>
      <c r="C1821" s="91" t="s">
        <v>1009</v>
      </c>
      <c r="D1821" s="92" t="s">
        <v>1011</v>
      </c>
      <c r="E1821" s="93" t="s">
        <v>476</v>
      </c>
      <c r="F1821" s="93">
        <v>0.035264</v>
      </c>
      <c r="G1821" s="93">
        <v>205</v>
      </c>
      <c r="H1821" s="93">
        <v>7.22912</v>
      </c>
      <c r="I1821" s="93">
        <v>5.60133376</v>
      </c>
    </row>
    <row r="1822" spans="1:9">
      <c r="A1822" s="90"/>
      <c r="B1822" s="91" t="s">
        <v>1346</v>
      </c>
      <c r="C1822" s="91" t="s">
        <v>1425</v>
      </c>
      <c r="D1822" s="92" t="s">
        <v>1426</v>
      </c>
      <c r="E1822" s="93" t="s">
        <v>463</v>
      </c>
      <c r="F1822" s="93">
        <v>5.29264</v>
      </c>
      <c r="G1822" s="93">
        <v>1.5</v>
      </c>
      <c r="H1822" s="93">
        <v>7.93896</v>
      </c>
      <c r="I1822" s="93">
        <v>840.6829376</v>
      </c>
    </row>
    <row r="1823" spans="1:9">
      <c r="A1823" s="90"/>
      <c r="B1823" s="91" t="s">
        <v>1272</v>
      </c>
      <c r="C1823" s="91" t="s">
        <v>1271</v>
      </c>
      <c r="D1823" s="92" t="s">
        <v>1273</v>
      </c>
      <c r="E1823" s="93" t="s">
        <v>463</v>
      </c>
      <c r="F1823" s="93">
        <v>5.954144</v>
      </c>
      <c r="G1823" s="93">
        <v>0.65</v>
      </c>
      <c r="H1823" s="93">
        <v>3.8701936</v>
      </c>
      <c r="I1823" s="93">
        <v>945.75623296</v>
      </c>
    </row>
    <row r="1824" spans="1:9">
      <c r="A1824" s="90"/>
      <c r="B1824" s="91" t="s">
        <v>1693</v>
      </c>
      <c r="C1824" s="91" t="s">
        <v>1692</v>
      </c>
      <c r="D1824" s="92" t="s">
        <v>1694</v>
      </c>
      <c r="E1824" s="93" t="s">
        <v>1695</v>
      </c>
      <c r="F1824" s="93">
        <v>0.0399</v>
      </c>
      <c r="G1824" s="93">
        <v>0.72</v>
      </c>
      <c r="H1824" s="93">
        <v>0.028728</v>
      </c>
      <c r="I1824" s="93">
        <v>6.337716</v>
      </c>
    </row>
    <row r="1825" ht="25.5" spans="1:9">
      <c r="A1825" s="90"/>
      <c r="B1825" s="91" t="s">
        <v>1111</v>
      </c>
      <c r="C1825" s="91" t="s">
        <v>1287</v>
      </c>
      <c r="D1825" s="92" t="s">
        <v>1288</v>
      </c>
      <c r="E1825" s="93" t="s">
        <v>839</v>
      </c>
      <c r="F1825" s="93">
        <v>0.1368</v>
      </c>
      <c r="G1825" s="93">
        <v>0.89</v>
      </c>
      <c r="H1825" s="93">
        <v>0.121752</v>
      </c>
      <c r="I1825" s="93">
        <v>21.729312</v>
      </c>
    </row>
    <row r="1826" ht="25.5" spans="1:9">
      <c r="A1826" s="90"/>
      <c r="B1826" s="91" t="s">
        <v>1111</v>
      </c>
      <c r="C1826" s="91" t="s">
        <v>1351</v>
      </c>
      <c r="D1826" s="92" t="s">
        <v>1352</v>
      </c>
      <c r="E1826" s="93" t="s">
        <v>839</v>
      </c>
      <c r="F1826" s="93">
        <v>0.374</v>
      </c>
      <c r="G1826" s="93">
        <v>1.31</v>
      </c>
      <c r="H1826" s="93">
        <v>0.48994</v>
      </c>
      <c r="I1826" s="93">
        <v>59.40616</v>
      </c>
    </row>
    <row r="1827" ht="25.5" spans="1:9">
      <c r="A1827" s="90"/>
      <c r="B1827" s="91" t="s">
        <v>1111</v>
      </c>
      <c r="C1827" s="91" t="s">
        <v>1110</v>
      </c>
      <c r="D1827" s="92" t="s">
        <v>1112</v>
      </c>
      <c r="E1827" s="93" t="s">
        <v>839</v>
      </c>
      <c r="F1827" s="93">
        <v>0.187</v>
      </c>
      <c r="G1827" s="93">
        <v>1.39</v>
      </c>
      <c r="H1827" s="93">
        <v>0.25993</v>
      </c>
      <c r="I1827" s="93">
        <v>29.70308</v>
      </c>
    </row>
    <row r="1828" spans="1:9">
      <c r="A1828" s="90"/>
      <c r="B1828" s="91" t="s">
        <v>1007</v>
      </c>
      <c r="C1828" s="91" t="s">
        <v>1050</v>
      </c>
      <c r="D1828" s="92" t="s">
        <v>1051</v>
      </c>
      <c r="E1828" s="93" t="s">
        <v>839</v>
      </c>
      <c r="F1828" s="93">
        <v>0.6978</v>
      </c>
      <c r="G1828" s="93">
        <v>1.43</v>
      </c>
      <c r="H1828" s="93">
        <v>0.997854</v>
      </c>
      <c r="I1828" s="93">
        <v>110.838552</v>
      </c>
    </row>
    <row r="1829" ht="25.5" spans="1:9">
      <c r="A1829" s="90"/>
      <c r="B1829" s="91" t="s">
        <v>1111</v>
      </c>
      <c r="C1829" s="91" t="s">
        <v>1707</v>
      </c>
      <c r="D1829" s="92" t="s">
        <v>1708</v>
      </c>
      <c r="E1829" s="93" t="s">
        <v>839</v>
      </c>
      <c r="F1829" s="93">
        <v>0.1368</v>
      </c>
      <c r="G1829" s="93">
        <v>0.01</v>
      </c>
      <c r="H1829" s="93">
        <v>0.001368</v>
      </c>
      <c r="I1829" s="93">
        <v>21.729312</v>
      </c>
    </row>
    <row r="1830" ht="25.5" spans="1:9">
      <c r="A1830" s="90"/>
      <c r="B1830" s="91" t="s">
        <v>1111</v>
      </c>
      <c r="C1830" s="91" t="s">
        <v>1427</v>
      </c>
      <c r="D1830" s="92" t="s">
        <v>1428</v>
      </c>
      <c r="E1830" s="93" t="s">
        <v>839</v>
      </c>
      <c r="F1830" s="93">
        <v>0.374</v>
      </c>
      <c r="G1830" s="93">
        <v>0.78</v>
      </c>
      <c r="H1830" s="93">
        <v>0.29172</v>
      </c>
      <c r="I1830" s="93">
        <v>59.40616</v>
      </c>
    </row>
    <row r="1831" ht="25.5" spans="1:9">
      <c r="A1831" s="90"/>
      <c r="B1831" s="91" t="s">
        <v>1111</v>
      </c>
      <c r="C1831" s="91" t="s">
        <v>1195</v>
      </c>
      <c r="D1831" s="92" t="s">
        <v>1196</v>
      </c>
      <c r="E1831" s="93" t="s">
        <v>839</v>
      </c>
      <c r="F1831" s="93">
        <v>0.187</v>
      </c>
      <c r="G1831" s="93">
        <v>0.61</v>
      </c>
      <c r="H1831" s="93">
        <v>0.11407</v>
      </c>
      <c r="I1831" s="93">
        <v>29.70308</v>
      </c>
    </row>
    <row r="1832" ht="25.5" spans="1:9">
      <c r="A1832" s="85" t="s">
        <v>2454</v>
      </c>
      <c r="B1832" s="85" t="s">
        <v>910</v>
      </c>
      <c r="C1832" s="85" t="s">
        <v>2455</v>
      </c>
      <c r="D1832" s="87" t="s">
        <v>911</v>
      </c>
      <c r="E1832" s="89" t="s">
        <v>466</v>
      </c>
      <c r="F1832" s="89">
        <v>187</v>
      </c>
      <c r="G1832" s="89">
        <v>43.56</v>
      </c>
      <c r="H1832" s="89">
        <v>8145.72</v>
      </c>
      <c r="I1832" s="89">
        <v>187</v>
      </c>
    </row>
    <row r="1833" spans="1:9">
      <c r="A1833" s="90"/>
      <c r="B1833" s="91" t="s">
        <v>1007</v>
      </c>
      <c r="C1833" s="91" t="s">
        <v>1048</v>
      </c>
      <c r="D1833" s="92" t="s">
        <v>1049</v>
      </c>
      <c r="E1833" s="93" t="s">
        <v>839</v>
      </c>
      <c r="F1833" s="93">
        <v>1</v>
      </c>
      <c r="G1833" s="93">
        <v>1.5</v>
      </c>
      <c r="H1833" s="93">
        <v>0.7902</v>
      </c>
      <c r="I1833" s="93">
        <v>187</v>
      </c>
    </row>
    <row r="1834" spans="1:9">
      <c r="A1834" s="90"/>
      <c r="B1834" s="91" t="s">
        <v>1549</v>
      </c>
      <c r="C1834" s="91" t="s">
        <v>1548</v>
      </c>
      <c r="D1834" s="92" t="s">
        <v>1550</v>
      </c>
      <c r="E1834" s="93" t="s">
        <v>839</v>
      </c>
      <c r="F1834" s="93">
        <v>0.098018226</v>
      </c>
      <c r="G1834" s="93">
        <v>15.27</v>
      </c>
      <c r="H1834" s="93">
        <v>1.49673831102</v>
      </c>
      <c r="I1834" s="93">
        <v>18.329408262</v>
      </c>
    </row>
    <row r="1835" spans="1:9">
      <c r="A1835" s="90"/>
      <c r="B1835" s="91" t="s">
        <v>1007</v>
      </c>
      <c r="C1835" s="91" t="s">
        <v>1006</v>
      </c>
      <c r="D1835" s="92" t="s">
        <v>1008</v>
      </c>
      <c r="E1835" s="93" t="s">
        <v>839</v>
      </c>
      <c r="F1835" s="93">
        <v>0.5268</v>
      </c>
      <c r="G1835" s="93">
        <v>3.95</v>
      </c>
      <c r="H1835" s="93">
        <v>2.08086</v>
      </c>
      <c r="I1835" s="93">
        <v>98.5116</v>
      </c>
    </row>
    <row r="1836" spans="1:9">
      <c r="A1836" s="90"/>
      <c r="B1836" s="91" t="s">
        <v>1405</v>
      </c>
      <c r="C1836" s="91" t="s">
        <v>1404</v>
      </c>
      <c r="D1836" s="92" t="s">
        <v>1406</v>
      </c>
      <c r="E1836" s="93" t="s">
        <v>839</v>
      </c>
      <c r="F1836" s="93">
        <v>0.43901388</v>
      </c>
      <c r="G1836" s="93">
        <v>21.83</v>
      </c>
      <c r="H1836" s="93">
        <v>9.5836730004</v>
      </c>
      <c r="I1836" s="93">
        <v>82.09559556</v>
      </c>
    </row>
    <row r="1837" spans="1:9">
      <c r="A1837" s="90"/>
      <c r="B1837" s="91" t="s">
        <v>1007</v>
      </c>
      <c r="C1837" s="91" t="s">
        <v>1378</v>
      </c>
      <c r="D1837" s="92" t="s">
        <v>1379</v>
      </c>
      <c r="E1837" s="93" t="s">
        <v>839</v>
      </c>
      <c r="F1837" s="93">
        <v>0.5268</v>
      </c>
      <c r="G1837" s="93">
        <v>0.08</v>
      </c>
      <c r="H1837" s="93">
        <v>0.042144</v>
      </c>
      <c r="I1837" s="93">
        <v>98.5116</v>
      </c>
    </row>
    <row r="1838" ht="25.5" spans="1:9">
      <c r="A1838" s="90"/>
      <c r="B1838" s="91" t="s">
        <v>1111</v>
      </c>
      <c r="C1838" s="91" t="s">
        <v>1351</v>
      </c>
      <c r="D1838" s="92" t="s">
        <v>1352</v>
      </c>
      <c r="E1838" s="93" t="s">
        <v>839</v>
      </c>
      <c r="F1838" s="93">
        <v>0.4299</v>
      </c>
      <c r="G1838" s="93">
        <v>1.31</v>
      </c>
      <c r="H1838" s="93">
        <v>0.563169</v>
      </c>
      <c r="I1838" s="93">
        <v>80.3913</v>
      </c>
    </row>
    <row r="1839" ht="25.5" spans="1:9">
      <c r="A1839" s="90"/>
      <c r="B1839" s="91" t="s">
        <v>1111</v>
      </c>
      <c r="C1839" s="91" t="s">
        <v>1110</v>
      </c>
      <c r="D1839" s="92" t="s">
        <v>1112</v>
      </c>
      <c r="E1839" s="93" t="s">
        <v>839</v>
      </c>
      <c r="F1839" s="93">
        <v>0.0969</v>
      </c>
      <c r="G1839" s="93">
        <v>1.39</v>
      </c>
      <c r="H1839" s="93">
        <v>0.134691</v>
      </c>
      <c r="I1839" s="93">
        <v>18.1203</v>
      </c>
    </row>
    <row r="1840" spans="1:9">
      <c r="A1840" s="90"/>
      <c r="B1840" s="91" t="s">
        <v>1007</v>
      </c>
      <c r="C1840" s="91" t="s">
        <v>1050</v>
      </c>
      <c r="D1840" s="92" t="s">
        <v>1051</v>
      </c>
      <c r="E1840" s="93" t="s">
        <v>839</v>
      </c>
      <c r="F1840" s="93">
        <v>0.5268</v>
      </c>
      <c r="G1840" s="93">
        <v>1.43</v>
      </c>
      <c r="H1840" s="93">
        <v>0.753324</v>
      </c>
      <c r="I1840" s="93">
        <v>98.5116</v>
      </c>
    </row>
    <row r="1841" ht="25.5" spans="1:9">
      <c r="A1841" s="90"/>
      <c r="B1841" s="91" t="s">
        <v>1111</v>
      </c>
      <c r="C1841" s="91" t="s">
        <v>1427</v>
      </c>
      <c r="D1841" s="92" t="s">
        <v>1428</v>
      </c>
      <c r="E1841" s="93" t="s">
        <v>839</v>
      </c>
      <c r="F1841" s="93">
        <v>0.4299</v>
      </c>
      <c r="G1841" s="93">
        <v>0.78</v>
      </c>
      <c r="H1841" s="93">
        <v>0.335322</v>
      </c>
      <c r="I1841" s="93">
        <v>80.3913</v>
      </c>
    </row>
    <row r="1842" ht="25.5" spans="1:9">
      <c r="A1842" s="90"/>
      <c r="B1842" s="91" t="s">
        <v>1111</v>
      </c>
      <c r="C1842" s="91" t="s">
        <v>1195</v>
      </c>
      <c r="D1842" s="92" t="s">
        <v>1196</v>
      </c>
      <c r="E1842" s="93" t="s">
        <v>839</v>
      </c>
      <c r="F1842" s="93">
        <v>0.0969</v>
      </c>
      <c r="G1842" s="93">
        <v>0.61</v>
      </c>
      <c r="H1842" s="93">
        <v>0.059109</v>
      </c>
      <c r="I1842" s="93">
        <v>18.1203</v>
      </c>
    </row>
    <row r="1843" ht="38.25" spans="1:9">
      <c r="A1843" s="90"/>
      <c r="B1843" s="91" t="s">
        <v>1245</v>
      </c>
      <c r="C1843" s="91" t="s">
        <v>1244</v>
      </c>
      <c r="D1843" s="92" t="s">
        <v>1246</v>
      </c>
      <c r="E1843" s="93" t="s">
        <v>463</v>
      </c>
      <c r="F1843" s="93">
        <v>1.5</v>
      </c>
      <c r="G1843" s="93">
        <v>18.49</v>
      </c>
      <c r="H1843" s="93">
        <v>27.73</v>
      </c>
      <c r="I1843" s="93">
        <v>280.5</v>
      </c>
    </row>
    <row r="1844" spans="1:9">
      <c r="A1844" s="85" t="s">
        <v>2456</v>
      </c>
      <c r="B1844" s="86"/>
      <c r="C1844" s="86"/>
      <c r="D1844" s="87" t="s">
        <v>912</v>
      </c>
      <c r="E1844" s="88"/>
      <c r="F1844" s="89">
        <v>0</v>
      </c>
      <c r="G1844" s="89">
        <v>0</v>
      </c>
      <c r="H1844" s="89">
        <v>0</v>
      </c>
      <c r="I1844" s="89">
        <v>0</v>
      </c>
    </row>
    <row r="1845" ht="38.25" spans="1:9">
      <c r="A1845" s="85" t="s">
        <v>2457</v>
      </c>
      <c r="B1845" s="85" t="s">
        <v>913</v>
      </c>
      <c r="C1845" s="85" t="s">
        <v>2458</v>
      </c>
      <c r="D1845" s="87" t="s">
        <v>914</v>
      </c>
      <c r="E1845" s="89" t="s">
        <v>494</v>
      </c>
      <c r="F1845" s="89">
        <v>1</v>
      </c>
      <c r="G1845" s="89">
        <v>4169.83</v>
      </c>
      <c r="H1845" s="89">
        <v>4169.83</v>
      </c>
      <c r="I1845" s="89">
        <v>1</v>
      </c>
    </row>
    <row r="1846" ht="25.5" spans="1:9">
      <c r="A1846" s="90"/>
      <c r="B1846" s="91" t="s">
        <v>1776</v>
      </c>
      <c r="C1846" s="91" t="s">
        <v>1775</v>
      </c>
      <c r="D1846" s="92" t="s">
        <v>1777</v>
      </c>
      <c r="E1846" s="93" t="s">
        <v>494</v>
      </c>
      <c r="F1846" s="93">
        <v>1</v>
      </c>
      <c r="G1846" s="93">
        <v>5000</v>
      </c>
      <c r="H1846" s="93">
        <v>0.100252768</v>
      </c>
      <c r="I1846" s="93">
        <v>1</v>
      </c>
    </row>
    <row r="1847" ht="25.5" spans="1:9">
      <c r="A1847" s="90"/>
      <c r="B1847" s="91" t="s">
        <v>1731</v>
      </c>
      <c r="C1847" s="91" t="s">
        <v>1730</v>
      </c>
      <c r="D1847" s="92" t="s">
        <v>1732</v>
      </c>
      <c r="E1847" s="93" t="s">
        <v>494</v>
      </c>
      <c r="F1847" s="93">
        <v>1</v>
      </c>
      <c r="G1847" s="93">
        <v>20338.98</v>
      </c>
      <c r="H1847" s="93">
        <v>1.16747719507229</v>
      </c>
      <c r="I1847" s="93">
        <v>1</v>
      </c>
    </row>
    <row r="1848" ht="25.5" spans="1:9">
      <c r="A1848" s="90"/>
      <c r="B1848" s="91" t="s">
        <v>1421</v>
      </c>
      <c r="C1848" s="91" t="s">
        <v>1420</v>
      </c>
      <c r="D1848" s="92" t="s">
        <v>1422</v>
      </c>
      <c r="E1848" s="93" t="s">
        <v>494</v>
      </c>
      <c r="F1848" s="93">
        <v>1</v>
      </c>
      <c r="G1848" s="93">
        <v>15839.74</v>
      </c>
      <c r="H1848" s="93">
        <v>0.0378801139816863</v>
      </c>
      <c r="I1848" s="93">
        <v>1</v>
      </c>
    </row>
    <row r="1849" spans="1:9">
      <c r="A1849" s="90"/>
      <c r="B1849" s="91" t="s">
        <v>1007</v>
      </c>
      <c r="C1849" s="91" t="s">
        <v>1048</v>
      </c>
      <c r="D1849" s="92" t="s">
        <v>1049</v>
      </c>
      <c r="E1849" s="93" t="s">
        <v>839</v>
      </c>
      <c r="F1849" s="93">
        <v>1</v>
      </c>
      <c r="G1849" s="93">
        <v>1.5</v>
      </c>
      <c r="H1849" s="93">
        <v>28.193532650526</v>
      </c>
      <c r="I1849" s="93">
        <v>1</v>
      </c>
    </row>
    <row r="1850" spans="1:9">
      <c r="A1850" s="90"/>
      <c r="B1850" s="91" t="s">
        <v>1020</v>
      </c>
      <c r="C1850" s="91" t="s">
        <v>1432</v>
      </c>
      <c r="D1850" s="92" t="s">
        <v>1433</v>
      </c>
      <c r="E1850" s="93" t="s">
        <v>839</v>
      </c>
      <c r="F1850" s="93">
        <v>0.266196176800813</v>
      </c>
      <c r="G1850" s="93">
        <v>15.35</v>
      </c>
      <c r="H1850" s="93">
        <v>4.08611131389248</v>
      </c>
      <c r="I1850" s="93">
        <v>0.266196176800813</v>
      </c>
    </row>
    <row r="1851" spans="1:9">
      <c r="A1851" s="90"/>
      <c r="B1851" s="91" t="s">
        <v>1007</v>
      </c>
      <c r="C1851" s="91" t="s">
        <v>1006</v>
      </c>
      <c r="D1851" s="92" t="s">
        <v>1008</v>
      </c>
      <c r="E1851" s="93" t="s">
        <v>839</v>
      </c>
      <c r="F1851" s="93">
        <v>18.795688433684</v>
      </c>
      <c r="G1851" s="93">
        <v>3.95</v>
      </c>
      <c r="H1851" s="93">
        <v>74.2429693130518</v>
      </c>
      <c r="I1851" s="93">
        <v>18.795688433684</v>
      </c>
    </row>
    <row r="1852" spans="1:9">
      <c r="A1852" s="90"/>
      <c r="B1852" s="91" t="s">
        <v>1150</v>
      </c>
      <c r="C1852" s="91" t="s">
        <v>1149</v>
      </c>
      <c r="D1852" s="92" t="s">
        <v>1151</v>
      </c>
      <c r="E1852" s="93" t="s">
        <v>839</v>
      </c>
      <c r="F1852" s="93">
        <v>1.63290035725867</v>
      </c>
      <c r="G1852" s="93">
        <v>21.83</v>
      </c>
      <c r="H1852" s="93">
        <v>35.6462147989567</v>
      </c>
      <c r="I1852" s="93">
        <v>1.63290035725867</v>
      </c>
    </row>
    <row r="1853" spans="1:9">
      <c r="A1853" s="90"/>
      <c r="B1853" s="91" t="s">
        <v>1020</v>
      </c>
      <c r="C1853" s="91" t="s">
        <v>1094</v>
      </c>
      <c r="D1853" s="92" t="s">
        <v>1095</v>
      </c>
      <c r="E1853" s="93" t="s">
        <v>839</v>
      </c>
      <c r="F1853" s="93">
        <v>0.3719907816856</v>
      </c>
      <c r="G1853" s="93">
        <v>15.35</v>
      </c>
      <c r="H1853" s="93">
        <v>5.71005849887396</v>
      </c>
      <c r="I1853" s="93">
        <v>0.3719907816856</v>
      </c>
    </row>
    <row r="1854" spans="1:9">
      <c r="A1854" s="90"/>
      <c r="B1854" s="91" t="s">
        <v>993</v>
      </c>
      <c r="C1854" s="91" t="s">
        <v>1475</v>
      </c>
      <c r="D1854" s="92" t="s">
        <v>1476</v>
      </c>
      <c r="E1854" s="93" t="s">
        <v>839</v>
      </c>
      <c r="F1854" s="93">
        <v>1.8599861575008</v>
      </c>
      <c r="G1854" s="93">
        <v>20.54</v>
      </c>
      <c r="H1854" s="93">
        <v>38.2041156750664</v>
      </c>
      <c r="I1854" s="93">
        <v>1.8599861575008</v>
      </c>
    </row>
    <row r="1855" spans="1:9">
      <c r="A1855" s="90"/>
      <c r="B1855" s="91" t="s">
        <v>1506</v>
      </c>
      <c r="C1855" s="91" t="s">
        <v>1505</v>
      </c>
      <c r="D1855" s="92" t="s">
        <v>1507</v>
      </c>
      <c r="E1855" s="93" t="s">
        <v>839</v>
      </c>
      <c r="F1855" s="93">
        <v>0.7164658022424</v>
      </c>
      <c r="G1855" s="93">
        <v>18</v>
      </c>
      <c r="H1855" s="93">
        <v>12.8963844403632</v>
      </c>
      <c r="I1855" s="93">
        <v>0.7164658022424</v>
      </c>
    </row>
    <row r="1856" spans="1:9">
      <c r="A1856" s="90"/>
      <c r="B1856" s="91" t="s">
        <v>1108</v>
      </c>
      <c r="C1856" s="91" t="s">
        <v>1107</v>
      </c>
      <c r="D1856" s="92" t="s">
        <v>1109</v>
      </c>
      <c r="E1856" s="93" t="s">
        <v>839</v>
      </c>
      <c r="F1856" s="93">
        <v>2.6416516605612</v>
      </c>
      <c r="G1856" s="93">
        <v>21.83</v>
      </c>
      <c r="H1856" s="93">
        <v>57.667255750051</v>
      </c>
      <c r="I1856" s="93">
        <v>2.6416516605612</v>
      </c>
    </row>
    <row r="1857" spans="1:9">
      <c r="A1857" s="90"/>
      <c r="B1857" s="91" t="s">
        <v>1108</v>
      </c>
      <c r="C1857" s="91" t="s">
        <v>1127</v>
      </c>
      <c r="D1857" s="92" t="s">
        <v>1128</v>
      </c>
      <c r="E1857" s="93" t="s">
        <v>839</v>
      </c>
      <c r="F1857" s="93">
        <v>0.3944864080938</v>
      </c>
      <c r="G1857" s="93">
        <v>18</v>
      </c>
      <c r="H1857" s="93">
        <v>7.1007553456884</v>
      </c>
      <c r="I1857" s="93">
        <v>0.3944864080938</v>
      </c>
    </row>
    <row r="1858" spans="1:9">
      <c r="A1858" s="90"/>
      <c r="B1858" s="91" t="s">
        <v>1090</v>
      </c>
      <c r="C1858" s="91" t="s">
        <v>1089</v>
      </c>
      <c r="D1858" s="92" t="s">
        <v>1091</v>
      </c>
      <c r="E1858" s="93" t="s">
        <v>839</v>
      </c>
      <c r="F1858" s="93">
        <v>5.37941670072</v>
      </c>
      <c r="G1858" s="93">
        <v>21.83</v>
      </c>
      <c r="H1858" s="93">
        <v>117.432666576718</v>
      </c>
      <c r="I1858" s="93">
        <v>5.37941670072</v>
      </c>
    </row>
    <row r="1859" spans="1:9">
      <c r="A1859" s="90"/>
      <c r="B1859" s="91" t="s">
        <v>1007</v>
      </c>
      <c r="C1859" s="91" t="s">
        <v>1378</v>
      </c>
      <c r="D1859" s="92" t="s">
        <v>1379</v>
      </c>
      <c r="E1859" s="93" t="s">
        <v>839</v>
      </c>
      <c r="F1859" s="93">
        <v>18.795688433684</v>
      </c>
      <c r="G1859" s="93">
        <v>0.08</v>
      </c>
      <c r="H1859" s="93">
        <v>1.50365507469472</v>
      </c>
      <c r="I1859" s="93">
        <v>18.795688433684</v>
      </c>
    </row>
    <row r="1860" spans="1:9">
      <c r="A1860" s="90"/>
      <c r="B1860" s="91" t="s">
        <v>1020</v>
      </c>
      <c r="C1860" s="91" t="s">
        <v>1019</v>
      </c>
      <c r="D1860" s="92" t="s">
        <v>1021</v>
      </c>
      <c r="E1860" s="93" t="s">
        <v>839</v>
      </c>
      <c r="F1860" s="93">
        <v>5.86060851311057</v>
      </c>
      <c r="G1860" s="93">
        <v>14.49</v>
      </c>
      <c r="H1860" s="93">
        <v>84.9202173549721</v>
      </c>
      <c r="I1860" s="93">
        <v>5.86060851311057</v>
      </c>
    </row>
    <row r="1861" spans="1:9">
      <c r="A1861" s="90"/>
      <c r="B1861" s="91" t="s">
        <v>1158</v>
      </c>
      <c r="C1861" s="91" t="s">
        <v>1380</v>
      </c>
      <c r="D1861" s="92" t="s">
        <v>1381</v>
      </c>
      <c r="E1861" s="93" t="s">
        <v>463</v>
      </c>
      <c r="F1861" s="93">
        <v>12.1896307596</v>
      </c>
      <c r="G1861" s="93">
        <v>8.25</v>
      </c>
      <c r="H1861" s="93">
        <v>100.5644537667</v>
      </c>
      <c r="I1861" s="93">
        <v>12.1896307596</v>
      </c>
    </row>
    <row r="1862" ht="25.5" spans="1:9">
      <c r="A1862" s="90"/>
      <c r="B1862" s="91" t="s">
        <v>1367</v>
      </c>
      <c r="C1862" s="91" t="s">
        <v>1366</v>
      </c>
      <c r="D1862" s="92" t="s">
        <v>1368</v>
      </c>
      <c r="E1862" s="93" t="s">
        <v>494</v>
      </c>
      <c r="F1862" s="93">
        <v>3</v>
      </c>
      <c r="G1862" s="93">
        <v>754.92</v>
      </c>
      <c r="H1862" s="93">
        <v>2264.76</v>
      </c>
      <c r="I1862" s="93">
        <v>3</v>
      </c>
    </row>
    <row r="1863" ht="25.5" spans="1:9">
      <c r="A1863" s="90"/>
      <c r="B1863" s="91" t="s">
        <v>1367</v>
      </c>
      <c r="C1863" s="91" t="s">
        <v>1629</v>
      </c>
      <c r="D1863" s="92" t="s">
        <v>1630</v>
      </c>
      <c r="E1863" s="93" t="s">
        <v>494</v>
      </c>
      <c r="F1863" s="93">
        <v>1</v>
      </c>
      <c r="G1863" s="93">
        <v>131.36</v>
      </c>
      <c r="H1863" s="93">
        <v>131.36</v>
      </c>
      <c r="I1863" s="93">
        <v>1</v>
      </c>
    </row>
    <row r="1864" ht="25.5" spans="1:9">
      <c r="A1864" s="90"/>
      <c r="B1864" s="91" t="s">
        <v>1123</v>
      </c>
      <c r="C1864" s="91" t="s">
        <v>1361</v>
      </c>
      <c r="D1864" s="92" t="s">
        <v>1362</v>
      </c>
      <c r="E1864" s="93" t="s">
        <v>463</v>
      </c>
      <c r="F1864" s="93">
        <v>0.284804457</v>
      </c>
      <c r="G1864" s="93">
        <v>19.38</v>
      </c>
      <c r="H1864" s="93">
        <v>5.51951037666</v>
      </c>
      <c r="I1864" s="93">
        <v>0.284804457</v>
      </c>
    </row>
    <row r="1865" ht="25.5" spans="1:9">
      <c r="A1865" s="90"/>
      <c r="B1865" s="91" t="s">
        <v>1010</v>
      </c>
      <c r="C1865" s="91" t="s">
        <v>1009</v>
      </c>
      <c r="D1865" s="92" t="s">
        <v>1011</v>
      </c>
      <c r="E1865" s="93" t="s">
        <v>476</v>
      </c>
      <c r="F1865" s="93">
        <v>0.35308587902</v>
      </c>
      <c r="G1865" s="93">
        <v>205</v>
      </c>
      <c r="H1865" s="93">
        <v>72.3826051991</v>
      </c>
      <c r="I1865" s="93">
        <v>0.35308587902</v>
      </c>
    </row>
    <row r="1866" ht="25.5" spans="1:9">
      <c r="A1866" s="90"/>
      <c r="B1866" s="91" t="s">
        <v>1498</v>
      </c>
      <c r="C1866" s="91" t="s">
        <v>1497</v>
      </c>
      <c r="D1866" s="92" t="s">
        <v>1499</v>
      </c>
      <c r="E1866" s="93" t="s">
        <v>466</v>
      </c>
      <c r="F1866" s="93">
        <v>2.35702404</v>
      </c>
      <c r="G1866" s="93">
        <v>38.04</v>
      </c>
      <c r="H1866" s="93">
        <v>89.6611944816</v>
      </c>
      <c r="I1866" s="93">
        <v>2.35702404</v>
      </c>
    </row>
    <row r="1867" ht="25.5" spans="1:9">
      <c r="A1867" s="90"/>
      <c r="B1867" s="91" t="s">
        <v>1385</v>
      </c>
      <c r="C1867" s="91" t="s">
        <v>1752</v>
      </c>
      <c r="D1867" s="92" t="s">
        <v>1753</v>
      </c>
      <c r="E1867" s="93" t="s">
        <v>466</v>
      </c>
      <c r="F1867" s="93">
        <v>0.20099156</v>
      </c>
      <c r="G1867" s="93">
        <v>47.2</v>
      </c>
      <c r="H1867" s="93">
        <v>9.486801632</v>
      </c>
      <c r="I1867" s="93">
        <v>0.20099156</v>
      </c>
    </row>
    <row r="1868" ht="25.5" spans="1:9">
      <c r="A1868" s="90"/>
      <c r="B1868" s="91" t="s">
        <v>1385</v>
      </c>
      <c r="C1868" s="91" t="s">
        <v>1819</v>
      </c>
      <c r="D1868" s="92" t="s">
        <v>1820</v>
      </c>
      <c r="E1868" s="93" t="s">
        <v>466</v>
      </c>
      <c r="F1868" s="93">
        <v>0.1205225</v>
      </c>
      <c r="G1868" s="93">
        <v>14.47</v>
      </c>
      <c r="H1868" s="93">
        <v>1.743960575</v>
      </c>
      <c r="I1868" s="93">
        <v>0.1205225</v>
      </c>
    </row>
    <row r="1869" spans="1:9">
      <c r="A1869" s="90"/>
      <c r="B1869" s="91" t="s">
        <v>1272</v>
      </c>
      <c r="C1869" s="91" t="s">
        <v>1271</v>
      </c>
      <c r="D1869" s="92" t="s">
        <v>1273</v>
      </c>
      <c r="E1869" s="93" t="s">
        <v>463</v>
      </c>
      <c r="F1869" s="93">
        <v>186.94578329854</v>
      </c>
      <c r="G1869" s="93">
        <v>0.65</v>
      </c>
      <c r="H1869" s="93">
        <v>121.514759144051</v>
      </c>
      <c r="I1869" s="93">
        <v>186.94578329854</v>
      </c>
    </row>
    <row r="1870" ht="25.5" spans="1:9">
      <c r="A1870" s="90"/>
      <c r="B1870" s="91" t="s">
        <v>1586</v>
      </c>
      <c r="C1870" s="91" t="s">
        <v>1585</v>
      </c>
      <c r="D1870" s="92" t="s">
        <v>1587</v>
      </c>
      <c r="E1870" s="93" t="s">
        <v>215</v>
      </c>
      <c r="F1870" s="93">
        <v>0.01322818</v>
      </c>
      <c r="G1870" s="93">
        <v>7.16</v>
      </c>
      <c r="H1870" s="93">
        <v>0.0947137688</v>
      </c>
      <c r="I1870" s="93">
        <v>0.01322818</v>
      </c>
    </row>
    <row r="1871" spans="1:9">
      <c r="A1871" s="90"/>
      <c r="B1871" s="91" t="s">
        <v>1693</v>
      </c>
      <c r="C1871" s="91" t="s">
        <v>1692</v>
      </c>
      <c r="D1871" s="92" t="s">
        <v>1694</v>
      </c>
      <c r="E1871" s="93" t="s">
        <v>1695</v>
      </c>
      <c r="F1871" s="93">
        <v>1.0892482391</v>
      </c>
      <c r="G1871" s="93">
        <v>0.72</v>
      </c>
      <c r="H1871" s="93">
        <v>0.784258732152</v>
      </c>
      <c r="I1871" s="93">
        <v>1.0892482391</v>
      </c>
    </row>
    <row r="1872" ht="25.5" spans="1:9">
      <c r="A1872" s="90"/>
      <c r="B1872" s="91" t="s">
        <v>1111</v>
      </c>
      <c r="C1872" s="91" t="s">
        <v>1174</v>
      </c>
      <c r="D1872" s="92" t="s">
        <v>1175</v>
      </c>
      <c r="E1872" s="93" t="s">
        <v>839</v>
      </c>
      <c r="F1872" s="93">
        <v>2.19951214</v>
      </c>
      <c r="G1872" s="93">
        <v>1.43</v>
      </c>
      <c r="H1872" s="93">
        <v>3.1453023602</v>
      </c>
      <c r="I1872" s="93">
        <v>2.19951214</v>
      </c>
    </row>
    <row r="1873" ht="25.5" spans="1:9">
      <c r="A1873" s="90"/>
      <c r="B1873" s="91" t="s">
        <v>1111</v>
      </c>
      <c r="C1873" s="91" t="s">
        <v>1287</v>
      </c>
      <c r="D1873" s="92" t="s">
        <v>1288</v>
      </c>
      <c r="E1873" s="93" t="s">
        <v>839</v>
      </c>
      <c r="F1873" s="93">
        <v>3.71206179</v>
      </c>
      <c r="G1873" s="93">
        <v>0.89</v>
      </c>
      <c r="H1873" s="93">
        <v>3.3037349931</v>
      </c>
      <c r="I1873" s="93">
        <v>3.71206179</v>
      </c>
    </row>
    <row r="1874" ht="25.5" spans="1:9">
      <c r="A1874" s="90"/>
      <c r="B1874" s="91" t="s">
        <v>1111</v>
      </c>
      <c r="C1874" s="91" t="s">
        <v>1351</v>
      </c>
      <c r="D1874" s="92" t="s">
        <v>1352</v>
      </c>
      <c r="E1874" s="93" t="s">
        <v>839</v>
      </c>
      <c r="F1874" s="93">
        <v>7.145171580544</v>
      </c>
      <c r="G1874" s="93">
        <v>1.31</v>
      </c>
      <c r="H1874" s="93">
        <v>9.36017477051264</v>
      </c>
      <c r="I1874" s="93">
        <v>7.145171580544</v>
      </c>
    </row>
    <row r="1875" ht="25.5" spans="1:9">
      <c r="A1875" s="90"/>
      <c r="B1875" s="91" t="s">
        <v>1111</v>
      </c>
      <c r="C1875" s="91" t="s">
        <v>1110</v>
      </c>
      <c r="D1875" s="92" t="s">
        <v>1112</v>
      </c>
      <c r="E1875" s="93" t="s">
        <v>839</v>
      </c>
      <c r="F1875" s="93">
        <v>5.73894292314</v>
      </c>
      <c r="G1875" s="93">
        <v>1.39</v>
      </c>
      <c r="H1875" s="93">
        <v>7.9771306631646</v>
      </c>
      <c r="I1875" s="93">
        <v>5.73894292314</v>
      </c>
    </row>
    <row r="1876" ht="25.5" spans="1:9">
      <c r="A1876" s="90"/>
      <c r="B1876" s="91" t="s">
        <v>1490</v>
      </c>
      <c r="C1876" s="91" t="s">
        <v>1489</v>
      </c>
      <c r="D1876" s="92" t="s">
        <v>1491</v>
      </c>
      <c r="E1876" s="93" t="s">
        <v>494</v>
      </c>
      <c r="F1876" s="93">
        <v>24.12863359704</v>
      </c>
      <c r="G1876" s="93">
        <v>0.22</v>
      </c>
      <c r="H1876" s="93">
        <v>5.3082993913488</v>
      </c>
      <c r="I1876" s="93">
        <v>24.12863359704</v>
      </c>
    </row>
    <row r="1877" spans="1:9">
      <c r="A1877" s="90"/>
      <c r="B1877" s="91" t="s">
        <v>1007</v>
      </c>
      <c r="C1877" s="91" t="s">
        <v>1050</v>
      </c>
      <c r="D1877" s="92" t="s">
        <v>1051</v>
      </c>
      <c r="E1877" s="93" t="s">
        <v>839</v>
      </c>
      <c r="F1877" s="93">
        <v>18.795688433684</v>
      </c>
      <c r="G1877" s="93">
        <v>1.43</v>
      </c>
      <c r="H1877" s="93">
        <v>26.8778344601681</v>
      </c>
      <c r="I1877" s="93">
        <v>18.795688433684</v>
      </c>
    </row>
    <row r="1878" ht="25.5" spans="1:9">
      <c r="A1878" s="90"/>
      <c r="B1878" s="91" t="s">
        <v>1111</v>
      </c>
      <c r="C1878" s="91" t="s">
        <v>1310</v>
      </c>
      <c r="D1878" s="92" t="s">
        <v>1311</v>
      </c>
      <c r="E1878" s="93" t="s">
        <v>839</v>
      </c>
      <c r="F1878" s="93">
        <v>2.19951214</v>
      </c>
      <c r="G1878" s="93">
        <v>0.44</v>
      </c>
      <c r="H1878" s="93">
        <v>0.9677853416</v>
      </c>
      <c r="I1878" s="93">
        <v>2.19951214</v>
      </c>
    </row>
    <row r="1879" ht="25.5" spans="1:9">
      <c r="A1879" s="90"/>
      <c r="B1879" s="91" t="s">
        <v>1111</v>
      </c>
      <c r="C1879" s="91" t="s">
        <v>1707</v>
      </c>
      <c r="D1879" s="92" t="s">
        <v>1708</v>
      </c>
      <c r="E1879" s="93" t="s">
        <v>839</v>
      </c>
      <c r="F1879" s="93">
        <v>3.71206179</v>
      </c>
      <c r="G1879" s="93">
        <v>0.01</v>
      </c>
      <c r="H1879" s="93">
        <v>0.0371206179</v>
      </c>
      <c r="I1879" s="93">
        <v>3.71206179</v>
      </c>
    </row>
    <row r="1880" ht="25.5" spans="1:9">
      <c r="A1880" s="90"/>
      <c r="B1880" s="91" t="s">
        <v>1111</v>
      </c>
      <c r="C1880" s="91" t="s">
        <v>1427</v>
      </c>
      <c r="D1880" s="92" t="s">
        <v>1428</v>
      </c>
      <c r="E1880" s="93" t="s">
        <v>839</v>
      </c>
      <c r="F1880" s="93">
        <v>7.145171580544</v>
      </c>
      <c r="G1880" s="93">
        <v>0.78</v>
      </c>
      <c r="H1880" s="93">
        <v>5.57323383282432</v>
      </c>
      <c r="I1880" s="93">
        <v>7.145171580544</v>
      </c>
    </row>
    <row r="1881" ht="25.5" spans="1:9">
      <c r="A1881" s="90"/>
      <c r="B1881" s="91" t="s">
        <v>1111</v>
      </c>
      <c r="C1881" s="91" t="s">
        <v>1195</v>
      </c>
      <c r="D1881" s="92" t="s">
        <v>1196</v>
      </c>
      <c r="E1881" s="93" t="s">
        <v>839</v>
      </c>
      <c r="F1881" s="93">
        <v>5.73894292314</v>
      </c>
      <c r="G1881" s="93">
        <v>0.61</v>
      </c>
      <c r="H1881" s="93">
        <v>3.5007551831154</v>
      </c>
      <c r="I1881" s="93">
        <v>5.73894292314</v>
      </c>
    </row>
    <row r="1882" ht="38.25" spans="1:9">
      <c r="A1882" s="90"/>
      <c r="B1882" s="91" t="s">
        <v>1490</v>
      </c>
      <c r="C1882" s="91" t="s">
        <v>1845</v>
      </c>
      <c r="D1882" s="92" t="s">
        <v>1846</v>
      </c>
      <c r="E1882" s="93" t="s">
        <v>463</v>
      </c>
      <c r="F1882" s="93">
        <v>0.0924</v>
      </c>
      <c r="G1882" s="93">
        <v>8.38</v>
      </c>
      <c r="H1882" s="93">
        <v>0.774312</v>
      </c>
      <c r="I1882" s="93">
        <v>0.0924</v>
      </c>
    </row>
    <row r="1883" spans="1:9">
      <c r="A1883" s="90"/>
      <c r="B1883" s="91" t="s">
        <v>985</v>
      </c>
      <c r="C1883" s="91" t="s">
        <v>1227</v>
      </c>
      <c r="D1883" s="92" t="s">
        <v>1228</v>
      </c>
      <c r="E1883" s="93" t="s">
        <v>215</v>
      </c>
      <c r="F1883" s="93">
        <v>0.0124962175</v>
      </c>
      <c r="G1883" s="93">
        <v>5.96</v>
      </c>
      <c r="H1883" s="93">
        <v>0.0744774563</v>
      </c>
      <c r="I1883" s="93">
        <v>0.0124962175</v>
      </c>
    </row>
    <row r="1884" spans="1:9">
      <c r="A1884" s="90"/>
      <c r="B1884" s="91" t="s">
        <v>985</v>
      </c>
      <c r="C1884" s="91" t="s">
        <v>984</v>
      </c>
      <c r="D1884" s="92" t="s">
        <v>986</v>
      </c>
      <c r="E1884" s="93" t="s">
        <v>215</v>
      </c>
      <c r="F1884" s="93">
        <v>7.0862123706</v>
      </c>
      <c r="G1884" s="93">
        <v>5.93</v>
      </c>
      <c r="H1884" s="93">
        <v>42.021239357658</v>
      </c>
      <c r="I1884" s="93">
        <v>7.0862123706</v>
      </c>
    </row>
    <row r="1885" ht="25.5" spans="1:9">
      <c r="A1885" s="90"/>
      <c r="B1885" s="91" t="s">
        <v>1393</v>
      </c>
      <c r="C1885" s="91" t="s">
        <v>1487</v>
      </c>
      <c r="D1885" s="92" t="s">
        <v>1488</v>
      </c>
      <c r="E1885" s="93" t="s">
        <v>476</v>
      </c>
      <c r="F1885" s="93">
        <v>2.54813</v>
      </c>
      <c r="G1885" s="93">
        <v>227.89</v>
      </c>
      <c r="H1885" s="93">
        <v>580.6884707</v>
      </c>
      <c r="I1885" s="93">
        <v>2.54813</v>
      </c>
    </row>
    <row r="1886" spans="1:9">
      <c r="A1886" s="90"/>
      <c r="B1886" s="91" t="s">
        <v>1393</v>
      </c>
      <c r="C1886" s="91" t="s">
        <v>1392</v>
      </c>
      <c r="D1886" s="92" t="s">
        <v>1394</v>
      </c>
      <c r="E1886" s="93" t="s">
        <v>476</v>
      </c>
      <c r="F1886" s="93">
        <v>0.23893284366</v>
      </c>
      <c r="G1886" s="93">
        <v>197.39</v>
      </c>
      <c r="H1886" s="93">
        <v>47.1629540100474</v>
      </c>
      <c r="I1886" s="93">
        <v>0.23893284366</v>
      </c>
    </row>
    <row r="1887" spans="1:9">
      <c r="A1887" s="90"/>
      <c r="B1887" s="91" t="s">
        <v>1672</v>
      </c>
      <c r="C1887" s="91" t="s">
        <v>1671</v>
      </c>
      <c r="D1887" s="92" t="s">
        <v>1673</v>
      </c>
      <c r="E1887" s="93" t="s">
        <v>476</v>
      </c>
      <c r="F1887" s="93">
        <v>0.0862785</v>
      </c>
      <c r="G1887" s="93">
        <v>439.92</v>
      </c>
      <c r="H1887" s="93">
        <v>37.95563772</v>
      </c>
      <c r="I1887" s="93">
        <v>0.0862785</v>
      </c>
    </row>
    <row r="1888" spans="1:9">
      <c r="A1888" s="90"/>
      <c r="B1888" s="91" t="s">
        <v>1120</v>
      </c>
      <c r="C1888" s="91" t="s">
        <v>1119</v>
      </c>
      <c r="D1888" s="92" t="s">
        <v>1121</v>
      </c>
      <c r="E1888" s="93" t="s">
        <v>112</v>
      </c>
      <c r="F1888" s="93">
        <v>0.49556976</v>
      </c>
      <c r="G1888" s="93">
        <v>7.78</v>
      </c>
      <c r="H1888" s="93">
        <v>3.8555327328</v>
      </c>
      <c r="I1888" s="93">
        <v>0.49556976</v>
      </c>
    </row>
    <row r="1889" spans="1:9">
      <c r="A1889" s="90"/>
      <c r="B1889" s="91" t="s">
        <v>1685</v>
      </c>
      <c r="C1889" s="91" t="s">
        <v>1684</v>
      </c>
      <c r="D1889" s="92" t="s">
        <v>1686</v>
      </c>
      <c r="E1889" s="93" t="s">
        <v>463</v>
      </c>
      <c r="F1889" s="93">
        <v>0.13574148</v>
      </c>
      <c r="G1889" s="93">
        <v>20.72</v>
      </c>
      <c r="H1889" s="93">
        <v>2.8125634656</v>
      </c>
      <c r="I1889" s="93">
        <v>0.13574148</v>
      </c>
    </row>
    <row r="1890" spans="1:9">
      <c r="A1890" s="90"/>
      <c r="B1890" s="91" t="s">
        <v>1829</v>
      </c>
      <c r="C1890" s="91" t="s">
        <v>1828</v>
      </c>
      <c r="D1890" s="92" t="s">
        <v>1830</v>
      </c>
      <c r="E1890" s="93" t="s">
        <v>463</v>
      </c>
      <c r="F1890" s="93">
        <v>0.06424698</v>
      </c>
      <c r="G1890" s="93">
        <v>19.08</v>
      </c>
      <c r="H1890" s="93">
        <v>1.2258323784</v>
      </c>
      <c r="I1890" s="93">
        <v>0.06424698</v>
      </c>
    </row>
    <row r="1891" ht="51" spans="1:9">
      <c r="A1891" s="90"/>
      <c r="B1891" s="91" t="s">
        <v>1136</v>
      </c>
      <c r="C1891" s="91" t="s">
        <v>1135</v>
      </c>
      <c r="D1891" s="92" t="s">
        <v>1137</v>
      </c>
      <c r="E1891" s="93" t="s">
        <v>494</v>
      </c>
      <c r="F1891" s="93">
        <v>0.000243047047824</v>
      </c>
      <c r="G1891" s="93">
        <v>466463.38</v>
      </c>
      <c r="H1891" s="93">
        <v>113.372547427005</v>
      </c>
      <c r="I1891" s="93">
        <v>0.000243047047824</v>
      </c>
    </row>
    <row r="1892" spans="1:9">
      <c r="A1892" s="90"/>
      <c r="B1892" s="91" t="s">
        <v>1602</v>
      </c>
      <c r="C1892" s="91" t="s">
        <v>1601</v>
      </c>
      <c r="D1892" s="92" t="s">
        <v>1603</v>
      </c>
      <c r="E1892" s="93" t="s">
        <v>112</v>
      </c>
      <c r="F1892" s="93">
        <v>2.17875</v>
      </c>
      <c r="G1892" s="93">
        <v>2.72</v>
      </c>
      <c r="H1892" s="93">
        <v>5.9262</v>
      </c>
      <c r="I1892" s="93">
        <v>2.17875</v>
      </c>
    </row>
    <row r="1893" ht="25.5" spans="1:9">
      <c r="A1893" s="90"/>
      <c r="B1893" s="91" t="s">
        <v>1812</v>
      </c>
      <c r="C1893" s="91" t="s">
        <v>1811</v>
      </c>
      <c r="D1893" s="92" t="s">
        <v>1813</v>
      </c>
      <c r="E1893" s="93" t="s">
        <v>494</v>
      </c>
      <c r="F1893" s="93">
        <v>3.7159351208e-5</v>
      </c>
      <c r="G1893" s="93">
        <v>1504.72</v>
      </c>
      <c r="H1893" s="93">
        <v>0.0559144189497018</v>
      </c>
      <c r="I1893" s="93">
        <v>3.7159351208e-5</v>
      </c>
    </row>
    <row r="1894" ht="25.5" spans="1:9">
      <c r="A1894" s="90"/>
      <c r="B1894" s="91" t="s">
        <v>1634</v>
      </c>
      <c r="C1894" s="91" t="s">
        <v>1633</v>
      </c>
      <c r="D1894" s="92" t="s">
        <v>1635</v>
      </c>
      <c r="E1894" s="93" t="s">
        <v>494</v>
      </c>
      <c r="F1894" s="93">
        <v>0.000316153945968</v>
      </c>
      <c r="G1894" s="93">
        <v>3390.99</v>
      </c>
      <c r="H1894" s="93">
        <v>1.07207486923803</v>
      </c>
      <c r="I1894" s="93">
        <v>0.000316153945968</v>
      </c>
    </row>
    <row r="1895" ht="38.25" spans="1:9">
      <c r="A1895" s="85" t="s">
        <v>2459</v>
      </c>
      <c r="B1895" s="85" t="s">
        <v>560</v>
      </c>
      <c r="C1895" s="85" t="s">
        <v>2460</v>
      </c>
      <c r="D1895" s="87" t="s">
        <v>915</v>
      </c>
      <c r="E1895" s="89" t="s">
        <v>494</v>
      </c>
      <c r="F1895" s="89">
        <v>1</v>
      </c>
      <c r="G1895" s="89">
        <v>7803.11</v>
      </c>
      <c r="H1895" s="89">
        <v>7803.11</v>
      </c>
      <c r="I1895" s="89">
        <v>1</v>
      </c>
    </row>
    <row r="1896" ht="25.5" spans="1:9">
      <c r="A1896" s="90"/>
      <c r="B1896" s="91" t="s">
        <v>1776</v>
      </c>
      <c r="C1896" s="91" t="s">
        <v>1775</v>
      </c>
      <c r="D1896" s="92" t="s">
        <v>1777</v>
      </c>
      <c r="E1896" s="93" t="s">
        <v>494</v>
      </c>
      <c r="F1896" s="93">
        <v>1</v>
      </c>
      <c r="G1896" s="93">
        <v>5000</v>
      </c>
      <c r="H1896" s="93">
        <v>0.0397386</v>
      </c>
      <c r="I1896" s="93">
        <v>1</v>
      </c>
    </row>
    <row r="1897" ht="25.5" spans="1:9">
      <c r="A1897" s="90"/>
      <c r="B1897" s="91" t="s">
        <v>1731</v>
      </c>
      <c r="C1897" s="91" t="s">
        <v>1730</v>
      </c>
      <c r="D1897" s="92" t="s">
        <v>1732</v>
      </c>
      <c r="E1897" s="93" t="s">
        <v>494</v>
      </c>
      <c r="F1897" s="93">
        <v>1</v>
      </c>
      <c r="G1897" s="93">
        <v>20338.98</v>
      </c>
      <c r="H1897" s="93">
        <v>1.8044151445187</v>
      </c>
      <c r="I1897" s="93">
        <v>1</v>
      </c>
    </row>
    <row r="1898" ht="25.5" spans="1:9">
      <c r="A1898" s="90"/>
      <c r="B1898" s="91" t="s">
        <v>1421</v>
      </c>
      <c r="C1898" s="91" t="s">
        <v>1420</v>
      </c>
      <c r="D1898" s="92" t="s">
        <v>1422</v>
      </c>
      <c r="E1898" s="93" t="s">
        <v>494</v>
      </c>
      <c r="F1898" s="93">
        <v>1</v>
      </c>
      <c r="G1898" s="93">
        <v>15839.74</v>
      </c>
      <c r="H1898" s="93">
        <v>0.0805903737590552</v>
      </c>
      <c r="I1898" s="93">
        <v>1</v>
      </c>
    </row>
    <row r="1899" spans="1:9">
      <c r="A1899" s="90"/>
      <c r="B1899" s="91" t="s">
        <v>1007</v>
      </c>
      <c r="C1899" s="91" t="s">
        <v>1048</v>
      </c>
      <c r="D1899" s="92" t="s">
        <v>1049</v>
      </c>
      <c r="E1899" s="93" t="s">
        <v>839</v>
      </c>
      <c r="F1899" s="93">
        <v>1</v>
      </c>
      <c r="G1899" s="93">
        <v>1.5</v>
      </c>
      <c r="H1899" s="93">
        <v>38.40130148868</v>
      </c>
      <c r="I1899" s="93">
        <v>1</v>
      </c>
    </row>
    <row r="1900" spans="1:9">
      <c r="A1900" s="90"/>
      <c r="B1900" s="91" t="s">
        <v>1020</v>
      </c>
      <c r="C1900" s="91" t="s">
        <v>1432</v>
      </c>
      <c r="D1900" s="92" t="s">
        <v>1433</v>
      </c>
      <c r="E1900" s="93" t="s">
        <v>839</v>
      </c>
      <c r="F1900" s="93">
        <v>0.41846100082285</v>
      </c>
      <c r="G1900" s="93">
        <v>15.35</v>
      </c>
      <c r="H1900" s="93">
        <v>6.42337636263074</v>
      </c>
      <c r="I1900" s="93">
        <v>0.41846100082285</v>
      </c>
    </row>
    <row r="1901" spans="1:9">
      <c r="A1901" s="90"/>
      <c r="B1901" s="91" t="s">
        <v>1007</v>
      </c>
      <c r="C1901" s="91" t="s">
        <v>1006</v>
      </c>
      <c r="D1901" s="92" t="s">
        <v>1008</v>
      </c>
      <c r="E1901" s="93" t="s">
        <v>839</v>
      </c>
      <c r="F1901" s="93">
        <v>25.60086765912</v>
      </c>
      <c r="G1901" s="93">
        <v>3.95</v>
      </c>
      <c r="H1901" s="93">
        <v>101.123427253524</v>
      </c>
      <c r="I1901" s="93">
        <v>25.60086765912</v>
      </c>
    </row>
    <row r="1902" spans="1:9">
      <c r="A1902" s="90"/>
      <c r="B1902" s="91" t="s">
        <v>1150</v>
      </c>
      <c r="C1902" s="91" t="s">
        <v>1149</v>
      </c>
      <c r="D1902" s="92" t="s">
        <v>1151</v>
      </c>
      <c r="E1902" s="93" t="s">
        <v>839</v>
      </c>
      <c r="F1902" s="93">
        <v>2.56692310894363</v>
      </c>
      <c r="G1902" s="93">
        <v>21.83</v>
      </c>
      <c r="H1902" s="93">
        <v>56.0359314682394</v>
      </c>
      <c r="I1902" s="93">
        <v>2.56692310894363</v>
      </c>
    </row>
    <row r="1903" spans="1:9">
      <c r="A1903" s="90"/>
      <c r="B1903" s="91" t="s">
        <v>1020</v>
      </c>
      <c r="C1903" s="91" t="s">
        <v>1094</v>
      </c>
      <c r="D1903" s="92" t="s">
        <v>1095</v>
      </c>
      <c r="E1903" s="93" t="s">
        <v>839</v>
      </c>
      <c r="F1903" s="93">
        <v>0.5462689316128</v>
      </c>
      <c r="G1903" s="93">
        <v>15.35</v>
      </c>
      <c r="H1903" s="93">
        <v>8.38522810025648</v>
      </c>
      <c r="I1903" s="93">
        <v>0.5462689316128</v>
      </c>
    </row>
    <row r="1904" spans="1:9">
      <c r="A1904" s="90"/>
      <c r="B1904" s="91" t="s">
        <v>993</v>
      </c>
      <c r="C1904" s="91" t="s">
        <v>1475</v>
      </c>
      <c r="D1904" s="92" t="s">
        <v>1476</v>
      </c>
      <c r="E1904" s="93" t="s">
        <v>839</v>
      </c>
      <c r="F1904" s="93">
        <v>2.7313971414512</v>
      </c>
      <c r="G1904" s="93">
        <v>20.54</v>
      </c>
      <c r="H1904" s="93">
        <v>56.1028972854076</v>
      </c>
      <c r="I1904" s="93">
        <v>2.7313971414512</v>
      </c>
    </row>
    <row r="1905" spans="1:9">
      <c r="A1905" s="90"/>
      <c r="B1905" s="91" t="s">
        <v>1506</v>
      </c>
      <c r="C1905" s="91" t="s">
        <v>1505</v>
      </c>
      <c r="D1905" s="92" t="s">
        <v>1507</v>
      </c>
      <c r="E1905" s="93" t="s">
        <v>839</v>
      </c>
      <c r="F1905" s="93">
        <v>0.86335274086048</v>
      </c>
      <c r="G1905" s="93">
        <v>18</v>
      </c>
      <c r="H1905" s="93">
        <v>15.5403493354886</v>
      </c>
      <c r="I1905" s="93">
        <v>0.86335274086048</v>
      </c>
    </row>
    <row r="1906" spans="1:9">
      <c r="A1906" s="90"/>
      <c r="B1906" s="91" t="s">
        <v>1108</v>
      </c>
      <c r="C1906" s="91" t="s">
        <v>1107</v>
      </c>
      <c r="D1906" s="92" t="s">
        <v>1109</v>
      </c>
      <c r="E1906" s="93" t="s">
        <v>839</v>
      </c>
      <c r="F1906" s="93">
        <v>2.9567473214088</v>
      </c>
      <c r="G1906" s="93">
        <v>21.83</v>
      </c>
      <c r="H1906" s="93">
        <v>64.5457940263541</v>
      </c>
      <c r="I1906" s="93">
        <v>2.9567473214088</v>
      </c>
    </row>
    <row r="1907" spans="1:9">
      <c r="A1907" s="90"/>
      <c r="B1907" s="91" t="s">
        <v>1108</v>
      </c>
      <c r="C1907" s="91" t="s">
        <v>1127</v>
      </c>
      <c r="D1907" s="92" t="s">
        <v>1128</v>
      </c>
      <c r="E1907" s="93" t="s">
        <v>839</v>
      </c>
      <c r="F1907" s="93">
        <v>0.5949065204148</v>
      </c>
      <c r="G1907" s="93">
        <v>18</v>
      </c>
      <c r="H1907" s="93">
        <v>10.7083173674664</v>
      </c>
      <c r="I1907" s="93">
        <v>0.5949065204148</v>
      </c>
    </row>
    <row r="1908" spans="1:9">
      <c r="A1908" s="90"/>
      <c r="B1908" s="91" t="s">
        <v>1090</v>
      </c>
      <c r="C1908" s="91" t="s">
        <v>1089</v>
      </c>
      <c r="D1908" s="92" t="s">
        <v>1091</v>
      </c>
      <c r="E1908" s="93" t="s">
        <v>839</v>
      </c>
      <c r="F1908" s="93">
        <v>7.16736133524</v>
      </c>
      <c r="G1908" s="93">
        <v>21.83</v>
      </c>
      <c r="H1908" s="93">
        <v>156.463497948289</v>
      </c>
      <c r="I1908" s="93">
        <v>7.16736133524</v>
      </c>
    </row>
    <row r="1909" spans="1:9">
      <c r="A1909" s="90"/>
      <c r="B1909" s="91" t="s">
        <v>1007</v>
      </c>
      <c r="C1909" s="91" t="s">
        <v>1378</v>
      </c>
      <c r="D1909" s="92" t="s">
        <v>1379</v>
      </c>
      <c r="E1909" s="93" t="s">
        <v>839</v>
      </c>
      <c r="F1909" s="93">
        <v>25.60086765912</v>
      </c>
      <c r="G1909" s="93">
        <v>0.08</v>
      </c>
      <c r="H1909" s="93">
        <v>2.0480694127296</v>
      </c>
      <c r="I1909" s="93">
        <v>25.60086765912</v>
      </c>
    </row>
    <row r="1910" spans="1:9">
      <c r="A1910" s="90"/>
      <c r="B1910" s="91" t="s">
        <v>1020</v>
      </c>
      <c r="C1910" s="91" t="s">
        <v>1019</v>
      </c>
      <c r="D1910" s="92" t="s">
        <v>1021</v>
      </c>
      <c r="E1910" s="93" t="s">
        <v>839</v>
      </c>
      <c r="F1910" s="93">
        <v>8.20392253322544</v>
      </c>
      <c r="G1910" s="93">
        <v>14.49</v>
      </c>
      <c r="H1910" s="93">
        <v>118.874837506437</v>
      </c>
      <c r="I1910" s="93">
        <v>8.20392253322544</v>
      </c>
    </row>
    <row r="1911" spans="1:9">
      <c r="A1911" s="90"/>
      <c r="B1911" s="91" t="s">
        <v>1158</v>
      </c>
      <c r="C1911" s="91" t="s">
        <v>1380</v>
      </c>
      <c r="D1911" s="92" t="s">
        <v>1381</v>
      </c>
      <c r="E1911" s="93" t="s">
        <v>463</v>
      </c>
      <c r="F1911" s="93">
        <v>19.162127528</v>
      </c>
      <c r="G1911" s="93">
        <v>8.25</v>
      </c>
      <c r="H1911" s="93">
        <v>158.087552106</v>
      </c>
      <c r="I1911" s="93">
        <v>19.162127528</v>
      </c>
    </row>
    <row r="1912" ht="25.5" spans="1:9">
      <c r="A1912" s="90"/>
      <c r="B1912" s="91" t="s">
        <v>1826</v>
      </c>
      <c r="C1912" s="91" t="s">
        <v>1825</v>
      </c>
      <c r="D1912" s="92" t="s">
        <v>1827</v>
      </c>
      <c r="E1912" s="93" t="s">
        <v>215</v>
      </c>
      <c r="F1912" s="93">
        <v>0.433512</v>
      </c>
      <c r="G1912" s="93">
        <v>7.45</v>
      </c>
      <c r="H1912" s="93">
        <v>3.2296644</v>
      </c>
      <c r="I1912" s="93">
        <v>0.433512</v>
      </c>
    </row>
    <row r="1913" ht="25.5" spans="1:9">
      <c r="A1913" s="90"/>
      <c r="B1913" s="91" t="s">
        <v>1111</v>
      </c>
      <c r="C1913" s="91" t="s">
        <v>1229</v>
      </c>
      <c r="D1913" s="92" t="s">
        <v>1230</v>
      </c>
      <c r="E1913" s="93" t="s">
        <v>494</v>
      </c>
      <c r="F1913" s="93">
        <v>6</v>
      </c>
      <c r="G1913" s="93">
        <v>993.71</v>
      </c>
      <c r="H1913" s="93">
        <v>5962.26</v>
      </c>
      <c r="I1913" s="93">
        <v>6</v>
      </c>
    </row>
    <row r="1914" spans="1:9">
      <c r="A1914" s="90"/>
      <c r="B1914" s="91" t="s">
        <v>1123</v>
      </c>
      <c r="C1914" s="91" t="s">
        <v>1361</v>
      </c>
      <c r="D1914" s="92" t="s">
        <v>2461</v>
      </c>
      <c r="E1914" s="93" t="s">
        <v>463</v>
      </c>
      <c r="F1914" s="93">
        <v>0.44771326</v>
      </c>
      <c r="G1914" s="93">
        <v>19.38</v>
      </c>
      <c r="H1914" s="93">
        <v>8.6766829788</v>
      </c>
      <c r="I1914" s="93">
        <v>0.44771326</v>
      </c>
    </row>
    <row r="1915" spans="1:9">
      <c r="A1915" s="90"/>
      <c r="B1915" s="90"/>
      <c r="C1915" s="90"/>
      <c r="D1915" s="92" t="s">
        <v>2462</v>
      </c>
      <c r="E1915" s="94"/>
      <c r="F1915" s="94"/>
      <c r="G1915" s="94"/>
      <c r="H1915" s="94"/>
      <c r="I1915" s="94"/>
    </row>
    <row r="1916" ht="25.5" spans="1:9">
      <c r="A1916" s="90"/>
      <c r="B1916" s="91" t="s">
        <v>1010</v>
      </c>
      <c r="C1916" s="91" t="s">
        <v>1009</v>
      </c>
      <c r="D1916" s="92" t="s">
        <v>1011</v>
      </c>
      <c r="E1916" s="93" t="s">
        <v>476</v>
      </c>
      <c r="F1916" s="93">
        <v>0.4678318836</v>
      </c>
      <c r="G1916" s="93">
        <v>205</v>
      </c>
      <c r="H1916" s="93">
        <v>95.905536138</v>
      </c>
      <c r="I1916" s="93">
        <v>0.4678318836</v>
      </c>
    </row>
    <row r="1917" ht="25.5" spans="1:9">
      <c r="A1917" s="90"/>
      <c r="B1917" s="91" t="s">
        <v>1498</v>
      </c>
      <c r="C1917" s="91" t="s">
        <v>1497</v>
      </c>
      <c r="D1917" s="92" t="s">
        <v>1499</v>
      </c>
      <c r="E1917" s="93" t="s">
        <v>466</v>
      </c>
      <c r="F1917" s="93">
        <v>3.7052472</v>
      </c>
      <c r="G1917" s="93">
        <v>38.04</v>
      </c>
      <c r="H1917" s="93">
        <v>140.947603488</v>
      </c>
      <c r="I1917" s="93">
        <v>3.7052472</v>
      </c>
    </row>
    <row r="1918" ht="25.5" spans="1:9">
      <c r="A1918" s="90"/>
      <c r="B1918" s="91" t="s">
        <v>1385</v>
      </c>
      <c r="C1918" s="91" t="s">
        <v>1752</v>
      </c>
      <c r="D1918" s="92" t="s">
        <v>1753</v>
      </c>
      <c r="E1918" s="93" t="s">
        <v>466</v>
      </c>
      <c r="F1918" s="93">
        <v>0.20099156</v>
      </c>
      <c r="G1918" s="93">
        <v>47.2</v>
      </c>
      <c r="H1918" s="93">
        <v>9.486801632</v>
      </c>
      <c r="I1918" s="93">
        <v>0.20099156</v>
      </c>
    </row>
    <row r="1919" ht="25.5" spans="1:9">
      <c r="A1919" s="90"/>
      <c r="B1919" s="91" t="s">
        <v>1385</v>
      </c>
      <c r="C1919" s="91" t="s">
        <v>1819</v>
      </c>
      <c r="D1919" s="92" t="s">
        <v>1820</v>
      </c>
      <c r="E1919" s="93" t="s">
        <v>466</v>
      </c>
      <c r="F1919" s="93">
        <v>0.18411116</v>
      </c>
      <c r="G1919" s="93">
        <v>14.47</v>
      </c>
      <c r="H1919" s="93">
        <v>2.6640884852</v>
      </c>
      <c r="I1919" s="93">
        <v>0.18411116</v>
      </c>
    </row>
    <row r="1920" spans="1:9">
      <c r="A1920" s="90"/>
      <c r="B1920" s="91" t="s">
        <v>1272</v>
      </c>
      <c r="C1920" s="91" t="s">
        <v>1271</v>
      </c>
      <c r="D1920" s="92" t="s">
        <v>1273</v>
      </c>
      <c r="E1920" s="93" t="s">
        <v>463</v>
      </c>
      <c r="F1920" s="93">
        <v>254.0200752212</v>
      </c>
      <c r="G1920" s="93">
        <v>0.65</v>
      </c>
      <c r="H1920" s="93">
        <v>165.11304889378</v>
      </c>
      <c r="I1920" s="93">
        <v>254.0200752212</v>
      </c>
    </row>
    <row r="1921" ht="25.5" spans="1:9">
      <c r="A1921" s="90"/>
      <c r="B1921" s="91" t="s">
        <v>1586</v>
      </c>
      <c r="C1921" s="91" t="s">
        <v>1585</v>
      </c>
      <c r="D1921" s="92" t="s">
        <v>1587</v>
      </c>
      <c r="E1921" s="93" t="s">
        <v>215</v>
      </c>
      <c r="F1921" s="93">
        <v>0.02020718</v>
      </c>
      <c r="G1921" s="93">
        <v>7.16</v>
      </c>
      <c r="H1921" s="93">
        <v>0.1446834088</v>
      </c>
      <c r="I1921" s="93">
        <v>0.02020718</v>
      </c>
    </row>
    <row r="1922" spans="1:9">
      <c r="A1922" s="90"/>
      <c r="B1922" s="91" t="s">
        <v>1693</v>
      </c>
      <c r="C1922" s="91" t="s">
        <v>1692</v>
      </c>
      <c r="D1922" s="92" t="s">
        <v>1694</v>
      </c>
      <c r="E1922" s="93" t="s">
        <v>1695</v>
      </c>
      <c r="F1922" s="93">
        <v>1.5817779704</v>
      </c>
      <c r="G1922" s="93">
        <v>0.72</v>
      </c>
      <c r="H1922" s="93">
        <v>1.138880138688</v>
      </c>
      <c r="I1922" s="93">
        <v>1.5817779704</v>
      </c>
    </row>
    <row r="1923" ht="25.5" spans="1:9">
      <c r="A1923" s="90"/>
      <c r="B1923" s="91" t="s">
        <v>1111</v>
      </c>
      <c r="C1923" s="91" t="s">
        <v>1174</v>
      </c>
      <c r="D1923" s="92" t="s">
        <v>1175</v>
      </c>
      <c r="E1923" s="93" t="s">
        <v>839</v>
      </c>
      <c r="F1923" s="93">
        <v>3.2299914</v>
      </c>
      <c r="G1923" s="93">
        <v>1.43</v>
      </c>
      <c r="H1923" s="93">
        <v>4.618887702</v>
      </c>
      <c r="I1923" s="93">
        <v>3.2299914</v>
      </c>
    </row>
    <row r="1924" ht="25.5" spans="1:9">
      <c r="A1924" s="90"/>
      <c r="B1924" s="91" t="s">
        <v>1111</v>
      </c>
      <c r="C1924" s="91" t="s">
        <v>1287</v>
      </c>
      <c r="D1924" s="92" t="s">
        <v>1288</v>
      </c>
      <c r="E1924" s="93" t="s">
        <v>839</v>
      </c>
      <c r="F1924" s="93">
        <v>4.367372748</v>
      </c>
      <c r="G1924" s="93">
        <v>0.89</v>
      </c>
      <c r="H1924" s="93">
        <v>3.88696174572</v>
      </c>
      <c r="I1924" s="93">
        <v>4.367372748</v>
      </c>
    </row>
    <row r="1925" ht="25.5" spans="1:9">
      <c r="A1925" s="90"/>
      <c r="B1925" s="91" t="s">
        <v>1111</v>
      </c>
      <c r="C1925" s="91" t="s">
        <v>1351</v>
      </c>
      <c r="D1925" s="92" t="s">
        <v>1352</v>
      </c>
      <c r="E1925" s="93" t="s">
        <v>839</v>
      </c>
      <c r="F1925" s="93">
        <v>9.96989350992</v>
      </c>
      <c r="G1925" s="93">
        <v>1.31</v>
      </c>
      <c r="H1925" s="93">
        <v>13.0605604979952</v>
      </c>
      <c r="I1925" s="93">
        <v>9.96989350992</v>
      </c>
    </row>
    <row r="1926" ht="25.5" spans="1:9">
      <c r="A1926" s="90"/>
      <c r="B1926" s="91" t="s">
        <v>1111</v>
      </c>
      <c r="C1926" s="91" t="s">
        <v>1110</v>
      </c>
      <c r="D1926" s="92" t="s">
        <v>1112</v>
      </c>
      <c r="E1926" s="93" t="s">
        <v>839</v>
      </c>
      <c r="F1926" s="93">
        <v>8.0336100012</v>
      </c>
      <c r="G1926" s="93">
        <v>1.39</v>
      </c>
      <c r="H1926" s="93">
        <v>11.166717901668</v>
      </c>
      <c r="I1926" s="93">
        <v>8.0336100012</v>
      </c>
    </row>
    <row r="1927" ht="25.5" spans="1:9">
      <c r="A1927" s="90"/>
      <c r="B1927" s="91" t="s">
        <v>1490</v>
      </c>
      <c r="C1927" s="91" t="s">
        <v>1489</v>
      </c>
      <c r="D1927" s="92" t="s">
        <v>1491</v>
      </c>
      <c r="E1927" s="93" t="s">
        <v>494</v>
      </c>
      <c r="F1927" s="93">
        <v>37.9302673872</v>
      </c>
      <c r="G1927" s="93">
        <v>0.22</v>
      </c>
      <c r="H1927" s="93">
        <v>8.344658825184</v>
      </c>
      <c r="I1927" s="93">
        <v>37.9302673872</v>
      </c>
    </row>
    <row r="1928" spans="1:9">
      <c r="A1928" s="90"/>
      <c r="B1928" s="91" t="s">
        <v>1007</v>
      </c>
      <c r="C1928" s="91" t="s">
        <v>1050</v>
      </c>
      <c r="D1928" s="92" t="s">
        <v>1051</v>
      </c>
      <c r="E1928" s="93" t="s">
        <v>839</v>
      </c>
      <c r="F1928" s="93">
        <v>25.60086765912</v>
      </c>
      <c r="G1928" s="93">
        <v>1.43</v>
      </c>
      <c r="H1928" s="93">
        <v>36.6092407525416</v>
      </c>
      <c r="I1928" s="93">
        <v>25.60086765912</v>
      </c>
    </row>
    <row r="1929" ht="25.5" spans="1:9">
      <c r="A1929" s="90"/>
      <c r="B1929" s="91" t="s">
        <v>1111</v>
      </c>
      <c r="C1929" s="91" t="s">
        <v>1310</v>
      </c>
      <c r="D1929" s="92" t="s">
        <v>1311</v>
      </c>
      <c r="E1929" s="93" t="s">
        <v>839</v>
      </c>
      <c r="F1929" s="93">
        <v>3.2299914</v>
      </c>
      <c r="G1929" s="93">
        <v>0.44</v>
      </c>
      <c r="H1929" s="93">
        <v>1.421196216</v>
      </c>
      <c r="I1929" s="93">
        <v>3.2299914</v>
      </c>
    </row>
    <row r="1930" ht="25.5" spans="1:9">
      <c r="A1930" s="90"/>
      <c r="B1930" s="91" t="s">
        <v>1111</v>
      </c>
      <c r="C1930" s="91" t="s">
        <v>1707</v>
      </c>
      <c r="D1930" s="92" t="s">
        <v>1708</v>
      </c>
      <c r="E1930" s="93" t="s">
        <v>839</v>
      </c>
      <c r="F1930" s="93">
        <v>4.367372748</v>
      </c>
      <c r="G1930" s="93">
        <v>0.01</v>
      </c>
      <c r="H1930" s="93">
        <v>0.04367372748</v>
      </c>
      <c r="I1930" s="93">
        <v>4.367372748</v>
      </c>
    </row>
    <row r="1931" ht="25.5" spans="1:9">
      <c r="A1931" s="90"/>
      <c r="B1931" s="91" t="s">
        <v>1111</v>
      </c>
      <c r="C1931" s="91" t="s">
        <v>1427</v>
      </c>
      <c r="D1931" s="92" t="s">
        <v>1428</v>
      </c>
      <c r="E1931" s="93" t="s">
        <v>839</v>
      </c>
      <c r="F1931" s="93">
        <v>9.96989350992</v>
      </c>
      <c r="G1931" s="93">
        <v>0.78</v>
      </c>
      <c r="H1931" s="93">
        <v>7.7765169377376</v>
      </c>
      <c r="I1931" s="93">
        <v>9.96989350992</v>
      </c>
    </row>
    <row r="1932" ht="25.5" spans="1:9">
      <c r="A1932" s="90"/>
      <c r="B1932" s="91" t="s">
        <v>1111</v>
      </c>
      <c r="C1932" s="91" t="s">
        <v>1195</v>
      </c>
      <c r="D1932" s="92" t="s">
        <v>1196</v>
      </c>
      <c r="E1932" s="93" t="s">
        <v>839</v>
      </c>
      <c r="F1932" s="93">
        <v>8.0336100012</v>
      </c>
      <c r="G1932" s="93">
        <v>0.61</v>
      </c>
      <c r="H1932" s="93">
        <v>4.900502100732</v>
      </c>
      <c r="I1932" s="93">
        <v>8.0336100012</v>
      </c>
    </row>
    <row r="1933" ht="38.25" spans="1:9">
      <c r="A1933" s="90"/>
      <c r="B1933" s="91" t="s">
        <v>1490</v>
      </c>
      <c r="C1933" s="91" t="s">
        <v>1845</v>
      </c>
      <c r="D1933" s="92" t="s">
        <v>1846</v>
      </c>
      <c r="E1933" s="93" t="s">
        <v>463</v>
      </c>
      <c r="F1933" s="93">
        <v>0.0924</v>
      </c>
      <c r="G1933" s="93">
        <v>8.38</v>
      </c>
      <c r="H1933" s="93">
        <v>0.774312</v>
      </c>
      <c r="I1933" s="93">
        <v>0.0924</v>
      </c>
    </row>
    <row r="1934" spans="1:9">
      <c r="A1934" s="90"/>
      <c r="B1934" s="91" t="s">
        <v>985</v>
      </c>
      <c r="C1934" s="91" t="s">
        <v>1227</v>
      </c>
      <c r="D1934" s="92" t="s">
        <v>1228</v>
      </c>
      <c r="E1934" s="93" t="s">
        <v>215</v>
      </c>
      <c r="F1934" s="93">
        <v>0.026585845</v>
      </c>
      <c r="G1934" s="93">
        <v>5.96</v>
      </c>
      <c r="H1934" s="93">
        <v>0.1584516362</v>
      </c>
      <c r="I1934" s="93">
        <v>0.026585845</v>
      </c>
    </row>
    <row r="1935" spans="1:9">
      <c r="A1935" s="90"/>
      <c r="B1935" s="91" t="s">
        <v>985</v>
      </c>
      <c r="C1935" s="91" t="s">
        <v>984</v>
      </c>
      <c r="D1935" s="92" t="s">
        <v>986</v>
      </c>
      <c r="E1935" s="93" t="s">
        <v>215</v>
      </c>
      <c r="F1935" s="93">
        <v>7.6826253644</v>
      </c>
      <c r="G1935" s="93">
        <v>5.93</v>
      </c>
      <c r="H1935" s="93">
        <v>45.557968410892</v>
      </c>
      <c r="I1935" s="93">
        <v>7.6826253644</v>
      </c>
    </row>
    <row r="1936" ht="25.5" spans="1:9">
      <c r="A1936" s="90"/>
      <c r="B1936" s="91" t="s">
        <v>1393</v>
      </c>
      <c r="C1936" s="91" t="s">
        <v>1487</v>
      </c>
      <c r="D1936" s="92" t="s">
        <v>1488</v>
      </c>
      <c r="E1936" s="93" t="s">
        <v>476</v>
      </c>
      <c r="F1936" s="93">
        <v>0.87362</v>
      </c>
      <c r="G1936" s="93">
        <v>227.89</v>
      </c>
      <c r="H1936" s="93">
        <v>199.0892618</v>
      </c>
      <c r="I1936" s="93">
        <v>0.87362</v>
      </c>
    </row>
    <row r="1937" spans="1:9">
      <c r="A1937" s="90"/>
      <c r="B1937" s="91" t="s">
        <v>1393</v>
      </c>
      <c r="C1937" s="91" t="s">
        <v>1392</v>
      </c>
      <c r="D1937" s="92" t="s">
        <v>1394</v>
      </c>
      <c r="E1937" s="93" t="s">
        <v>476</v>
      </c>
      <c r="F1937" s="93">
        <v>0.3692902148</v>
      </c>
      <c r="G1937" s="93">
        <v>197.39</v>
      </c>
      <c r="H1937" s="93">
        <v>72.894195499372</v>
      </c>
      <c r="I1937" s="93">
        <v>0.3692902148</v>
      </c>
    </row>
    <row r="1938" spans="1:9">
      <c r="A1938" s="90"/>
      <c r="B1938" s="91" t="s">
        <v>1672</v>
      </c>
      <c r="C1938" s="91" t="s">
        <v>1671</v>
      </c>
      <c r="D1938" s="92" t="s">
        <v>1673</v>
      </c>
      <c r="E1938" s="93" t="s">
        <v>476</v>
      </c>
      <c r="F1938" s="93">
        <v>0.13563</v>
      </c>
      <c r="G1938" s="93">
        <v>439.92</v>
      </c>
      <c r="H1938" s="93">
        <v>59.6663496</v>
      </c>
      <c r="I1938" s="93">
        <v>0.13563</v>
      </c>
    </row>
    <row r="1939" spans="1:9">
      <c r="A1939" s="90"/>
      <c r="B1939" s="91" t="s">
        <v>1120</v>
      </c>
      <c r="C1939" s="91" t="s">
        <v>1119</v>
      </c>
      <c r="D1939" s="92" t="s">
        <v>1121</v>
      </c>
      <c r="E1939" s="93" t="s">
        <v>112</v>
      </c>
      <c r="F1939" s="93">
        <v>0.7790368</v>
      </c>
      <c r="G1939" s="93">
        <v>7.78</v>
      </c>
      <c r="H1939" s="93">
        <v>6.060906304</v>
      </c>
      <c r="I1939" s="93">
        <v>0.7790368</v>
      </c>
    </row>
    <row r="1940" spans="1:9">
      <c r="A1940" s="90"/>
      <c r="B1940" s="91" t="s">
        <v>1685</v>
      </c>
      <c r="C1940" s="91" t="s">
        <v>1684</v>
      </c>
      <c r="D1940" s="92" t="s">
        <v>1686</v>
      </c>
      <c r="E1940" s="93" t="s">
        <v>463</v>
      </c>
      <c r="F1940" s="93">
        <v>0.19464424</v>
      </c>
      <c r="G1940" s="93">
        <v>20.72</v>
      </c>
      <c r="H1940" s="93">
        <v>4.0330286528</v>
      </c>
      <c r="I1940" s="93">
        <v>0.19464424</v>
      </c>
    </row>
    <row r="1941" spans="1:9">
      <c r="A1941" s="90"/>
      <c r="B1941" s="91" t="s">
        <v>1829</v>
      </c>
      <c r="C1941" s="91" t="s">
        <v>1828</v>
      </c>
      <c r="D1941" s="92" t="s">
        <v>1830</v>
      </c>
      <c r="E1941" s="93" t="s">
        <v>463</v>
      </c>
      <c r="F1941" s="93">
        <v>0.1009964</v>
      </c>
      <c r="G1941" s="93">
        <v>19.08</v>
      </c>
      <c r="H1941" s="93">
        <v>1.927011312</v>
      </c>
      <c r="I1941" s="93">
        <v>0.1009964</v>
      </c>
    </row>
    <row r="1942" ht="51" spans="1:9">
      <c r="A1942" s="90"/>
      <c r="B1942" s="91" t="s">
        <v>1136</v>
      </c>
      <c r="C1942" s="91" t="s">
        <v>1135</v>
      </c>
      <c r="D1942" s="92" t="s">
        <v>1137</v>
      </c>
      <c r="E1942" s="93" t="s">
        <v>494</v>
      </c>
      <c r="F1942" s="93">
        <v>0.000269995676576</v>
      </c>
      <c r="G1942" s="93">
        <v>466463.38</v>
      </c>
      <c r="H1942" s="93">
        <v>125.943095881028</v>
      </c>
      <c r="I1942" s="93">
        <v>0.000269995676576</v>
      </c>
    </row>
    <row r="1943" spans="1:9">
      <c r="A1943" s="90"/>
      <c r="B1943" s="91" t="s">
        <v>1602</v>
      </c>
      <c r="C1943" s="91" t="s">
        <v>1601</v>
      </c>
      <c r="D1943" s="92" t="s">
        <v>1603</v>
      </c>
      <c r="E1943" s="93" t="s">
        <v>112</v>
      </c>
      <c r="F1943" s="93">
        <v>3.425</v>
      </c>
      <c r="G1943" s="93">
        <v>2.72</v>
      </c>
      <c r="H1943" s="93">
        <v>9.316</v>
      </c>
      <c r="I1943" s="93">
        <v>3.425</v>
      </c>
    </row>
    <row r="1944" ht="25.5" spans="1:9">
      <c r="A1944" s="90"/>
      <c r="B1944" s="91" t="s">
        <v>1812</v>
      </c>
      <c r="C1944" s="91" t="s">
        <v>1811</v>
      </c>
      <c r="D1944" s="92" t="s">
        <v>1813</v>
      </c>
      <c r="E1944" s="93" t="s">
        <v>494</v>
      </c>
      <c r="F1944" s="93">
        <v>5.4733637704e-5</v>
      </c>
      <c r="G1944" s="93">
        <v>1504.72</v>
      </c>
      <c r="H1944" s="93">
        <v>0.0823587993259629</v>
      </c>
      <c r="I1944" s="93">
        <v>5.4733637704e-5</v>
      </c>
    </row>
    <row r="1945" ht="25.5" spans="1:9">
      <c r="A1945" s="90"/>
      <c r="B1945" s="91" t="s">
        <v>1634</v>
      </c>
      <c r="C1945" s="91" t="s">
        <v>1633</v>
      </c>
      <c r="D1945" s="92" t="s">
        <v>1635</v>
      </c>
      <c r="E1945" s="93" t="s">
        <v>494</v>
      </c>
      <c r="F1945" s="93">
        <v>0.000456822669968</v>
      </c>
      <c r="G1945" s="93">
        <v>3390.99</v>
      </c>
      <c r="H1945" s="93">
        <v>1.54908110563479</v>
      </c>
      <c r="I1945" s="93">
        <v>0.000456822669968</v>
      </c>
    </row>
    <row r="1946" ht="25.5" spans="1:9">
      <c r="A1946" s="85" t="s">
        <v>2463</v>
      </c>
      <c r="B1946" s="85" t="s">
        <v>916</v>
      </c>
      <c r="C1946" s="85" t="s">
        <v>2464</v>
      </c>
      <c r="D1946" s="87" t="s">
        <v>917</v>
      </c>
      <c r="E1946" s="89" t="s">
        <v>112</v>
      </c>
      <c r="F1946" s="89">
        <v>5</v>
      </c>
      <c r="G1946" s="89">
        <v>32.09</v>
      </c>
      <c r="H1946" s="89">
        <v>160.45</v>
      </c>
      <c r="I1946" s="89">
        <v>5</v>
      </c>
    </row>
    <row r="1947" spans="1:9">
      <c r="A1947" s="90"/>
      <c r="B1947" s="91" t="s">
        <v>1007</v>
      </c>
      <c r="C1947" s="91" t="s">
        <v>1048</v>
      </c>
      <c r="D1947" s="92" t="s">
        <v>1049</v>
      </c>
      <c r="E1947" s="93" t="s">
        <v>839</v>
      </c>
      <c r="F1947" s="93">
        <v>1</v>
      </c>
      <c r="G1947" s="93">
        <v>1.5</v>
      </c>
      <c r="H1947" s="93">
        <v>0.8031</v>
      </c>
      <c r="I1947" s="93">
        <v>5</v>
      </c>
    </row>
    <row r="1948" spans="1:9">
      <c r="A1948" s="90"/>
      <c r="B1948" s="91" t="s">
        <v>1007</v>
      </c>
      <c r="C1948" s="91" t="s">
        <v>1006</v>
      </c>
      <c r="D1948" s="92" t="s">
        <v>1008</v>
      </c>
      <c r="E1948" s="93" t="s">
        <v>839</v>
      </c>
      <c r="F1948" s="93">
        <v>0.5354</v>
      </c>
      <c r="G1948" s="93">
        <v>3.95</v>
      </c>
      <c r="H1948" s="93">
        <v>2.11483</v>
      </c>
      <c r="I1948" s="93">
        <v>2.677</v>
      </c>
    </row>
    <row r="1949" spans="1:9">
      <c r="A1949" s="90"/>
      <c r="B1949" s="91" t="s">
        <v>1453</v>
      </c>
      <c r="C1949" s="91" t="s">
        <v>1452</v>
      </c>
      <c r="D1949" s="92" t="s">
        <v>1454</v>
      </c>
      <c r="E1949" s="93" t="s">
        <v>839</v>
      </c>
      <c r="F1949" s="93">
        <v>0.272513246</v>
      </c>
      <c r="G1949" s="93">
        <v>15.35</v>
      </c>
      <c r="H1949" s="93">
        <v>4.1830783261</v>
      </c>
      <c r="I1949" s="93">
        <v>1.36256623</v>
      </c>
    </row>
    <row r="1950" spans="1:9">
      <c r="A1950" s="90"/>
      <c r="B1950" s="91" t="s">
        <v>1248</v>
      </c>
      <c r="C1950" s="91" t="s">
        <v>1247</v>
      </c>
      <c r="D1950" s="92" t="s">
        <v>1249</v>
      </c>
      <c r="E1950" s="93" t="s">
        <v>839</v>
      </c>
      <c r="F1950" s="93">
        <v>0.272513246</v>
      </c>
      <c r="G1950" s="93">
        <v>21.83</v>
      </c>
      <c r="H1950" s="93">
        <v>5.94896416018</v>
      </c>
      <c r="I1950" s="93">
        <v>1.36256623</v>
      </c>
    </row>
    <row r="1951" spans="1:9">
      <c r="A1951" s="90"/>
      <c r="B1951" s="91" t="s">
        <v>1007</v>
      </c>
      <c r="C1951" s="91" t="s">
        <v>1378</v>
      </c>
      <c r="D1951" s="92" t="s">
        <v>1379</v>
      </c>
      <c r="E1951" s="93" t="s">
        <v>839</v>
      </c>
      <c r="F1951" s="93">
        <v>0.5354</v>
      </c>
      <c r="G1951" s="93">
        <v>0.08</v>
      </c>
      <c r="H1951" s="93">
        <v>0.042832</v>
      </c>
      <c r="I1951" s="93">
        <v>2.677</v>
      </c>
    </row>
    <row r="1952" ht="25.5" spans="1:9">
      <c r="A1952" s="90"/>
      <c r="B1952" s="91" t="s">
        <v>1111</v>
      </c>
      <c r="C1952" s="91" t="s">
        <v>1558</v>
      </c>
      <c r="D1952" s="92" t="s">
        <v>1559</v>
      </c>
      <c r="E1952" s="93" t="s">
        <v>839</v>
      </c>
      <c r="F1952" s="93">
        <v>0.5354</v>
      </c>
      <c r="G1952" s="93">
        <v>1.13</v>
      </c>
      <c r="H1952" s="93">
        <v>0.605002</v>
      </c>
      <c r="I1952" s="93">
        <v>2.677</v>
      </c>
    </row>
    <row r="1953" spans="1:9">
      <c r="A1953" s="90"/>
      <c r="B1953" s="91" t="s">
        <v>1007</v>
      </c>
      <c r="C1953" s="91" t="s">
        <v>1050</v>
      </c>
      <c r="D1953" s="92" t="s">
        <v>1051</v>
      </c>
      <c r="E1953" s="93" t="s">
        <v>839</v>
      </c>
      <c r="F1953" s="93">
        <v>0.5354</v>
      </c>
      <c r="G1953" s="93">
        <v>1.43</v>
      </c>
      <c r="H1953" s="93">
        <v>0.765622</v>
      </c>
      <c r="I1953" s="93">
        <v>2.677</v>
      </c>
    </row>
    <row r="1954" ht="25.5" spans="1:9">
      <c r="A1954" s="90"/>
      <c r="B1954" s="91" t="s">
        <v>1111</v>
      </c>
      <c r="C1954" s="91" t="s">
        <v>1674</v>
      </c>
      <c r="D1954" s="92" t="s">
        <v>1675</v>
      </c>
      <c r="E1954" s="93" t="s">
        <v>839</v>
      </c>
      <c r="F1954" s="93">
        <v>0.5354</v>
      </c>
      <c r="G1954" s="93">
        <v>0.31</v>
      </c>
      <c r="H1954" s="93">
        <v>0.165974</v>
      </c>
      <c r="I1954" s="93">
        <v>2.677</v>
      </c>
    </row>
    <row r="1955" spans="1:9">
      <c r="A1955" s="90"/>
      <c r="B1955" s="91" t="s">
        <v>1848</v>
      </c>
      <c r="C1955" s="91" t="s">
        <v>1847</v>
      </c>
      <c r="D1955" s="92" t="s">
        <v>1849</v>
      </c>
      <c r="E1955" s="93" t="s">
        <v>494</v>
      </c>
      <c r="F1955" s="93">
        <v>0.0312</v>
      </c>
      <c r="G1955" s="93">
        <v>2.57</v>
      </c>
      <c r="H1955" s="93">
        <v>0.08</v>
      </c>
      <c r="I1955" s="93">
        <v>0.156</v>
      </c>
    </row>
    <row r="1956" spans="1:9">
      <c r="A1956" s="90"/>
      <c r="B1956" s="91" t="s">
        <v>1664</v>
      </c>
      <c r="C1956" s="91" t="s">
        <v>1663</v>
      </c>
      <c r="D1956" s="92" t="s">
        <v>1665</v>
      </c>
      <c r="E1956" s="93" t="s">
        <v>112</v>
      </c>
      <c r="F1956" s="93">
        <v>1.0493</v>
      </c>
      <c r="G1956" s="93">
        <v>16.58</v>
      </c>
      <c r="H1956" s="93">
        <v>17.39</v>
      </c>
      <c r="I1956" s="93">
        <v>5.2465</v>
      </c>
    </row>
    <row r="1957" spans="1:9">
      <c r="A1957" s="85" t="s">
        <v>2465</v>
      </c>
      <c r="B1957" s="86"/>
      <c r="C1957" s="86"/>
      <c r="D1957" s="87" t="s">
        <v>918</v>
      </c>
      <c r="E1957" s="88"/>
      <c r="F1957" s="89">
        <v>0</v>
      </c>
      <c r="G1957" s="89">
        <v>0</v>
      </c>
      <c r="H1957" s="89">
        <v>0</v>
      </c>
      <c r="I1957" s="89">
        <v>0</v>
      </c>
    </row>
    <row r="1958" spans="1:9">
      <c r="A1958" s="85" t="s">
        <v>2466</v>
      </c>
      <c r="B1958" s="85" t="s">
        <v>919</v>
      </c>
      <c r="C1958" s="85" t="s">
        <v>2467</v>
      </c>
      <c r="D1958" s="87" t="s">
        <v>920</v>
      </c>
      <c r="E1958" s="89" t="s">
        <v>466</v>
      </c>
      <c r="F1958" s="89">
        <v>2672.53</v>
      </c>
      <c r="G1958" s="89">
        <v>5.4</v>
      </c>
      <c r="H1958" s="89">
        <v>14431.66</v>
      </c>
      <c r="I1958" s="89">
        <v>2672.53</v>
      </c>
    </row>
    <row r="1959" spans="1:9">
      <c r="A1959" s="90"/>
      <c r="B1959" s="91" t="s">
        <v>1007</v>
      </c>
      <c r="C1959" s="91" t="s">
        <v>1048</v>
      </c>
      <c r="D1959" s="92" t="s">
        <v>1049</v>
      </c>
      <c r="E1959" s="93" t="s">
        <v>839</v>
      </c>
      <c r="F1959" s="93">
        <v>1</v>
      </c>
      <c r="G1959" s="93">
        <v>1.5</v>
      </c>
      <c r="H1959" s="93">
        <v>0.1005</v>
      </c>
      <c r="I1959" s="93">
        <v>2672.53</v>
      </c>
    </row>
    <row r="1960" spans="1:9">
      <c r="A1960" s="90"/>
      <c r="B1960" s="91" t="s">
        <v>1007</v>
      </c>
      <c r="C1960" s="91" t="s">
        <v>1006</v>
      </c>
      <c r="D1960" s="92" t="s">
        <v>1008</v>
      </c>
      <c r="E1960" s="93" t="s">
        <v>839</v>
      </c>
      <c r="F1960" s="93">
        <v>0.067</v>
      </c>
      <c r="G1960" s="93">
        <v>3.95</v>
      </c>
      <c r="H1960" s="93">
        <v>0.26465</v>
      </c>
      <c r="I1960" s="93">
        <v>179.05951</v>
      </c>
    </row>
    <row r="1961" spans="1:9">
      <c r="A1961" s="90"/>
      <c r="B1961" s="91" t="s">
        <v>1328</v>
      </c>
      <c r="C1961" s="91" t="s">
        <v>1327</v>
      </c>
      <c r="D1961" s="92" t="s">
        <v>1329</v>
      </c>
      <c r="E1961" s="93" t="s">
        <v>839</v>
      </c>
      <c r="F1961" s="93">
        <v>0.011257008</v>
      </c>
      <c r="G1961" s="93">
        <v>18.86</v>
      </c>
      <c r="H1961" s="93">
        <v>0.21230717088</v>
      </c>
      <c r="I1961" s="93">
        <v>30.08469159024</v>
      </c>
    </row>
    <row r="1962" spans="1:9">
      <c r="A1962" s="90"/>
      <c r="B1962" s="91" t="s">
        <v>1007</v>
      </c>
      <c r="C1962" s="91" t="s">
        <v>1378</v>
      </c>
      <c r="D1962" s="92" t="s">
        <v>1379</v>
      </c>
      <c r="E1962" s="93" t="s">
        <v>839</v>
      </c>
      <c r="F1962" s="93">
        <v>0.067</v>
      </c>
      <c r="G1962" s="93">
        <v>0.08</v>
      </c>
      <c r="H1962" s="93">
        <v>0.00536</v>
      </c>
      <c r="I1962" s="93">
        <v>179.05951</v>
      </c>
    </row>
    <row r="1963" spans="1:9">
      <c r="A1963" s="90"/>
      <c r="B1963" s="91" t="s">
        <v>1020</v>
      </c>
      <c r="C1963" s="91" t="s">
        <v>1019</v>
      </c>
      <c r="D1963" s="92" t="s">
        <v>1021</v>
      </c>
      <c r="E1963" s="93" t="s">
        <v>839</v>
      </c>
      <c r="F1963" s="93">
        <v>0.05698296</v>
      </c>
      <c r="G1963" s="93">
        <v>14.49</v>
      </c>
      <c r="H1963" s="93">
        <v>0.8256830904</v>
      </c>
      <c r="I1963" s="93">
        <v>152.2886700888</v>
      </c>
    </row>
    <row r="1964" ht="25.5" spans="1:9">
      <c r="A1964" s="90"/>
      <c r="B1964" s="91" t="s">
        <v>1111</v>
      </c>
      <c r="C1964" s="91" t="s">
        <v>1351</v>
      </c>
      <c r="D1964" s="92" t="s">
        <v>1352</v>
      </c>
      <c r="E1964" s="93" t="s">
        <v>839</v>
      </c>
      <c r="F1964" s="93">
        <v>0.0112</v>
      </c>
      <c r="G1964" s="93">
        <v>1.31</v>
      </c>
      <c r="H1964" s="93">
        <v>0.014672</v>
      </c>
      <c r="I1964" s="93">
        <v>29.932336</v>
      </c>
    </row>
    <row r="1965" ht="25.5" spans="1:9">
      <c r="A1965" s="90"/>
      <c r="B1965" s="91" t="s">
        <v>1111</v>
      </c>
      <c r="C1965" s="91" t="s">
        <v>1110</v>
      </c>
      <c r="D1965" s="92" t="s">
        <v>1112</v>
      </c>
      <c r="E1965" s="93" t="s">
        <v>839</v>
      </c>
      <c r="F1965" s="93">
        <v>0.0558</v>
      </c>
      <c r="G1965" s="93">
        <v>1.39</v>
      </c>
      <c r="H1965" s="93">
        <v>0.077562</v>
      </c>
      <c r="I1965" s="93">
        <v>149.127174</v>
      </c>
    </row>
    <row r="1966" spans="1:9">
      <c r="A1966" s="90"/>
      <c r="B1966" s="91" t="s">
        <v>1007</v>
      </c>
      <c r="C1966" s="91" t="s">
        <v>1050</v>
      </c>
      <c r="D1966" s="92" t="s">
        <v>1051</v>
      </c>
      <c r="E1966" s="93" t="s">
        <v>839</v>
      </c>
      <c r="F1966" s="93">
        <v>0.067</v>
      </c>
      <c r="G1966" s="93">
        <v>1.43</v>
      </c>
      <c r="H1966" s="93">
        <v>0.09581</v>
      </c>
      <c r="I1966" s="93">
        <v>179.05951</v>
      </c>
    </row>
    <row r="1967" ht="25.5" spans="1:9">
      <c r="A1967" s="90"/>
      <c r="B1967" s="91" t="s">
        <v>1111</v>
      </c>
      <c r="C1967" s="91" t="s">
        <v>1427</v>
      </c>
      <c r="D1967" s="92" t="s">
        <v>1428</v>
      </c>
      <c r="E1967" s="93" t="s">
        <v>839</v>
      </c>
      <c r="F1967" s="93">
        <v>0.0112</v>
      </c>
      <c r="G1967" s="93">
        <v>0.78</v>
      </c>
      <c r="H1967" s="93">
        <v>0.008736</v>
      </c>
      <c r="I1967" s="93">
        <v>29.932336</v>
      </c>
    </row>
    <row r="1968" ht="25.5" spans="1:9">
      <c r="A1968" s="90"/>
      <c r="B1968" s="91" t="s">
        <v>1111</v>
      </c>
      <c r="C1968" s="91" t="s">
        <v>1195</v>
      </c>
      <c r="D1968" s="92" t="s">
        <v>1196</v>
      </c>
      <c r="E1968" s="93" t="s">
        <v>839</v>
      </c>
      <c r="F1968" s="93">
        <v>0.0558</v>
      </c>
      <c r="G1968" s="93">
        <v>0.61</v>
      </c>
      <c r="H1968" s="93">
        <v>0.034038</v>
      </c>
      <c r="I1968" s="93">
        <v>149.127174</v>
      </c>
    </row>
    <row r="1969" spans="1:9">
      <c r="A1969" s="90"/>
      <c r="B1969" s="91" t="s">
        <v>1473</v>
      </c>
      <c r="C1969" s="91" t="s">
        <v>1472</v>
      </c>
      <c r="D1969" s="92" t="s">
        <v>1474</v>
      </c>
      <c r="E1969" s="93" t="s">
        <v>463</v>
      </c>
      <c r="F1969" s="93">
        <v>0.125</v>
      </c>
      <c r="G1969" s="93">
        <v>3.04</v>
      </c>
      <c r="H1969" s="93">
        <v>0.38</v>
      </c>
      <c r="I1969" s="93">
        <v>334.06625</v>
      </c>
    </row>
    <row r="1970" spans="1:9">
      <c r="A1970" s="90"/>
      <c r="B1970" s="91" t="s">
        <v>1181</v>
      </c>
      <c r="C1970" s="91" t="s">
        <v>1180</v>
      </c>
      <c r="D1970" s="92" t="s">
        <v>1182</v>
      </c>
      <c r="E1970" s="93" t="s">
        <v>463</v>
      </c>
      <c r="F1970" s="93">
        <v>2.6526</v>
      </c>
      <c r="G1970" s="93">
        <v>1.28</v>
      </c>
      <c r="H1970" s="93">
        <v>3.39</v>
      </c>
      <c r="I1970" s="93">
        <v>7089.153078</v>
      </c>
    </row>
    <row r="1971" spans="1:9">
      <c r="A1971" s="85" t="s">
        <v>2468</v>
      </c>
      <c r="B1971" s="85" t="s">
        <v>921</v>
      </c>
      <c r="C1971" s="85" t="s">
        <v>2469</v>
      </c>
      <c r="D1971" s="87" t="s">
        <v>922</v>
      </c>
      <c r="E1971" s="89" t="s">
        <v>476</v>
      </c>
      <c r="F1971" s="89">
        <v>174.71</v>
      </c>
      <c r="G1971" s="89">
        <v>1.86</v>
      </c>
      <c r="H1971" s="89">
        <v>324.96</v>
      </c>
      <c r="I1971" s="89">
        <v>174.71</v>
      </c>
    </row>
    <row r="1972" spans="1:9">
      <c r="A1972" s="90"/>
      <c r="B1972" s="91" t="s">
        <v>1007</v>
      </c>
      <c r="C1972" s="91" t="s">
        <v>1048</v>
      </c>
      <c r="D1972" s="92" t="s">
        <v>1049</v>
      </c>
      <c r="E1972" s="93" t="s">
        <v>839</v>
      </c>
      <c r="F1972" s="93">
        <v>1</v>
      </c>
      <c r="G1972" s="93">
        <v>1.5</v>
      </c>
      <c r="H1972" s="93">
        <v>0.01696734</v>
      </c>
      <c r="I1972" s="93">
        <v>174.71</v>
      </c>
    </row>
    <row r="1973" spans="1:9">
      <c r="A1973" s="90"/>
      <c r="B1973" s="91" t="s">
        <v>1605</v>
      </c>
      <c r="C1973" s="91" t="s">
        <v>1604</v>
      </c>
      <c r="D1973" s="92" t="s">
        <v>1606</v>
      </c>
      <c r="E1973" s="93" t="s">
        <v>494</v>
      </c>
      <c r="F1973" s="93">
        <v>1</v>
      </c>
      <c r="G1973" s="93">
        <v>1707216.73</v>
      </c>
      <c r="H1973" s="93">
        <v>0.96894369850296</v>
      </c>
      <c r="I1973" s="93">
        <v>174.71</v>
      </c>
    </row>
    <row r="1974" spans="1:9">
      <c r="A1974" s="90"/>
      <c r="B1974" s="91" t="s">
        <v>1007</v>
      </c>
      <c r="C1974" s="91" t="s">
        <v>1006</v>
      </c>
      <c r="D1974" s="92" t="s">
        <v>1008</v>
      </c>
      <c r="E1974" s="93" t="s">
        <v>839</v>
      </c>
      <c r="F1974" s="93">
        <v>0.01131156</v>
      </c>
      <c r="G1974" s="93">
        <v>3.95</v>
      </c>
      <c r="H1974" s="93">
        <v>0.044680662</v>
      </c>
      <c r="I1974" s="93">
        <v>1.9762426476</v>
      </c>
    </row>
    <row r="1975" spans="1:9">
      <c r="A1975" s="90"/>
      <c r="B1975" s="91" t="s">
        <v>1108</v>
      </c>
      <c r="C1975" s="91" t="s">
        <v>1107</v>
      </c>
      <c r="D1975" s="92" t="s">
        <v>1109</v>
      </c>
      <c r="E1975" s="93" t="s">
        <v>839</v>
      </c>
      <c r="F1975" s="93">
        <v>0.0057210477012</v>
      </c>
      <c r="G1975" s="93">
        <v>21.83</v>
      </c>
      <c r="H1975" s="93">
        <v>0.124890471317196</v>
      </c>
      <c r="I1975" s="93">
        <v>0.999524243876652</v>
      </c>
    </row>
    <row r="1976" spans="1:9">
      <c r="A1976" s="90"/>
      <c r="B1976" s="91" t="s">
        <v>1007</v>
      </c>
      <c r="C1976" s="91" t="s">
        <v>1378</v>
      </c>
      <c r="D1976" s="92" t="s">
        <v>1379</v>
      </c>
      <c r="E1976" s="93" t="s">
        <v>839</v>
      </c>
      <c r="F1976" s="93">
        <v>0.01131156</v>
      </c>
      <c r="G1976" s="93">
        <v>0.08</v>
      </c>
      <c r="H1976" s="93">
        <v>0.0009049248</v>
      </c>
      <c r="I1976" s="93">
        <v>1.9762426476</v>
      </c>
    </row>
    <row r="1977" spans="1:9">
      <c r="A1977" s="90"/>
      <c r="B1977" s="91" t="s">
        <v>1020</v>
      </c>
      <c r="C1977" s="91" t="s">
        <v>1019</v>
      </c>
      <c r="D1977" s="92" t="s">
        <v>1021</v>
      </c>
      <c r="E1977" s="93" t="s">
        <v>839</v>
      </c>
      <c r="F1977" s="93">
        <v>0.005775682536</v>
      </c>
      <c r="G1977" s="93">
        <v>14.49</v>
      </c>
      <c r="H1977" s="93">
        <v>0.08368963994664</v>
      </c>
      <c r="I1977" s="93">
        <v>1.00906949586456</v>
      </c>
    </row>
    <row r="1978" ht="25.5" spans="1:9">
      <c r="A1978" s="90"/>
      <c r="B1978" s="91" t="s">
        <v>1111</v>
      </c>
      <c r="C1978" s="91" t="s">
        <v>1287</v>
      </c>
      <c r="D1978" s="92" t="s">
        <v>1288</v>
      </c>
      <c r="E1978" s="93" t="s">
        <v>839</v>
      </c>
      <c r="F1978" s="93">
        <v>0.00565578</v>
      </c>
      <c r="G1978" s="93">
        <v>0.89</v>
      </c>
      <c r="H1978" s="93">
        <v>0.0050336442</v>
      </c>
      <c r="I1978" s="93">
        <v>0.9881213238</v>
      </c>
    </row>
    <row r="1979" ht="25.5" spans="1:9">
      <c r="A1979" s="90"/>
      <c r="B1979" s="91" t="s">
        <v>1111</v>
      </c>
      <c r="C1979" s="91" t="s">
        <v>1110</v>
      </c>
      <c r="D1979" s="92" t="s">
        <v>1112</v>
      </c>
      <c r="E1979" s="93" t="s">
        <v>839</v>
      </c>
      <c r="F1979" s="93">
        <v>0.00565578</v>
      </c>
      <c r="G1979" s="93">
        <v>1.39</v>
      </c>
      <c r="H1979" s="93">
        <v>0.0078615342</v>
      </c>
      <c r="I1979" s="93">
        <v>0.9881213238</v>
      </c>
    </row>
    <row r="1980" spans="1:9">
      <c r="A1980" s="90"/>
      <c r="B1980" s="91" t="s">
        <v>1007</v>
      </c>
      <c r="C1980" s="91" t="s">
        <v>1050</v>
      </c>
      <c r="D1980" s="92" t="s">
        <v>1051</v>
      </c>
      <c r="E1980" s="93" t="s">
        <v>839</v>
      </c>
      <c r="F1980" s="93">
        <v>0.01131156</v>
      </c>
      <c r="G1980" s="93">
        <v>1.43</v>
      </c>
      <c r="H1980" s="93">
        <v>0.0161755308</v>
      </c>
      <c r="I1980" s="93">
        <v>1.9762426476</v>
      </c>
    </row>
    <row r="1981" ht="25.5" spans="1:9">
      <c r="A1981" s="90"/>
      <c r="B1981" s="91" t="s">
        <v>1111</v>
      </c>
      <c r="C1981" s="91" t="s">
        <v>1707</v>
      </c>
      <c r="D1981" s="92" t="s">
        <v>1708</v>
      </c>
      <c r="E1981" s="93" t="s">
        <v>839</v>
      </c>
      <c r="F1981" s="93">
        <v>0.00565578</v>
      </c>
      <c r="G1981" s="93">
        <v>0.01</v>
      </c>
      <c r="H1981" s="93">
        <v>5.65578e-5</v>
      </c>
      <c r="I1981" s="93">
        <v>0.9881213238</v>
      </c>
    </row>
    <row r="1982" ht="25.5" spans="1:9">
      <c r="A1982" s="90"/>
      <c r="B1982" s="91" t="s">
        <v>1111</v>
      </c>
      <c r="C1982" s="91" t="s">
        <v>1195</v>
      </c>
      <c r="D1982" s="92" t="s">
        <v>1196</v>
      </c>
      <c r="E1982" s="93" t="s">
        <v>839</v>
      </c>
      <c r="F1982" s="93">
        <v>0.00565578</v>
      </c>
      <c r="G1982" s="93">
        <v>0.61</v>
      </c>
      <c r="H1982" s="93">
        <v>0.0034500258</v>
      </c>
      <c r="I1982" s="93">
        <v>0.9881213238</v>
      </c>
    </row>
    <row r="1983" spans="1:9">
      <c r="A1983" s="90"/>
      <c r="B1983" s="91" t="s">
        <v>985</v>
      </c>
      <c r="C1983" s="91" t="s">
        <v>984</v>
      </c>
      <c r="D1983" s="92" t="s">
        <v>986</v>
      </c>
      <c r="E1983" s="93" t="s">
        <v>215</v>
      </c>
      <c r="F1983" s="93">
        <v>0.1005597684</v>
      </c>
      <c r="G1983" s="93">
        <v>5.93</v>
      </c>
      <c r="H1983" s="93">
        <v>0.596319426612</v>
      </c>
      <c r="I1983" s="93">
        <v>17.568797137164</v>
      </c>
    </row>
    <row r="1984" ht="76.5" spans="1:9">
      <c r="A1984" s="85" t="s">
        <v>2470</v>
      </c>
      <c r="B1984" s="85" t="s">
        <v>579</v>
      </c>
      <c r="C1984" s="85" t="s">
        <v>2471</v>
      </c>
      <c r="D1984" s="87" t="s">
        <v>580</v>
      </c>
      <c r="E1984" s="89" t="s">
        <v>494</v>
      </c>
      <c r="F1984" s="89">
        <v>1</v>
      </c>
      <c r="G1984" s="89">
        <v>875.89</v>
      </c>
      <c r="H1984" s="89">
        <v>875.89</v>
      </c>
      <c r="I1984" s="89">
        <v>1</v>
      </c>
    </row>
    <row r="1985" ht="25.5" spans="1:9">
      <c r="A1985" s="90"/>
      <c r="B1985" s="91" t="s">
        <v>1776</v>
      </c>
      <c r="C1985" s="91" t="s">
        <v>1775</v>
      </c>
      <c r="D1985" s="92" t="s">
        <v>1777</v>
      </c>
      <c r="E1985" s="93" t="s">
        <v>494</v>
      </c>
      <c r="F1985" s="93">
        <v>1</v>
      </c>
      <c r="G1985" s="93">
        <v>5000</v>
      </c>
      <c r="H1985" s="93">
        <v>0.0669751404</v>
      </c>
      <c r="I1985" s="93">
        <v>1</v>
      </c>
    </row>
    <row r="1986" ht="25.5" spans="1:9">
      <c r="A1986" s="90"/>
      <c r="B1986" s="91" t="s">
        <v>1734</v>
      </c>
      <c r="C1986" s="91" t="s">
        <v>1733</v>
      </c>
      <c r="D1986" s="92" t="s">
        <v>1735</v>
      </c>
      <c r="E1986" s="93" t="s">
        <v>494</v>
      </c>
      <c r="F1986" s="93">
        <v>1</v>
      </c>
      <c r="G1986" s="93">
        <v>506818.4</v>
      </c>
      <c r="H1986" s="93">
        <v>0.0948149096846406</v>
      </c>
      <c r="I1986" s="93">
        <v>1</v>
      </c>
    </row>
    <row r="1987" ht="25.5" spans="1:9">
      <c r="A1987" s="90"/>
      <c r="B1987" s="91" t="s">
        <v>1734</v>
      </c>
      <c r="C1987" s="91" t="s">
        <v>1867</v>
      </c>
      <c r="D1987" s="92" t="s">
        <v>1868</v>
      </c>
      <c r="E1987" s="93" t="s">
        <v>494</v>
      </c>
      <c r="F1987" s="93">
        <v>1</v>
      </c>
      <c r="G1987" s="93">
        <v>523066.43</v>
      </c>
      <c r="H1987" s="93">
        <v>0.376458507195727</v>
      </c>
      <c r="I1987" s="93">
        <v>1</v>
      </c>
    </row>
    <row r="1988" ht="25.5" spans="1:9">
      <c r="A1988" s="90"/>
      <c r="B1988" s="91" t="s">
        <v>1734</v>
      </c>
      <c r="C1988" s="91" t="s">
        <v>1854</v>
      </c>
      <c r="D1988" s="92" t="s">
        <v>1855</v>
      </c>
      <c r="E1988" s="93" t="s">
        <v>494</v>
      </c>
      <c r="F1988" s="93">
        <v>1</v>
      </c>
      <c r="G1988" s="93">
        <v>570622.72</v>
      </c>
      <c r="H1988" s="93">
        <v>0.611834146293534</v>
      </c>
      <c r="I1988" s="93">
        <v>1</v>
      </c>
    </row>
    <row r="1989" ht="38.25" spans="1:9">
      <c r="A1989" s="90"/>
      <c r="B1989" s="91" t="s">
        <v>1002</v>
      </c>
      <c r="C1989" s="91" t="s">
        <v>1068</v>
      </c>
      <c r="D1989" s="92" t="s">
        <v>1069</v>
      </c>
      <c r="E1989" s="93" t="s">
        <v>494</v>
      </c>
      <c r="F1989" s="93">
        <v>1</v>
      </c>
      <c r="G1989" s="93">
        <v>569580.71</v>
      </c>
      <c r="H1989" s="93">
        <v>1.31032725832352</v>
      </c>
      <c r="I1989" s="93">
        <v>1</v>
      </c>
    </row>
    <row r="1990" ht="51" spans="1:9">
      <c r="A1990" s="90"/>
      <c r="B1990" s="91" t="s">
        <v>1779</v>
      </c>
      <c r="C1990" s="91" t="s">
        <v>1778</v>
      </c>
      <c r="D1990" s="92" t="s">
        <v>1780</v>
      </c>
      <c r="E1990" s="93" t="s">
        <v>494</v>
      </c>
      <c r="F1990" s="93">
        <v>1</v>
      </c>
      <c r="G1990" s="93">
        <v>10731.19</v>
      </c>
      <c r="H1990" s="93">
        <v>0.0019234739485136</v>
      </c>
      <c r="I1990" s="93">
        <v>1</v>
      </c>
    </row>
    <row r="1991" ht="25.5" spans="1:9">
      <c r="A1991" s="90"/>
      <c r="B1991" s="91" t="s">
        <v>1421</v>
      </c>
      <c r="C1991" s="91" t="s">
        <v>1420</v>
      </c>
      <c r="D1991" s="92" t="s">
        <v>1422</v>
      </c>
      <c r="E1991" s="93" t="s">
        <v>494</v>
      </c>
      <c r="F1991" s="93">
        <v>1</v>
      </c>
      <c r="G1991" s="93">
        <v>15839.74</v>
      </c>
      <c r="H1991" s="93">
        <v>0.00332033668966944</v>
      </c>
      <c r="I1991" s="93">
        <v>1</v>
      </c>
    </row>
    <row r="1992" spans="1:9">
      <c r="A1992" s="90"/>
      <c r="B1992" s="91" t="s">
        <v>1734</v>
      </c>
      <c r="C1992" s="91" t="s">
        <v>1886</v>
      </c>
      <c r="D1992" s="92" t="s">
        <v>1887</v>
      </c>
      <c r="E1992" s="93" t="s">
        <v>494</v>
      </c>
      <c r="F1992" s="93">
        <v>1</v>
      </c>
      <c r="G1992" s="93">
        <v>220660</v>
      </c>
      <c r="H1992" s="93">
        <v>0.185940891934203</v>
      </c>
      <c r="I1992" s="93">
        <v>1</v>
      </c>
    </row>
    <row r="1993" spans="1:9">
      <c r="A1993" s="90"/>
      <c r="B1993" s="91" t="s">
        <v>1007</v>
      </c>
      <c r="C1993" s="91" t="s">
        <v>1048</v>
      </c>
      <c r="D1993" s="92" t="s">
        <v>1049</v>
      </c>
      <c r="E1993" s="93" t="s">
        <v>839</v>
      </c>
      <c r="F1993" s="93">
        <v>1</v>
      </c>
      <c r="G1993" s="93">
        <v>1.5</v>
      </c>
      <c r="H1993" s="93">
        <v>27.6442276926</v>
      </c>
      <c r="I1993" s="93">
        <v>1</v>
      </c>
    </row>
    <row r="1994" spans="1:9">
      <c r="A1994" s="90"/>
      <c r="B1994" s="91" t="s">
        <v>1020</v>
      </c>
      <c r="C1994" s="91" t="s">
        <v>1432</v>
      </c>
      <c r="D1994" s="92" t="s">
        <v>1433</v>
      </c>
      <c r="E1994" s="93" t="s">
        <v>839</v>
      </c>
      <c r="F1994" s="93">
        <v>0.42498963349416</v>
      </c>
      <c r="G1994" s="93">
        <v>15.35</v>
      </c>
      <c r="H1994" s="93">
        <v>6.52359087413536</v>
      </c>
      <c r="I1994" s="93">
        <v>0.42498963349416</v>
      </c>
    </row>
    <row r="1995" spans="1:9">
      <c r="A1995" s="90"/>
      <c r="B1995" s="91" t="s">
        <v>1007</v>
      </c>
      <c r="C1995" s="91" t="s">
        <v>1006</v>
      </c>
      <c r="D1995" s="92" t="s">
        <v>1008</v>
      </c>
      <c r="E1995" s="93" t="s">
        <v>839</v>
      </c>
      <c r="F1995" s="93">
        <v>18.4294851284</v>
      </c>
      <c r="G1995" s="93">
        <v>3.95</v>
      </c>
      <c r="H1995" s="93">
        <v>72.79646625718</v>
      </c>
      <c r="I1995" s="93">
        <v>18.4294851284</v>
      </c>
    </row>
    <row r="1996" spans="1:9">
      <c r="A1996" s="90"/>
      <c r="B1996" s="91" t="s">
        <v>1150</v>
      </c>
      <c r="C1996" s="91" t="s">
        <v>1149</v>
      </c>
      <c r="D1996" s="92" t="s">
        <v>1151</v>
      </c>
      <c r="E1996" s="93" t="s">
        <v>839</v>
      </c>
      <c r="F1996" s="93">
        <v>2.60105726154384</v>
      </c>
      <c r="G1996" s="93">
        <v>21.83</v>
      </c>
      <c r="H1996" s="93">
        <v>56.781080019502</v>
      </c>
      <c r="I1996" s="93">
        <v>2.60105726154384</v>
      </c>
    </row>
    <row r="1997" spans="1:9">
      <c r="A1997" s="90"/>
      <c r="B1997" s="91" t="s">
        <v>1020</v>
      </c>
      <c r="C1997" s="91" t="s">
        <v>1094</v>
      </c>
      <c r="D1997" s="92" t="s">
        <v>1095</v>
      </c>
      <c r="E1997" s="93" t="s">
        <v>839</v>
      </c>
      <c r="F1997" s="93">
        <v>2.976731079936</v>
      </c>
      <c r="G1997" s="93">
        <v>15.35</v>
      </c>
      <c r="H1997" s="93">
        <v>45.6928220770176</v>
      </c>
      <c r="I1997" s="93">
        <v>2.976731079936</v>
      </c>
    </row>
    <row r="1998" spans="1:9">
      <c r="A1998" s="90"/>
      <c r="B1998" s="91" t="s">
        <v>993</v>
      </c>
      <c r="C1998" s="91" t="s">
        <v>992</v>
      </c>
      <c r="D1998" s="92" t="s">
        <v>994</v>
      </c>
      <c r="E1998" s="93" t="s">
        <v>839</v>
      </c>
      <c r="F1998" s="93">
        <v>4.116718556544</v>
      </c>
      <c r="G1998" s="93">
        <v>21.83</v>
      </c>
      <c r="H1998" s="93">
        <v>89.8679660893555</v>
      </c>
      <c r="I1998" s="93">
        <v>4.116718556544</v>
      </c>
    </row>
    <row r="1999" spans="1:9">
      <c r="A1999" s="90"/>
      <c r="B1999" s="91" t="s">
        <v>1023</v>
      </c>
      <c r="C1999" s="91" t="s">
        <v>1436</v>
      </c>
      <c r="D1999" s="92" t="s">
        <v>1437</v>
      </c>
      <c r="E1999" s="93" t="s">
        <v>839</v>
      </c>
      <c r="F1999" s="93">
        <v>0.033346451771511</v>
      </c>
      <c r="G1999" s="93">
        <v>21.83</v>
      </c>
      <c r="H1999" s="93">
        <v>0.727953042172085</v>
      </c>
      <c r="I1999" s="93">
        <v>0.033346451771511</v>
      </c>
    </row>
    <row r="2000" spans="1:9">
      <c r="A2000" s="90"/>
      <c r="B2000" s="91" t="s">
        <v>1023</v>
      </c>
      <c r="C2000" s="91" t="s">
        <v>1739</v>
      </c>
      <c r="D2000" s="92" t="s">
        <v>1740</v>
      </c>
      <c r="E2000" s="93" t="s">
        <v>839</v>
      </c>
      <c r="F2000" s="93">
        <v>0.006114258066969</v>
      </c>
      <c r="G2000" s="93">
        <v>27.14</v>
      </c>
      <c r="H2000" s="93">
        <v>0.165940963937539</v>
      </c>
      <c r="I2000" s="93">
        <v>0.006114258066969</v>
      </c>
    </row>
    <row r="2001" spans="1:9">
      <c r="A2001" s="90"/>
      <c r="B2001" s="91" t="s">
        <v>1506</v>
      </c>
      <c r="C2001" s="91" t="s">
        <v>1505</v>
      </c>
      <c r="D2001" s="92" t="s">
        <v>1507</v>
      </c>
      <c r="E2001" s="93" t="s">
        <v>839</v>
      </c>
      <c r="F2001" s="93">
        <v>0.0907684191085</v>
      </c>
      <c r="G2001" s="93">
        <v>18</v>
      </c>
      <c r="H2001" s="93">
        <v>1.633831543953</v>
      </c>
      <c r="I2001" s="93">
        <v>0.0907684191085</v>
      </c>
    </row>
    <row r="2002" spans="1:9">
      <c r="A2002" s="90"/>
      <c r="B2002" s="91" t="s">
        <v>1108</v>
      </c>
      <c r="C2002" s="91" t="s">
        <v>1127</v>
      </c>
      <c r="D2002" s="92" t="s">
        <v>1128</v>
      </c>
      <c r="E2002" s="93" t="s">
        <v>839</v>
      </c>
      <c r="F2002" s="93">
        <v>0.024276731493114</v>
      </c>
      <c r="G2002" s="93">
        <v>18</v>
      </c>
      <c r="H2002" s="93">
        <v>0.436981166876052</v>
      </c>
      <c r="I2002" s="93">
        <v>0.024276731493114</v>
      </c>
    </row>
    <row r="2003" spans="1:9">
      <c r="A2003" s="90"/>
      <c r="B2003" s="91" t="s">
        <v>1090</v>
      </c>
      <c r="C2003" s="91" t="s">
        <v>1089</v>
      </c>
      <c r="D2003" s="92" t="s">
        <v>1091</v>
      </c>
      <c r="E2003" s="93" t="s">
        <v>839</v>
      </c>
      <c r="F2003" s="93">
        <v>2.11749230808</v>
      </c>
      <c r="G2003" s="93">
        <v>21.83</v>
      </c>
      <c r="H2003" s="93">
        <v>46.2248570853864</v>
      </c>
      <c r="I2003" s="93">
        <v>2.11749230808</v>
      </c>
    </row>
    <row r="2004" spans="1:9">
      <c r="A2004" s="90"/>
      <c r="B2004" s="91" t="s">
        <v>1007</v>
      </c>
      <c r="C2004" s="91" t="s">
        <v>1378</v>
      </c>
      <c r="D2004" s="92" t="s">
        <v>1379</v>
      </c>
      <c r="E2004" s="93" t="s">
        <v>839</v>
      </c>
      <c r="F2004" s="93">
        <v>18.4294851284</v>
      </c>
      <c r="G2004" s="93">
        <v>0.08</v>
      </c>
      <c r="H2004" s="93">
        <v>1.474358810272</v>
      </c>
      <c r="I2004" s="93">
        <v>18.4294851284</v>
      </c>
    </row>
    <row r="2005" spans="1:9">
      <c r="A2005" s="90"/>
      <c r="B2005" s="91" t="s">
        <v>1020</v>
      </c>
      <c r="C2005" s="91" t="s">
        <v>1019</v>
      </c>
      <c r="D2005" s="92" t="s">
        <v>1021</v>
      </c>
      <c r="E2005" s="93" t="s">
        <v>839</v>
      </c>
      <c r="F2005" s="93">
        <v>6.33956755954476</v>
      </c>
      <c r="G2005" s="93">
        <v>14.49</v>
      </c>
      <c r="H2005" s="93">
        <v>91.8603339378036</v>
      </c>
      <c r="I2005" s="93">
        <v>6.33956755954476</v>
      </c>
    </row>
    <row r="2006" spans="1:9">
      <c r="A2006" s="90"/>
      <c r="B2006" s="91" t="s">
        <v>1056</v>
      </c>
      <c r="C2006" s="91" t="s">
        <v>1055</v>
      </c>
      <c r="D2006" s="92" t="s">
        <v>1057</v>
      </c>
      <c r="E2006" s="93" t="s">
        <v>463</v>
      </c>
      <c r="F2006" s="93">
        <v>6.327</v>
      </c>
      <c r="G2006" s="93">
        <v>9.25</v>
      </c>
      <c r="H2006" s="93">
        <v>58.52475</v>
      </c>
      <c r="I2006" s="93">
        <v>6.327</v>
      </c>
    </row>
    <row r="2007" spans="1:9">
      <c r="A2007" s="90"/>
      <c r="B2007" s="91" t="s">
        <v>1158</v>
      </c>
      <c r="C2007" s="91" t="s">
        <v>1380</v>
      </c>
      <c r="D2007" s="92" t="s">
        <v>1381</v>
      </c>
      <c r="E2007" s="93" t="s">
        <v>463</v>
      </c>
      <c r="F2007" s="93">
        <v>8.0888148</v>
      </c>
      <c r="G2007" s="93">
        <v>8.25</v>
      </c>
      <c r="H2007" s="93">
        <v>66.7327221</v>
      </c>
      <c r="I2007" s="93">
        <v>8.0888148</v>
      </c>
    </row>
    <row r="2008" ht="25.5" spans="1:9">
      <c r="A2008" s="90"/>
      <c r="B2008" s="91" t="s">
        <v>1123</v>
      </c>
      <c r="C2008" s="91" t="s">
        <v>1361</v>
      </c>
      <c r="D2008" s="92" t="s">
        <v>1362</v>
      </c>
      <c r="E2008" s="93" t="s">
        <v>463</v>
      </c>
      <c r="F2008" s="93">
        <v>0.331491</v>
      </c>
      <c r="G2008" s="93">
        <v>19.38</v>
      </c>
      <c r="H2008" s="93">
        <v>6.42429558</v>
      </c>
      <c r="I2008" s="93">
        <v>0.331491</v>
      </c>
    </row>
    <row r="2009" ht="25.5" spans="1:9">
      <c r="A2009" s="90"/>
      <c r="B2009" s="91" t="s">
        <v>1519</v>
      </c>
      <c r="C2009" s="91" t="s">
        <v>1518</v>
      </c>
      <c r="D2009" s="92" t="s">
        <v>1520</v>
      </c>
      <c r="E2009" s="93" t="s">
        <v>476</v>
      </c>
      <c r="F2009" s="93">
        <v>0.233060124</v>
      </c>
      <c r="G2009" s="93">
        <v>207.68</v>
      </c>
      <c r="H2009" s="93">
        <v>48.40192655232</v>
      </c>
      <c r="I2009" s="93">
        <v>0.233060124</v>
      </c>
    </row>
    <row r="2010" ht="25.5" spans="1:9">
      <c r="A2010" s="90"/>
      <c r="B2010" s="91" t="s">
        <v>1010</v>
      </c>
      <c r="C2010" s="91" t="s">
        <v>1009</v>
      </c>
      <c r="D2010" s="92" t="s">
        <v>1011</v>
      </c>
      <c r="E2010" s="93" t="s">
        <v>476</v>
      </c>
      <c r="F2010" s="93">
        <v>0.000625</v>
      </c>
      <c r="G2010" s="93">
        <v>205</v>
      </c>
      <c r="H2010" s="93">
        <v>0.128125</v>
      </c>
      <c r="I2010" s="93">
        <v>0.000625</v>
      </c>
    </row>
    <row r="2011" spans="1:9">
      <c r="A2011" s="90"/>
      <c r="B2011" s="91" t="s">
        <v>1734</v>
      </c>
      <c r="C2011" s="91" t="s">
        <v>1806</v>
      </c>
      <c r="D2011" s="92" t="s">
        <v>1807</v>
      </c>
      <c r="E2011" s="93" t="s">
        <v>494</v>
      </c>
      <c r="F2011" s="93">
        <v>2.5235778342e-7</v>
      </c>
      <c r="G2011" s="93">
        <v>72035.46</v>
      </c>
      <c r="H2011" s="93">
        <v>0.0181787090132401</v>
      </c>
      <c r="I2011" s="93">
        <v>2.5235778342e-7</v>
      </c>
    </row>
    <row r="2012" spans="1:9">
      <c r="A2012" s="90"/>
      <c r="B2012" s="91" t="s">
        <v>1734</v>
      </c>
      <c r="C2012" s="91" t="s">
        <v>1894</v>
      </c>
      <c r="D2012" s="92" t="s">
        <v>1895</v>
      </c>
      <c r="E2012" s="93" t="s">
        <v>494</v>
      </c>
      <c r="F2012" s="93">
        <v>1.288805343501e-6</v>
      </c>
      <c r="G2012" s="93">
        <v>47943.4</v>
      </c>
      <c r="H2012" s="93">
        <v>0.0617897101056058</v>
      </c>
      <c r="I2012" s="93">
        <v>1.288805343501e-6</v>
      </c>
    </row>
    <row r="2013" spans="1:9">
      <c r="A2013" s="90"/>
      <c r="B2013" s="91" t="s">
        <v>1734</v>
      </c>
      <c r="C2013" s="91" t="s">
        <v>1909</v>
      </c>
      <c r="D2013" s="92" t="s">
        <v>1910</v>
      </c>
      <c r="E2013" s="93" t="s">
        <v>494</v>
      </c>
      <c r="F2013" s="93">
        <v>8.40528745797e-7</v>
      </c>
      <c r="G2013" s="93">
        <v>28585</v>
      </c>
      <c r="H2013" s="93">
        <v>0.0240265141986072</v>
      </c>
      <c r="I2013" s="93">
        <v>8.40528745797e-7</v>
      </c>
    </row>
    <row r="2014" ht="38.25" spans="1:9">
      <c r="A2014" s="90"/>
      <c r="B2014" s="91" t="s">
        <v>1002</v>
      </c>
      <c r="C2014" s="91" t="s">
        <v>1869</v>
      </c>
      <c r="D2014" s="92" t="s">
        <v>1870</v>
      </c>
      <c r="E2014" s="93" t="s">
        <v>494</v>
      </c>
      <c r="F2014" s="93">
        <v>2.803749e-6</v>
      </c>
      <c r="G2014" s="93">
        <v>32227.1</v>
      </c>
      <c r="H2014" s="93">
        <v>0.0903566993979</v>
      </c>
      <c r="I2014" s="93">
        <v>2.803749e-6</v>
      </c>
    </row>
    <row r="2015" ht="25.5" spans="1:9">
      <c r="A2015" s="90"/>
      <c r="B2015" s="91" t="s">
        <v>1498</v>
      </c>
      <c r="C2015" s="91" t="s">
        <v>1497</v>
      </c>
      <c r="D2015" s="92" t="s">
        <v>1499</v>
      </c>
      <c r="E2015" s="93" t="s">
        <v>466</v>
      </c>
      <c r="F2015" s="93">
        <v>0.07116</v>
      </c>
      <c r="G2015" s="93">
        <v>38.04</v>
      </c>
      <c r="H2015" s="93">
        <v>2.7069264</v>
      </c>
      <c r="I2015" s="93">
        <v>0.07116</v>
      </c>
    </row>
    <row r="2016" ht="25.5" spans="1:9">
      <c r="A2016" s="90"/>
      <c r="B2016" s="91" t="s">
        <v>1385</v>
      </c>
      <c r="C2016" s="91" t="s">
        <v>1384</v>
      </c>
      <c r="D2016" s="92" t="s">
        <v>1386</v>
      </c>
      <c r="E2016" s="93" t="s">
        <v>466</v>
      </c>
      <c r="F2016" s="93">
        <v>0.22440463494752</v>
      </c>
      <c r="G2016" s="93">
        <v>23.97</v>
      </c>
      <c r="H2016" s="93">
        <v>5.37897909969205</v>
      </c>
      <c r="I2016" s="93">
        <v>0.22440463494752</v>
      </c>
    </row>
    <row r="2017" spans="1:9">
      <c r="A2017" s="90"/>
      <c r="B2017" s="91" t="s">
        <v>1272</v>
      </c>
      <c r="C2017" s="91" t="s">
        <v>1271</v>
      </c>
      <c r="D2017" s="92" t="s">
        <v>1273</v>
      </c>
      <c r="E2017" s="93" t="s">
        <v>463</v>
      </c>
      <c r="F2017" s="93">
        <v>74.524139</v>
      </c>
      <c r="G2017" s="93">
        <v>0.65</v>
      </c>
      <c r="H2017" s="93">
        <v>48.44069035</v>
      </c>
      <c r="I2017" s="93">
        <v>74.524139</v>
      </c>
    </row>
    <row r="2018" ht="25.5" spans="1:9">
      <c r="A2018" s="90"/>
      <c r="B2018" s="91" t="s">
        <v>1586</v>
      </c>
      <c r="C2018" s="91" t="s">
        <v>1585</v>
      </c>
      <c r="D2018" s="92" t="s">
        <v>1587</v>
      </c>
      <c r="E2018" s="93" t="s">
        <v>215</v>
      </c>
      <c r="F2018" s="93">
        <v>0.2108756</v>
      </c>
      <c r="G2018" s="93">
        <v>7.16</v>
      </c>
      <c r="H2018" s="93">
        <v>1.509869296</v>
      </c>
      <c r="I2018" s="93">
        <v>0.2108756</v>
      </c>
    </row>
    <row r="2019" spans="1:9">
      <c r="A2019" s="90"/>
      <c r="B2019" s="91" t="s">
        <v>1693</v>
      </c>
      <c r="C2019" s="91" t="s">
        <v>1692</v>
      </c>
      <c r="D2019" s="92" t="s">
        <v>1694</v>
      </c>
      <c r="E2019" s="93" t="s">
        <v>1695</v>
      </c>
      <c r="F2019" s="93">
        <v>0.1301430895</v>
      </c>
      <c r="G2019" s="93">
        <v>0.72</v>
      </c>
      <c r="H2019" s="93">
        <v>0.09370302444</v>
      </c>
      <c r="I2019" s="93">
        <v>0.1301430895</v>
      </c>
    </row>
    <row r="2020" ht="25.5" spans="1:9">
      <c r="A2020" s="90"/>
      <c r="B2020" s="91" t="s">
        <v>1111</v>
      </c>
      <c r="C2020" s="91" t="s">
        <v>1174</v>
      </c>
      <c r="D2020" s="92" t="s">
        <v>1175</v>
      </c>
      <c r="E2020" s="93" t="s">
        <v>839</v>
      </c>
      <c r="F2020" s="93">
        <v>7.0031872</v>
      </c>
      <c r="G2020" s="93">
        <v>1.43</v>
      </c>
      <c r="H2020" s="93">
        <v>10.014557696</v>
      </c>
      <c r="I2020" s="93">
        <v>7.0031872</v>
      </c>
    </row>
    <row r="2021" ht="25.5" spans="1:9">
      <c r="A2021" s="90"/>
      <c r="B2021" s="91" t="s">
        <v>1111</v>
      </c>
      <c r="C2021" s="91" t="s">
        <v>1287</v>
      </c>
      <c r="D2021" s="92" t="s">
        <v>1288</v>
      </c>
      <c r="E2021" s="93" t="s">
        <v>839</v>
      </c>
      <c r="F2021" s="93">
        <v>0.1532809961</v>
      </c>
      <c r="G2021" s="93">
        <v>0.89</v>
      </c>
      <c r="H2021" s="93">
        <v>0.136420086529</v>
      </c>
      <c r="I2021" s="93">
        <v>0.1532809961</v>
      </c>
    </row>
    <row r="2022" ht="25.5" spans="1:9">
      <c r="A2022" s="90"/>
      <c r="B2022" s="91" t="s">
        <v>1111</v>
      </c>
      <c r="C2022" s="91" t="s">
        <v>1351</v>
      </c>
      <c r="D2022" s="92" t="s">
        <v>1352</v>
      </c>
      <c r="E2022" s="93" t="s">
        <v>839</v>
      </c>
      <c r="F2022" s="93">
        <v>5.0650581</v>
      </c>
      <c r="G2022" s="93">
        <v>1.31</v>
      </c>
      <c r="H2022" s="93">
        <v>6.635226111</v>
      </c>
      <c r="I2022" s="93">
        <v>5.0650581</v>
      </c>
    </row>
    <row r="2023" ht="25.5" spans="1:9">
      <c r="A2023" s="90"/>
      <c r="B2023" s="91" t="s">
        <v>1111</v>
      </c>
      <c r="C2023" s="91" t="s">
        <v>1110</v>
      </c>
      <c r="D2023" s="92" t="s">
        <v>1112</v>
      </c>
      <c r="E2023" s="93" t="s">
        <v>839</v>
      </c>
      <c r="F2023" s="93">
        <v>6.2079588323</v>
      </c>
      <c r="G2023" s="93">
        <v>1.39</v>
      </c>
      <c r="H2023" s="93">
        <v>8.629062776897</v>
      </c>
      <c r="I2023" s="93">
        <v>6.2079588323</v>
      </c>
    </row>
    <row r="2024" ht="25.5" spans="1:9">
      <c r="A2024" s="90"/>
      <c r="B2024" s="91" t="s">
        <v>1490</v>
      </c>
      <c r="C2024" s="91" t="s">
        <v>1489</v>
      </c>
      <c r="D2024" s="92" t="s">
        <v>1491</v>
      </c>
      <c r="E2024" s="93" t="s">
        <v>494</v>
      </c>
      <c r="F2024" s="93">
        <v>13.2310716</v>
      </c>
      <c r="G2024" s="93">
        <v>0.22</v>
      </c>
      <c r="H2024" s="93">
        <v>2.910835752</v>
      </c>
      <c r="I2024" s="93">
        <v>13.2310716</v>
      </c>
    </row>
    <row r="2025" spans="1:9">
      <c r="A2025" s="90"/>
      <c r="B2025" s="91" t="s">
        <v>1007</v>
      </c>
      <c r="C2025" s="91" t="s">
        <v>1050</v>
      </c>
      <c r="D2025" s="92" t="s">
        <v>1051</v>
      </c>
      <c r="E2025" s="93" t="s">
        <v>839</v>
      </c>
      <c r="F2025" s="93">
        <v>18.4294851284</v>
      </c>
      <c r="G2025" s="93">
        <v>1.43</v>
      </c>
      <c r="H2025" s="93">
        <v>26.354163733612</v>
      </c>
      <c r="I2025" s="93">
        <v>18.4294851284</v>
      </c>
    </row>
    <row r="2026" ht="25.5" spans="1:9">
      <c r="A2026" s="90"/>
      <c r="B2026" s="91" t="s">
        <v>1111</v>
      </c>
      <c r="C2026" s="91" t="s">
        <v>1310</v>
      </c>
      <c r="D2026" s="92" t="s">
        <v>1311</v>
      </c>
      <c r="E2026" s="93" t="s">
        <v>839</v>
      </c>
      <c r="F2026" s="93">
        <v>7.0031872</v>
      </c>
      <c r="G2026" s="93">
        <v>0.44</v>
      </c>
      <c r="H2026" s="93">
        <v>3.081402368</v>
      </c>
      <c r="I2026" s="93">
        <v>7.0031872</v>
      </c>
    </row>
    <row r="2027" ht="25.5" spans="1:9">
      <c r="A2027" s="90"/>
      <c r="B2027" s="91" t="s">
        <v>1111</v>
      </c>
      <c r="C2027" s="91" t="s">
        <v>1707</v>
      </c>
      <c r="D2027" s="92" t="s">
        <v>1708</v>
      </c>
      <c r="E2027" s="93" t="s">
        <v>839</v>
      </c>
      <c r="F2027" s="93">
        <v>0.1532809961</v>
      </c>
      <c r="G2027" s="93">
        <v>0.01</v>
      </c>
      <c r="H2027" s="93">
        <v>0.001532809961</v>
      </c>
      <c r="I2027" s="93">
        <v>0.1532809961</v>
      </c>
    </row>
    <row r="2028" ht="25.5" spans="1:9">
      <c r="A2028" s="90"/>
      <c r="B2028" s="91" t="s">
        <v>1111</v>
      </c>
      <c r="C2028" s="91" t="s">
        <v>1427</v>
      </c>
      <c r="D2028" s="92" t="s">
        <v>1428</v>
      </c>
      <c r="E2028" s="93" t="s">
        <v>839</v>
      </c>
      <c r="F2028" s="93">
        <v>5.0650581</v>
      </c>
      <c r="G2028" s="93">
        <v>0.78</v>
      </c>
      <c r="H2028" s="93">
        <v>3.950745318</v>
      </c>
      <c r="I2028" s="93">
        <v>5.0650581</v>
      </c>
    </row>
    <row r="2029" ht="25.5" spans="1:9">
      <c r="A2029" s="90"/>
      <c r="B2029" s="91" t="s">
        <v>1111</v>
      </c>
      <c r="C2029" s="91" t="s">
        <v>1195</v>
      </c>
      <c r="D2029" s="92" t="s">
        <v>1196</v>
      </c>
      <c r="E2029" s="93" t="s">
        <v>839</v>
      </c>
      <c r="F2029" s="93">
        <v>6.2079588323</v>
      </c>
      <c r="G2029" s="93">
        <v>0.61</v>
      </c>
      <c r="H2029" s="93">
        <v>3.786854887703</v>
      </c>
      <c r="I2029" s="93">
        <v>6.2079588323</v>
      </c>
    </row>
    <row r="2030" spans="1:9">
      <c r="A2030" s="90"/>
      <c r="B2030" s="91" t="s">
        <v>985</v>
      </c>
      <c r="C2030" s="91" t="s">
        <v>1227</v>
      </c>
      <c r="D2030" s="92" t="s">
        <v>1228</v>
      </c>
      <c r="E2030" s="93" t="s">
        <v>215</v>
      </c>
      <c r="F2030" s="93">
        <v>0.0023780592</v>
      </c>
      <c r="G2030" s="93">
        <v>5.96</v>
      </c>
      <c r="H2030" s="93">
        <v>0.014173232832</v>
      </c>
      <c r="I2030" s="93">
        <v>0.0023780592</v>
      </c>
    </row>
    <row r="2031" spans="1:9">
      <c r="A2031" s="90"/>
      <c r="B2031" s="91" t="s">
        <v>985</v>
      </c>
      <c r="C2031" s="91" t="s">
        <v>984</v>
      </c>
      <c r="D2031" s="92" t="s">
        <v>986</v>
      </c>
      <c r="E2031" s="93" t="s">
        <v>215</v>
      </c>
      <c r="F2031" s="93">
        <v>0.726714921528</v>
      </c>
      <c r="G2031" s="93">
        <v>5.93</v>
      </c>
      <c r="H2031" s="93">
        <v>4.30941948466104</v>
      </c>
      <c r="I2031" s="93">
        <v>0.726714921528</v>
      </c>
    </row>
    <row r="2032" spans="1:9">
      <c r="A2032" s="90"/>
      <c r="B2032" s="91" t="s">
        <v>1393</v>
      </c>
      <c r="C2032" s="91" t="s">
        <v>1392</v>
      </c>
      <c r="D2032" s="92" t="s">
        <v>1394</v>
      </c>
      <c r="E2032" s="93" t="s">
        <v>476</v>
      </c>
      <c r="F2032" s="93">
        <v>0.054216169</v>
      </c>
      <c r="G2032" s="93">
        <v>197.39</v>
      </c>
      <c r="H2032" s="93">
        <v>10.70172959891</v>
      </c>
      <c r="I2032" s="93">
        <v>0.054216169</v>
      </c>
    </row>
    <row r="2033" spans="1:9">
      <c r="A2033" s="90"/>
      <c r="B2033" s="91" t="s">
        <v>1040</v>
      </c>
      <c r="C2033" s="91" t="s">
        <v>1039</v>
      </c>
      <c r="D2033" s="92" t="s">
        <v>1041</v>
      </c>
      <c r="E2033" s="93" t="s">
        <v>476</v>
      </c>
      <c r="F2033" s="93">
        <v>0.177722547</v>
      </c>
      <c r="G2033" s="93">
        <v>198.43</v>
      </c>
      <c r="H2033" s="93">
        <v>35.26548500121</v>
      </c>
      <c r="I2033" s="93">
        <v>0.177722547</v>
      </c>
    </row>
    <row r="2034" spans="1:9">
      <c r="A2034" s="90"/>
      <c r="B2034" s="91" t="s">
        <v>1393</v>
      </c>
      <c r="C2034" s="91" t="s">
        <v>1878</v>
      </c>
      <c r="D2034" s="92" t="s">
        <v>1879</v>
      </c>
      <c r="E2034" s="93" t="s">
        <v>476</v>
      </c>
      <c r="F2034" s="93">
        <v>0.001666</v>
      </c>
      <c r="G2034" s="93">
        <v>186.45</v>
      </c>
      <c r="H2034" s="93">
        <v>0.3106257</v>
      </c>
      <c r="I2034" s="93">
        <v>0.001666</v>
      </c>
    </row>
    <row r="2035" spans="1:9">
      <c r="A2035" s="90"/>
      <c r="B2035" s="91" t="s">
        <v>1120</v>
      </c>
      <c r="C2035" s="91" t="s">
        <v>1119</v>
      </c>
      <c r="D2035" s="92" t="s">
        <v>1121</v>
      </c>
      <c r="E2035" s="93" t="s">
        <v>112</v>
      </c>
      <c r="F2035" s="93">
        <v>2.7771168</v>
      </c>
      <c r="G2035" s="93">
        <v>7.78</v>
      </c>
      <c r="H2035" s="93">
        <v>21.605968704</v>
      </c>
      <c r="I2035" s="93">
        <v>2.7771168</v>
      </c>
    </row>
    <row r="2036" spans="1:9">
      <c r="A2036" s="90"/>
      <c r="B2036" s="91" t="s">
        <v>1685</v>
      </c>
      <c r="C2036" s="91" t="s">
        <v>1684</v>
      </c>
      <c r="D2036" s="92" t="s">
        <v>1686</v>
      </c>
      <c r="E2036" s="93" t="s">
        <v>463</v>
      </c>
      <c r="F2036" s="93">
        <v>0.00204</v>
      </c>
      <c r="G2036" s="93">
        <v>20.72</v>
      </c>
      <c r="H2036" s="93">
        <v>0.0422688</v>
      </c>
      <c r="I2036" s="93">
        <v>0.00204</v>
      </c>
    </row>
    <row r="2037" spans="1:9">
      <c r="A2037" s="90"/>
      <c r="B2037" s="91" t="s">
        <v>1829</v>
      </c>
      <c r="C2037" s="91" t="s">
        <v>1828</v>
      </c>
      <c r="D2037" s="92" t="s">
        <v>1830</v>
      </c>
      <c r="E2037" s="93" t="s">
        <v>463</v>
      </c>
      <c r="F2037" s="93">
        <v>0.0018</v>
      </c>
      <c r="G2037" s="93">
        <v>19.08</v>
      </c>
      <c r="H2037" s="93">
        <v>0.034344</v>
      </c>
      <c r="I2037" s="93">
        <v>0.0018</v>
      </c>
    </row>
    <row r="2038" spans="1:9">
      <c r="A2038" s="90"/>
      <c r="B2038" s="91" t="s">
        <v>1251</v>
      </c>
      <c r="C2038" s="91" t="s">
        <v>1250</v>
      </c>
      <c r="D2038" s="92" t="s">
        <v>1252</v>
      </c>
      <c r="E2038" s="93" t="s">
        <v>463</v>
      </c>
      <c r="F2038" s="93">
        <v>0.5299184</v>
      </c>
      <c r="G2038" s="93">
        <v>18.4</v>
      </c>
      <c r="H2038" s="93">
        <v>9.75049856</v>
      </c>
      <c r="I2038" s="93">
        <v>0.5299184</v>
      </c>
    </row>
    <row r="2039" spans="1:9">
      <c r="A2039" s="90"/>
      <c r="B2039" s="91" t="s">
        <v>1905</v>
      </c>
      <c r="C2039" s="91" t="s">
        <v>1904</v>
      </c>
      <c r="D2039" s="92" t="s">
        <v>1906</v>
      </c>
      <c r="E2039" s="93" t="s">
        <v>463</v>
      </c>
      <c r="F2039" s="93">
        <v>0.0018</v>
      </c>
      <c r="G2039" s="93">
        <v>23.1</v>
      </c>
      <c r="H2039" s="93">
        <v>0.04158</v>
      </c>
      <c r="I2039" s="93">
        <v>0.0018</v>
      </c>
    </row>
    <row r="2040" spans="1:9">
      <c r="A2040" s="90"/>
      <c r="B2040" s="91" t="s">
        <v>1283</v>
      </c>
      <c r="C2040" s="91" t="s">
        <v>1282</v>
      </c>
      <c r="D2040" s="92" t="s">
        <v>1284</v>
      </c>
      <c r="E2040" s="93" t="s">
        <v>112</v>
      </c>
      <c r="F2040" s="93">
        <v>3.18611232</v>
      </c>
      <c r="G2040" s="93">
        <v>3.94</v>
      </c>
      <c r="H2040" s="93">
        <v>12.5532825408</v>
      </c>
      <c r="I2040" s="93">
        <v>3.18611232</v>
      </c>
    </row>
    <row r="2041" spans="1:9">
      <c r="A2041" s="90"/>
      <c r="B2041" s="91" t="s">
        <v>1602</v>
      </c>
      <c r="C2041" s="91" t="s">
        <v>1601</v>
      </c>
      <c r="D2041" s="92" t="s">
        <v>1603</v>
      </c>
      <c r="E2041" s="93" t="s">
        <v>112</v>
      </c>
      <c r="F2041" s="93">
        <v>0.16308</v>
      </c>
      <c r="G2041" s="93">
        <v>2.72</v>
      </c>
      <c r="H2041" s="93">
        <v>0.4435776</v>
      </c>
      <c r="I2041" s="93">
        <v>0.16308</v>
      </c>
    </row>
    <row r="2042" ht="25.5" spans="1:9">
      <c r="A2042" s="90"/>
      <c r="B2042" s="91" t="s">
        <v>1812</v>
      </c>
      <c r="C2042" s="91" t="s">
        <v>1811</v>
      </c>
      <c r="D2042" s="92" t="s">
        <v>1813</v>
      </c>
      <c r="E2042" s="93" t="s">
        <v>494</v>
      </c>
      <c r="F2042" s="93">
        <v>1.530912e-6</v>
      </c>
      <c r="G2042" s="93">
        <v>1504.72</v>
      </c>
      <c r="H2042" s="93">
        <v>0.00230359390464</v>
      </c>
      <c r="I2042" s="93">
        <v>1.530912e-6</v>
      </c>
    </row>
    <row r="2043" spans="1:9">
      <c r="A2043" s="90"/>
      <c r="B2043" s="91" t="s">
        <v>1163</v>
      </c>
      <c r="C2043" s="91" t="s">
        <v>1162</v>
      </c>
      <c r="D2043" s="92" t="s">
        <v>1164</v>
      </c>
      <c r="E2043" s="93" t="s">
        <v>112</v>
      </c>
      <c r="F2043" s="93">
        <v>2.5018368</v>
      </c>
      <c r="G2043" s="93">
        <v>12.9</v>
      </c>
      <c r="H2043" s="93">
        <v>32.27369472</v>
      </c>
      <c r="I2043" s="93">
        <v>2.5018368</v>
      </c>
    </row>
    <row r="2044" ht="25.5" spans="1:9">
      <c r="A2044" s="90"/>
      <c r="B2044" s="91" t="s">
        <v>1634</v>
      </c>
      <c r="C2044" s="91" t="s">
        <v>1633</v>
      </c>
      <c r="D2044" s="92" t="s">
        <v>1635</v>
      </c>
      <c r="E2044" s="93" t="s">
        <v>494</v>
      </c>
      <c r="F2044" s="93">
        <v>6.62549776e-6</v>
      </c>
      <c r="G2044" s="93">
        <v>3390.99</v>
      </c>
      <c r="H2044" s="93">
        <v>0.0224669966491824</v>
      </c>
      <c r="I2044" s="93">
        <v>6.62549776e-6</v>
      </c>
    </row>
    <row r="2045" ht="38.25" spans="1:9">
      <c r="A2045" s="85" t="s">
        <v>2472</v>
      </c>
      <c r="B2045" s="85" t="s">
        <v>558</v>
      </c>
      <c r="C2045" s="85" t="s">
        <v>2473</v>
      </c>
      <c r="D2045" s="87" t="s">
        <v>559</v>
      </c>
      <c r="E2045" s="89" t="s">
        <v>466</v>
      </c>
      <c r="F2045" s="89">
        <v>10</v>
      </c>
      <c r="G2045" s="89">
        <v>771.03</v>
      </c>
      <c r="H2045" s="89">
        <v>7710.3</v>
      </c>
      <c r="I2045" s="89">
        <v>10</v>
      </c>
    </row>
    <row r="2046" spans="1:9">
      <c r="A2046" s="90"/>
      <c r="B2046" s="91" t="s">
        <v>1007</v>
      </c>
      <c r="C2046" s="91" t="s">
        <v>1048</v>
      </c>
      <c r="D2046" s="92" t="s">
        <v>1049</v>
      </c>
      <c r="E2046" s="93" t="s">
        <v>839</v>
      </c>
      <c r="F2046" s="93">
        <v>1</v>
      </c>
      <c r="G2046" s="93">
        <v>1.5</v>
      </c>
      <c r="H2046" s="93">
        <v>3.15</v>
      </c>
      <c r="I2046" s="93">
        <v>10</v>
      </c>
    </row>
    <row r="2047" spans="1:9">
      <c r="A2047" s="90"/>
      <c r="B2047" s="91" t="s">
        <v>1007</v>
      </c>
      <c r="C2047" s="91" t="s">
        <v>1006</v>
      </c>
      <c r="D2047" s="92" t="s">
        <v>1008</v>
      </c>
      <c r="E2047" s="93" t="s">
        <v>839</v>
      </c>
      <c r="F2047" s="93">
        <v>2.1</v>
      </c>
      <c r="G2047" s="93">
        <v>3.95</v>
      </c>
      <c r="H2047" s="93">
        <v>8.295</v>
      </c>
      <c r="I2047" s="93">
        <v>21</v>
      </c>
    </row>
    <row r="2048" spans="1:9">
      <c r="A2048" s="90"/>
      <c r="B2048" s="91" t="s">
        <v>1090</v>
      </c>
      <c r="C2048" s="91" t="s">
        <v>1089</v>
      </c>
      <c r="D2048" s="92" t="s">
        <v>1091</v>
      </c>
      <c r="E2048" s="93" t="s">
        <v>839</v>
      </c>
      <c r="F2048" s="93">
        <v>1.0212</v>
      </c>
      <c r="G2048" s="93">
        <v>21.83</v>
      </c>
      <c r="H2048" s="93">
        <v>22.292796</v>
      </c>
      <c r="I2048" s="93">
        <v>10.212</v>
      </c>
    </row>
    <row r="2049" spans="1:9">
      <c r="A2049" s="90"/>
      <c r="B2049" s="91" t="s">
        <v>1007</v>
      </c>
      <c r="C2049" s="91" t="s">
        <v>1378</v>
      </c>
      <c r="D2049" s="92" t="s">
        <v>1379</v>
      </c>
      <c r="E2049" s="93" t="s">
        <v>839</v>
      </c>
      <c r="F2049" s="93">
        <v>2.1</v>
      </c>
      <c r="G2049" s="93">
        <v>0.08</v>
      </c>
      <c r="H2049" s="93">
        <v>0.168</v>
      </c>
      <c r="I2049" s="93">
        <v>21</v>
      </c>
    </row>
    <row r="2050" spans="1:9">
      <c r="A2050" s="90"/>
      <c r="B2050" s="91" t="s">
        <v>1020</v>
      </c>
      <c r="C2050" s="91" t="s">
        <v>1019</v>
      </c>
      <c r="D2050" s="92" t="s">
        <v>1021</v>
      </c>
      <c r="E2050" s="93" t="s">
        <v>839</v>
      </c>
      <c r="F2050" s="93">
        <v>1.12332</v>
      </c>
      <c r="G2050" s="93">
        <v>14.49</v>
      </c>
      <c r="H2050" s="93">
        <v>16.2769068</v>
      </c>
      <c r="I2050" s="93">
        <v>11.2332</v>
      </c>
    </row>
    <row r="2051" ht="25.5" spans="1:9">
      <c r="A2051" s="90"/>
      <c r="B2051" s="91" t="s">
        <v>1010</v>
      </c>
      <c r="C2051" s="91" t="s">
        <v>1009</v>
      </c>
      <c r="D2051" s="92" t="s">
        <v>1011</v>
      </c>
      <c r="E2051" s="93" t="s">
        <v>476</v>
      </c>
      <c r="F2051" s="93">
        <v>0.013</v>
      </c>
      <c r="G2051" s="93">
        <v>205</v>
      </c>
      <c r="H2051" s="93">
        <v>2.66</v>
      </c>
      <c r="I2051" s="93">
        <v>0.13</v>
      </c>
    </row>
    <row r="2052" spans="1:9">
      <c r="A2052" s="90"/>
      <c r="B2052" s="91" t="s">
        <v>1272</v>
      </c>
      <c r="C2052" s="91" t="s">
        <v>1271</v>
      </c>
      <c r="D2052" s="92" t="s">
        <v>1273</v>
      </c>
      <c r="E2052" s="93" t="s">
        <v>463</v>
      </c>
      <c r="F2052" s="93">
        <v>4.58</v>
      </c>
      <c r="G2052" s="93">
        <v>0.65</v>
      </c>
      <c r="H2052" s="93">
        <v>2.97</v>
      </c>
      <c r="I2052" s="93">
        <v>45.8</v>
      </c>
    </row>
    <row r="2053" ht="25.5" spans="1:9">
      <c r="A2053" s="90"/>
      <c r="B2053" s="91" t="s">
        <v>1111</v>
      </c>
      <c r="C2053" s="91" t="s">
        <v>1351</v>
      </c>
      <c r="D2053" s="92" t="s">
        <v>1352</v>
      </c>
      <c r="E2053" s="93" t="s">
        <v>839</v>
      </c>
      <c r="F2053" s="93">
        <v>1</v>
      </c>
      <c r="G2053" s="93">
        <v>1.31</v>
      </c>
      <c r="H2053" s="93">
        <v>1.31</v>
      </c>
      <c r="I2053" s="93">
        <v>10</v>
      </c>
    </row>
    <row r="2054" ht="25.5" spans="1:9">
      <c r="A2054" s="90"/>
      <c r="B2054" s="91" t="s">
        <v>1111</v>
      </c>
      <c r="C2054" s="91" t="s">
        <v>1110</v>
      </c>
      <c r="D2054" s="92" t="s">
        <v>1112</v>
      </c>
      <c r="E2054" s="93" t="s">
        <v>839</v>
      </c>
      <c r="F2054" s="93">
        <v>1.1</v>
      </c>
      <c r="G2054" s="93">
        <v>1.39</v>
      </c>
      <c r="H2054" s="93">
        <v>1.529</v>
      </c>
      <c r="I2054" s="93">
        <v>11</v>
      </c>
    </row>
    <row r="2055" spans="1:9">
      <c r="A2055" s="90"/>
      <c r="B2055" s="91" t="s">
        <v>1007</v>
      </c>
      <c r="C2055" s="91" t="s">
        <v>1050</v>
      </c>
      <c r="D2055" s="92" t="s">
        <v>1051</v>
      </c>
      <c r="E2055" s="93" t="s">
        <v>839</v>
      </c>
      <c r="F2055" s="93">
        <v>2.1</v>
      </c>
      <c r="G2055" s="93">
        <v>1.43</v>
      </c>
      <c r="H2055" s="93">
        <v>3.003</v>
      </c>
      <c r="I2055" s="93">
        <v>21</v>
      </c>
    </row>
    <row r="2056" ht="25.5" spans="1:9">
      <c r="A2056" s="90"/>
      <c r="B2056" s="91" t="s">
        <v>1111</v>
      </c>
      <c r="C2056" s="91" t="s">
        <v>1427</v>
      </c>
      <c r="D2056" s="92" t="s">
        <v>1428</v>
      </c>
      <c r="E2056" s="93" t="s">
        <v>839</v>
      </c>
      <c r="F2056" s="93">
        <v>1</v>
      </c>
      <c r="G2056" s="93">
        <v>0.78</v>
      </c>
      <c r="H2056" s="93">
        <v>0.78</v>
      </c>
      <c r="I2056" s="93">
        <v>10</v>
      </c>
    </row>
    <row r="2057" ht="25.5" spans="1:9">
      <c r="A2057" s="90"/>
      <c r="B2057" s="91" t="s">
        <v>1111</v>
      </c>
      <c r="C2057" s="91" t="s">
        <v>1195</v>
      </c>
      <c r="D2057" s="92" t="s">
        <v>1196</v>
      </c>
      <c r="E2057" s="93" t="s">
        <v>839</v>
      </c>
      <c r="F2057" s="93">
        <v>1.1</v>
      </c>
      <c r="G2057" s="93">
        <v>0.61</v>
      </c>
      <c r="H2057" s="93">
        <v>0.671</v>
      </c>
      <c r="I2057" s="93">
        <v>11</v>
      </c>
    </row>
    <row r="2058" ht="38.25" spans="1:9">
      <c r="A2058" s="90"/>
      <c r="B2058" s="91" t="s">
        <v>1203</v>
      </c>
      <c r="C2058" s="91" t="s">
        <v>1202</v>
      </c>
      <c r="D2058" s="92" t="s">
        <v>1204</v>
      </c>
      <c r="E2058" s="93" t="s">
        <v>466</v>
      </c>
      <c r="F2058" s="93">
        <v>1</v>
      </c>
      <c r="G2058" s="93">
        <v>707.93</v>
      </c>
      <c r="H2058" s="93">
        <v>707.93</v>
      </c>
      <c r="I2058" s="93">
        <v>10</v>
      </c>
    </row>
    <row r="2059" ht="38.25" spans="1:9">
      <c r="A2059" s="85" t="s">
        <v>2474</v>
      </c>
      <c r="B2059" s="85" t="s">
        <v>923</v>
      </c>
      <c r="C2059" s="85" t="s">
        <v>2475</v>
      </c>
      <c r="D2059" s="87" t="s">
        <v>924</v>
      </c>
      <c r="E2059" s="89" t="s">
        <v>466</v>
      </c>
      <c r="F2059" s="89">
        <v>25</v>
      </c>
      <c r="G2059" s="89">
        <v>463.41</v>
      </c>
      <c r="H2059" s="89">
        <v>11585.25</v>
      </c>
      <c r="I2059" s="89">
        <v>25</v>
      </c>
    </row>
    <row r="2060" spans="1:9">
      <c r="A2060" s="90"/>
      <c r="B2060" s="91" t="s">
        <v>1007</v>
      </c>
      <c r="C2060" s="91" t="s">
        <v>1048</v>
      </c>
      <c r="D2060" s="92" t="s">
        <v>1049</v>
      </c>
      <c r="E2060" s="93" t="s">
        <v>839</v>
      </c>
      <c r="F2060" s="93">
        <v>1</v>
      </c>
      <c r="G2060" s="93">
        <v>1.5</v>
      </c>
      <c r="H2060" s="93">
        <v>2.576925</v>
      </c>
      <c r="I2060" s="93">
        <v>25</v>
      </c>
    </row>
    <row r="2061" spans="1:9">
      <c r="A2061" s="90"/>
      <c r="B2061" s="91" t="s">
        <v>1007</v>
      </c>
      <c r="C2061" s="91" t="s">
        <v>1006</v>
      </c>
      <c r="D2061" s="92" t="s">
        <v>1008</v>
      </c>
      <c r="E2061" s="93" t="s">
        <v>839</v>
      </c>
      <c r="F2061" s="93">
        <v>1.71795</v>
      </c>
      <c r="G2061" s="93">
        <v>3.95</v>
      </c>
      <c r="H2061" s="93">
        <v>6.7859025</v>
      </c>
      <c r="I2061" s="93">
        <v>42.94875</v>
      </c>
    </row>
    <row r="2062" spans="1:9">
      <c r="A2062" s="90"/>
      <c r="B2062" s="91" t="s">
        <v>993</v>
      </c>
      <c r="C2062" s="91" t="s">
        <v>992</v>
      </c>
      <c r="D2062" s="92" t="s">
        <v>994</v>
      </c>
      <c r="E2062" s="93" t="s">
        <v>839</v>
      </c>
      <c r="F2062" s="93">
        <v>0.377203266</v>
      </c>
      <c r="G2062" s="93">
        <v>21.83</v>
      </c>
      <c r="H2062" s="93">
        <v>8.23434729678</v>
      </c>
      <c r="I2062" s="93">
        <v>9.43008165</v>
      </c>
    </row>
    <row r="2063" spans="1:9">
      <c r="A2063" s="90"/>
      <c r="B2063" s="91" t="s">
        <v>1620</v>
      </c>
      <c r="C2063" s="91" t="s">
        <v>1619</v>
      </c>
      <c r="D2063" s="92" t="s">
        <v>1621</v>
      </c>
      <c r="E2063" s="93" t="s">
        <v>839</v>
      </c>
      <c r="F2063" s="93">
        <v>0.229792402</v>
      </c>
      <c r="G2063" s="93">
        <v>21.83</v>
      </c>
      <c r="H2063" s="93">
        <v>5.01636813566</v>
      </c>
      <c r="I2063" s="93">
        <v>5.74481005</v>
      </c>
    </row>
    <row r="2064" spans="1:9">
      <c r="A2064" s="90"/>
      <c r="B2064" s="91" t="s">
        <v>1007</v>
      </c>
      <c r="C2064" s="91" t="s">
        <v>1378</v>
      </c>
      <c r="D2064" s="92" t="s">
        <v>1379</v>
      </c>
      <c r="E2064" s="93" t="s">
        <v>839</v>
      </c>
      <c r="F2064" s="93">
        <v>1.71795</v>
      </c>
      <c r="G2064" s="93">
        <v>0.08</v>
      </c>
      <c r="H2064" s="93">
        <v>0.137436</v>
      </c>
      <c r="I2064" s="93">
        <v>42.94875</v>
      </c>
    </row>
    <row r="2065" spans="1:9">
      <c r="A2065" s="90"/>
      <c r="B2065" s="91" t="s">
        <v>1020</v>
      </c>
      <c r="C2065" s="91" t="s">
        <v>1019</v>
      </c>
      <c r="D2065" s="92" t="s">
        <v>1021</v>
      </c>
      <c r="E2065" s="93" t="s">
        <v>839</v>
      </c>
      <c r="F2065" s="93">
        <v>1.14231432</v>
      </c>
      <c r="G2065" s="93">
        <v>14.49</v>
      </c>
      <c r="H2065" s="93">
        <v>16.5521344968</v>
      </c>
      <c r="I2065" s="93">
        <v>28.557858</v>
      </c>
    </row>
    <row r="2066" ht="25.5" spans="1:9">
      <c r="A2066" s="90"/>
      <c r="B2066" s="91" t="s">
        <v>1111</v>
      </c>
      <c r="C2066" s="91" t="s">
        <v>1174</v>
      </c>
      <c r="D2066" s="92" t="s">
        <v>1175</v>
      </c>
      <c r="E2066" s="93" t="s">
        <v>839</v>
      </c>
      <c r="F2066" s="93">
        <v>0.3729</v>
      </c>
      <c r="G2066" s="93">
        <v>1.43</v>
      </c>
      <c r="H2066" s="93">
        <v>0.533247</v>
      </c>
      <c r="I2066" s="93">
        <v>9.3225</v>
      </c>
    </row>
    <row r="2067" spans="1:9">
      <c r="A2067" s="90"/>
      <c r="B2067" s="91" t="s">
        <v>1111</v>
      </c>
      <c r="C2067" s="91" t="s">
        <v>1773</v>
      </c>
      <c r="D2067" s="92" t="s">
        <v>1774</v>
      </c>
      <c r="E2067" s="93" t="s">
        <v>839</v>
      </c>
      <c r="F2067" s="93">
        <v>0.22645</v>
      </c>
      <c r="G2067" s="93">
        <v>1.85</v>
      </c>
      <c r="H2067" s="93">
        <v>0.4189325</v>
      </c>
      <c r="I2067" s="93">
        <v>5.66125</v>
      </c>
    </row>
    <row r="2068" ht="25.5" spans="1:9">
      <c r="A2068" s="90"/>
      <c r="B2068" s="91" t="s">
        <v>1111</v>
      </c>
      <c r="C2068" s="91" t="s">
        <v>1110</v>
      </c>
      <c r="D2068" s="92" t="s">
        <v>1112</v>
      </c>
      <c r="E2068" s="93" t="s">
        <v>839</v>
      </c>
      <c r="F2068" s="93">
        <v>1.1186</v>
      </c>
      <c r="G2068" s="93">
        <v>1.39</v>
      </c>
      <c r="H2068" s="93">
        <v>1.554854</v>
      </c>
      <c r="I2068" s="93">
        <v>27.965</v>
      </c>
    </row>
    <row r="2069" spans="1:9">
      <c r="A2069" s="90"/>
      <c r="B2069" s="91" t="s">
        <v>1007</v>
      </c>
      <c r="C2069" s="91" t="s">
        <v>1050</v>
      </c>
      <c r="D2069" s="92" t="s">
        <v>1051</v>
      </c>
      <c r="E2069" s="93" t="s">
        <v>839</v>
      </c>
      <c r="F2069" s="93">
        <v>1.71795</v>
      </c>
      <c r="G2069" s="93">
        <v>1.43</v>
      </c>
      <c r="H2069" s="93">
        <v>2.4566685</v>
      </c>
      <c r="I2069" s="93">
        <v>42.94875</v>
      </c>
    </row>
    <row r="2070" ht="25.5" spans="1:9">
      <c r="A2070" s="90"/>
      <c r="B2070" s="91" t="s">
        <v>1111</v>
      </c>
      <c r="C2070" s="91" t="s">
        <v>1310</v>
      </c>
      <c r="D2070" s="92" t="s">
        <v>1311</v>
      </c>
      <c r="E2070" s="93" t="s">
        <v>839</v>
      </c>
      <c r="F2070" s="93">
        <v>0.3729</v>
      </c>
      <c r="G2070" s="93">
        <v>0.44</v>
      </c>
      <c r="H2070" s="93">
        <v>0.164076</v>
      </c>
      <c r="I2070" s="93">
        <v>9.3225</v>
      </c>
    </row>
    <row r="2071" ht="25.5" spans="1:9">
      <c r="A2071" s="90"/>
      <c r="B2071" s="91" t="s">
        <v>1111</v>
      </c>
      <c r="C2071" s="91" t="s">
        <v>1771</v>
      </c>
      <c r="D2071" s="92" t="s">
        <v>1772</v>
      </c>
      <c r="E2071" s="93" t="s">
        <v>839</v>
      </c>
      <c r="F2071" s="93">
        <v>0.22645</v>
      </c>
      <c r="G2071" s="93">
        <v>2.05</v>
      </c>
      <c r="H2071" s="93">
        <v>0.4642225</v>
      </c>
      <c r="I2071" s="93">
        <v>5.66125</v>
      </c>
    </row>
    <row r="2072" ht="25.5" spans="1:9">
      <c r="A2072" s="90"/>
      <c r="B2072" s="91" t="s">
        <v>1111</v>
      </c>
      <c r="C2072" s="91" t="s">
        <v>1195</v>
      </c>
      <c r="D2072" s="92" t="s">
        <v>1196</v>
      </c>
      <c r="E2072" s="93" t="s">
        <v>839</v>
      </c>
      <c r="F2072" s="93">
        <v>1.1186</v>
      </c>
      <c r="G2072" s="93">
        <v>0.61</v>
      </c>
      <c r="H2072" s="93">
        <v>0.682346</v>
      </c>
      <c r="I2072" s="93">
        <v>27.965</v>
      </c>
    </row>
    <row r="2073" spans="1:9">
      <c r="A2073" s="90"/>
      <c r="B2073" s="91" t="s">
        <v>1654</v>
      </c>
      <c r="C2073" s="91" t="s">
        <v>1653</v>
      </c>
      <c r="D2073" s="92" t="s">
        <v>1655</v>
      </c>
      <c r="E2073" s="93" t="s">
        <v>215</v>
      </c>
      <c r="F2073" s="93">
        <v>0.16285</v>
      </c>
      <c r="G2073" s="93">
        <v>27.95</v>
      </c>
      <c r="H2073" s="93">
        <v>4.5516575</v>
      </c>
      <c r="I2073" s="93">
        <v>4.07125</v>
      </c>
    </row>
    <row r="2074" ht="25.5" spans="1:9">
      <c r="A2074" s="90"/>
      <c r="B2074" s="91" t="s">
        <v>1170</v>
      </c>
      <c r="C2074" s="91" t="s">
        <v>1169</v>
      </c>
      <c r="D2074" s="92" t="s">
        <v>1171</v>
      </c>
      <c r="E2074" s="93" t="s">
        <v>466</v>
      </c>
      <c r="F2074" s="93">
        <v>1</v>
      </c>
      <c r="G2074" s="93">
        <v>400</v>
      </c>
      <c r="H2074" s="93">
        <v>400</v>
      </c>
      <c r="I2074" s="93">
        <v>25</v>
      </c>
    </row>
    <row r="2075" spans="1:9">
      <c r="A2075" s="90"/>
      <c r="B2075" s="91" t="s">
        <v>1251</v>
      </c>
      <c r="C2075" s="91" t="s">
        <v>1788</v>
      </c>
      <c r="D2075" s="92" t="s">
        <v>1789</v>
      </c>
      <c r="E2075" s="93" t="s">
        <v>463</v>
      </c>
      <c r="F2075" s="93">
        <v>0.0113</v>
      </c>
      <c r="G2075" s="93">
        <v>35.6</v>
      </c>
      <c r="H2075" s="93">
        <v>0.4</v>
      </c>
      <c r="I2075" s="93">
        <v>0.2825</v>
      </c>
    </row>
    <row r="2076" spans="1:9">
      <c r="A2076" s="90"/>
      <c r="B2076" s="91" t="s">
        <v>1251</v>
      </c>
      <c r="C2076" s="91" t="s">
        <v>1802</v>
      </c>
      <c r="D2076" s="92" t="s">
        <v>1803</v>
      </c>
      <c r="E2076" s="93" t="s">
        <v>463</v>
      </c>
      <c r="F2076" s="93">
        <v>0.0132</v>
      </c>
      <c r="G2076" s="93">
        <v>19.08</v>
      </c>
      <c r="H2076" s="93">
        <v>0.25</v>
      </c>
      <c r="I2076" s="93">
        <v>0.33</v>
      </c>
    </row>
    <row r="2077" spans="1:9">
      <c r="A2077" s="90"/>
      <c r="B2077" s="91" t="s">
        <v>1283</v>
      </c>
      <c r="C2077" s="91" t="s">
        <v>1282</v>
      </c>
      <c r="D2077" s="92" t="s">
        <v>1284</v>
      </c>
      <c r="E2077" s="93" t="s">
        <v>112</v>
      </c>
      <c r="F2077" s="93">
        <v>3.2083</v>
      </c>
      <c r="G2077" s="93">
        <v>3.94</v>
      </c>
      <c r="H2077" s="93">
        <v>12.64</v>
      </c>
      <c r="I2077" s="93">
        <v>80.2075</v>
      </c>
    </row>
    <row r="2078" spans="1:9">
      <c r="A2078" s="85" t="s">
        <v>2476</v>
      </c>
      <c r="B2078" s="85" t="s">
        <v>925</v>
      </c>
      <c r="C2078" s="85" t="s">
        <v>2477</v>
      </c>
      <c r="D2078" s="87" t="s">
        <v>926</v>
      </c>
      <c r="E2078" s="89" t="s">
        <v>466</v>
      </c>
      <c r="F2078" s="89">
        <v>51.05</v>
      </c>
      <c r="G2078" s="89">
        <v>5.06</v>
      </c>
      <c r="H2078" s="89">
        <v>258.31</v>
      </c>
      <c r="I2078" s="89">
        <v>51.05</v>
      </c>
    </row>
    <row r="2079" spans="1:9">
      <c r="A2079" s="90"/>
      <c r="B2079" s="91" t="s">
        <v>1007</v>
      </c>
      <c r="C2079" s="91" t="s">
        <v>1048</v>
      </c>
      <c r="D2079" s="92" t="s">
        <v>1049</v>
      </c>
      <c r="E2079" s="93" t="s">
        <v>839</v>
      </c>
      <c r="F2079" s="93">
        <v>1</v>
      </c>
      <c r="G2079" s="93">
        <v>1.5</v>
      </c>
      <c r="H2079" s="93">
        <v>0.3198</v>
      </c>
      <c r="I2079" s="93">
        <v>51.05</v>
      </c>
    </row>
    <row r="2080" spans="1:9">
      <c r="A2080" s="90"/>
      <c r="B2080" s="91" t="s">
        <v>1007</v>
      </c>
      <c r="C2080" s="91" t="s">
        <v>1006</v>
      </c>
      <c r="D2080" s="92" t="s">
        <v>1008</v>
      </c>
      <c r="E2080" s="93" t="s">
        <v>839</v>
      </c>
      <c r="F2080" s="93">
        <v>0.2132</v>
      </c>
      <c r="G2080" s="93">
        <v>3.95</v>
      </c>
      <c r="H2080" s="93">
        <v>0.84214</v>
      </c>
      <c r="I2080" s="93">
        <v>10.88386</v>
      </c>
    </row>
    <row r="2081" spans="1:9">
      <c r="A2081" s="90"/>
      <c r="B2081" s="91" t="s">
        <v>1007</v>
      </c>
      <c r="C2081" s="91" t="s">
        <v>1378</v>
      </c>
      <c r="D2081" s="92" t="s">
        <v>1379</v>
      </c>
      <c r="E2081" s="93" t="s">
        <v>839</v>
      </c>
      <c r="F2081" s="93">
        <v>0.2132</v>
      </c>
      <c r="G2081" s="93">
        <v>0.08</v>
      </c>
      <c r="H2081" s="93">
        <v>0.017056</v>
      </c>
      <c r="I2081" s="93">
        <v>10.88386</v>
      </c>
    </row>
    <row r="2082" spans="1:9">
      <c r="A2082" s="90"/>
      <c r="B2082" s="91" t="s">
        <v>1020</v>
      </c>
      <c r="C2082" s="91" t="s">
        <v>1019</v>
      </c>
      <c r="D2082" s="92" t="s">
        <v>1021</v>
      </c>
      <c r="E2082" s="93" t="s">
        <v>839</v>
      </c>
      <c r="F2082" s="93">
        <v>0.21771984</v>
      </c>
      <c r="G2082" s="93">
        <v>14.49</v>
      </c>
      <c r="H2082" s="93">
        <v>3.1547604816</v>
      </c>
      <c r="I2082" s="93">
        <v>11.114597832</v>
      </c>
    </row>
    <row r="2083" ht="25.5" spans="1:9">
      <c r="A2083" s="90"/>
      <c r="B2083" s="91" t="s">
        <v>1111</v>
      </c>
      <c r="C2083" s="91" t="s">
        <v>1110</v>
      </c>
      <c r="D2083" s="92" t="s">
        <v>1112</v>
      </c>
      <c r="E2083" s="93" t="s">
        <v>839</v>
      </c>
      <c r="F2083" s="93">
        <v>0.2132</v>
      </c>
      <c r="G2083" s="93">
        <v>1.39</v>
      </c>
      <c r="H2083" s="93">
        <v>0.296348</v>
      </c>
      <c r="I2083" s="93">
        <v>10.88386</v>
      </c>
    </row>
    <row r="2084" spans="1:9">
      <c r="A2084" s="90"/>
      <c r="B2084" s="91" t="s">
        <v>1007</v>
      </c>
      <c r="C2084" s="91" t="s">
        <v>1050</v>
      </c>
      <c r="D2084" s="92" t="s">
        <v>1051</v>
      </c>
      <c r="E2084" s="93" t="s">
        <v>839</v>
      </c>
      <c r="F2084" s="93">
        <v>0.2132</v>
      </c>
      <c r="G2084" s="93">
        <v>1.43</v>
      </c>
      <c r="H2084" s="93">
        <v>0.304876</v>
      </c>
      <c r="I2084" s="93">
        <v>10.88386</v>
      </c>
    </row>
    <row r="2085" ht="25.5" spans="1:9">
      <c r="A2085" s="90"/>
      <c r="B2085" s="91" t="s">
        <v>1111</v>
      </c>
      <c r="C2085" s="91" t="s">
        <v>1195</v>
      </c>
      <c r="D2085" s="92" t="s">
        <v>1196</v>
      </c>
      <c r="E2085" s="93" t="s">
        <v>839</v>
      </c>
      <c r="F2085" s="93">
        <v>0.2132</v>
      </c>
      <c r="G2085" s="93">
        <v>0.61</v>
      </c>
      <c r="H2085" s="93">
        <v>0.130052</v>
      </c>
      <c r="I2085" s="93">
        <v>10.88386</v>
      </c>
    </row>
    <row r="2086" ht="25.5" spans="1:9">
      <c r="A2086" s="85" t="s">
        <v>2478</v>
      </c>
      <c r="B2086" s="85" t="s">
        <v>927</v>
      </c>
      <c r="C2086" s="85" t="s">
        <v>2479</v>
      </c>
      <c r="D2086" s="87" t="s">
        <v>928</v>
      </c>
      <c r="E2086" s="89" t="s">
        <v>466</v>
      </c>
      <c r="F2086" s="89">
        <v>7908.47</v>
      </c>
      <c r="G2086" s="89">
        <v>0.67</v>
      </c>
      <c r="H2086" s="89">
        <v>5298.67</v>
      </c>
      <c r="I2086" s="89">
        <v>7908.47</v>
      </c>
    </row>
    <row r="2087" spans="1:9">
      <c r="A2087" s="90"/>
      <c r="B2087" s="91" t="s">
        <v>1007</v>
      </c>
      <c r="C2087" s="91" t="s">
        <v>1048</v>
      </c>
      <c r="D2087" s="92" t="s">
        <v>1049</v>
      </c>
      <c r="E2087" s="93" t="s">
        <v>839</v>
      </c>
      <c r="F2087" s="93">
        <v>1</v>
      </c>
      <c r="G2087" s="93">
        <v>1.5</v>
      </c>
      <c r="H2087" s="93">
        <v>0.0138</v>
      </c>
      <c r="I2087" s="93">
        <v>7908.47</v>
      </c>
    </row>
    <row r="2088" ht="25.5" spans="1:9">
      <c r="A2088" s="90"/>
      <c r="B2088" s="91" t="s">
        <v>1337</v>
      </c>
      <c r="C2088" s="91" t="s">
        <v>1336</v>
      </c>
      <c r="D2088" s="92" t="s">
        <v>1338</v>
      </c>
      <c r="E2088" s="93" t="s">
        <v>494</v>
      </c>
      <c r="F2088" s="93">
        <v>1</v>
      </c>
      <c r="G2088" s="93">
        <v>1079918</v>
      </c>
      <c r="H2088" s="93">
        <v>0.3246233508</v>
      </c>
      <c r="I2088" s="93">
        <v>7908.47</v>
      </c>
    </row>
    <row r="2089" spans="1:9">
      <c r="A2089" s="90"/>
      <c r="B2089" s="91" t="s">
        <v>1007</v>
      </c>
      <c r="C2089" s="91" t="s">
        <v>1006</v>
      </c>
      <c r="D2089" s="92" t="s">
        <v>1008</v>
      </c>
      <c r="E2089" s="93" t="s">
        <v>839</v>
      </c>
      <c r="F2089" s="93">
        <v>0.0092</v>
      </c>
      <c r="G2089" s="93">
        <v>3.95</v>
      </c>
      <c r="H2089" s="93">
        <v>0.03634</v>
      </c>
      <c r="I2089" s="93">
        <v>72.757924</v>
      </c>
    </row>
    <row r="2090" spans="1:9">
      <c r="A2090" s="90"/>
      <c r="B2090" s="91" t="s">
        <v>1328</v>
      </c>
      <c r="C2090" s="91" t="s">
        <v>1327</v>
      </c>
      <c r="D2090" s="92" t="s">
        <v>1329</v>
      </c>
      <c r="E2090" s="93" t="s">
        <v>839</v>
      </c>
      <c r="F2090" s="93">
        <v>0.004623414</v>
      </c>
      <c r="G2090" s="93">
        <v>18.86</v>
      </c>
      <c r="H2090" s="93">
        <v>0.08719758804</v>
      </c>
      <c r="I2090" s="93">
        <v>36.56413091658</v>
      </c>
    </row>
    <row r="2091" spans="1:9">
      <c r="A2091" s="90"/>
      <c r="B2091" s="91" t="s">
        <v>1108</v>
      </c>
      <c r="C2091" s="91" t="s">
        <v>1127</v>
      </c>
      <c r="D2091" s="92" t="s">
        <v>1128</v>
      </c>
      <c r="E2091" s="93" t="s">
        <v>839</v>
      </c>
      <c r="F2091" s="93">
        <v>0.004653084</v>
      </c>
      <c r="G2091" s="93">
        <v>18</v>
      </c>
      <c r="H2091" s="93">
        <v>0.083755512</v>
      </c>
      <c r="I2091" s="93">
        <v>36.79877522148</v>
      </c>
    </row>
    <row r="2092" spans="1:9">
      <c r="A2092" s="90"/>
      <c r="B2092" s="91" t="s">
        <v>1007</v>
      </c>
      <c r="C2092" s="91" t="s">
        <v>1378</v>
      </c>
      <c r="D2092" s="92" t="s">
        <v>1379</v>
      </c>
      <c r="E2092" s="93" t="s">
        <v>839</v>
      </c>
      <c r="F2092" s="93">
        <v>0.0092</v>
      </c>
      <c r="G2092" s="93">
        <v>0.08</v>
      </c>
      <c r="H2092" s="93">
        <v>0.000736</v>
      </c>
      <c r="I2092" s="93">
        <v>72.757924</v>
      </c>
    </row>
    <row r="2093" ht="25.5" spans="1:9">
      <c r="A2093" s="90"/>
      <c r="B2093" s="91" t="s">
        <v>1111</v>
      </c>
      <c r="C2093" s="91" t="s">
        <v>1287</v>
      </c>
      <c r="D2093" s="92" t="s">
        <v>1288</v>
      </c>
      <c r="E2093" s="93" t="s">
        <v>839</v>
      </c>
      <c r="F2093" s="93">
        <v>0.0046</v>
      </c>
      <c r="G2093" s="93">
        <v>0.89</v>
      </c>
      <c r="H2093" s="93">
        <v>0.004094</v>
      </c>
      <c r="I2093" s="93">
        <v>36.378962</v>
      </c>
    </row>
    <row r="2094" ht="25.5" spans="1:9">
      <c r="A2094" s="90"/>
      <c r="B2094" s="91" t="s">
        <v>1111</v>
      </c>
      <c r="C2094" s="91" t="s">
        <v>1351</v>
      </c>
      <c r="D2094" s="92" t="s">
        <v>1352</v>
      </c>
      <c r="E2094" s="93" t="s">
        <v>839</v>
      </c>
      <c r="F2094" s="93">
        <v>0.0046</v>
      </c>
      <c r="G2094" s="93">
        <v>1.31</v>
      </c>
      <c r="H2094" s="93">
        <v>0.006026</v>
      </c>
      <c r="I2094" s="93">
        <v>36.378962</v>
      </c>
    </row>
    <row r="2095" spans="1:9">
      <c r="A2095" s="90"/>
      <c r="B2095" s="91" t="s">
        <v>1007</v>
      </c>
      <c r="C2095" s="91" t="s">
        <v>1050</v>
      </c>
      <c r="D2095" s="92" t="s">
        <v>1051</v>
      </c>
      <c r="E2095" s="93" t="s">
        <v>839</v>
      </c>
      <c r="F2095" s="93">
        <v>0.0092</v>
      </c>
      <c r="G2095" s="93">
        <v>1.43</v>
      </c>
      <c r="H2095" s="93">
        <v>0.013156</v>
      </c>
      <c r="I2095" s="93">
        <v>72.757924</v>
      </c>
    </row>
    <row r="2096" ht="25.5" spans="1:9">
      <c r="A2096" s="90"/>
      <c r="B2096" s="91" t="s">
        <v>1111</v>
      </c>
      <c r="C2096" s="91" t="s">
        <v>1707</v>
      </c>
      <c r="D2096" s="92" t="s">
        <v>1708</v>
      </c>
      <c r="E2096" s="93" t="s">
        <v>839</v>
      </c>
      <c r="F2096" s="93">
        <v>0.0046</v>
      </c>
      <c r="G2096" s="93">
        <v>0.01</v>
      </c>
      <c r="H2096" s="93">
        <v>4.6e-5</v>
      </c>
      <c r="I2096" s="93">
        <v>36.378962</v>
      </c>
    </row>
    <row r="2097" ht="25.5" spans="1:9">
      <c r="A2097" s="90"/>
      <c r="B2097" s="91" t="s">
        <v>1111</v>
      </c>
      <c r="C2097" s="91" t="s">
        <v>1427</v>
      </c>
      <c r="D2097" s="92" t="s">
        <v>1428</v>
      </c>
      <c r="E2097" s="93" t="s">
        <v>839</v>
      </c>
      <c r="F2097" s="93">
        <v>0.0046</v>
      </c>
      <c r="G2097" s="93">
        <v>0.78</v>
      </c>
      <c r="H2097" s="93">
        <v>0.003588</v>
      </c>
      <c r="I2097" s="93">
        <v>36.378962</v>
      </c>
    </row>
    <row r="2098" spans="1:9">
      <c r="A2098" s="90"/>
      <c r="B2098" s="91" t="s">
        <v>985</v>
      </c>
      <c r="C2098" s="91" t="s">
        <v>984</v>
      </c>
      <c r="D2098" s="92" t="s">
        <v>986</v>
      </c>
      <c r="E2098" s="93" t="s">
        <v>215</v>
      </c>
      <c r="F2098" s="93">
        <v>0.017748</v>
      </c>
      <c r="G2098" s="93">
        <v>5.93</v>
      </c>
      <c r="H2098" s="93">
        <v>0.10524564</v>
      </c>
      <c r="I2098" s="93">
        <v>140.35952556</v>
      </c>
    </row>
    <row r="2099" ht="38.25" spans="1:9">
      <c r="A2099" s="85" t="s">
        <v>2480</v>
      </c>
      <c r="B2099" s="85" t="s">
        <v>929</v>
      </c>
      <c r="C2099" s="85" t="s">
        <v>2481</v>
      </c>
      <c r="D2099" s="87" t="s">
        <v>930</v>
      </c>
      <c r="E2099" s="89" t="s">
        <v>466</v>
      </c>
      <c r="F2099" s="89">
        <v>6.4</v>
      </c>
      <c r="G2099" s="89">
        <v>669.87</v>
      </c>
      <c r="H2099" s="89">
        <v>4287.16</v>
      </c>
      <c r="I2099" s="89">
        <v>6.4</v>
      </c>
    </row>
    <row r="2100" ht="25.5" spans="1:9">
      <c r="A2100" s="90"/>
      <c r="B2100" s="91" t="s">
        <v>1734</v>
      </c>
      <c r="C2100" s="91" t="s">
        <v>1867</v>
      </c>
      <c r="D2100" s="92" t="s">
        <v>1868</v>
      </c>
      <c r="E2100" s="93" t="s">
        <v>494</v>
      </c>
      <c r="F2100" s="93">
        <v>1</v>
      </c>
      <c r="G2100" s="93">
        <v>523066.43</v>
      </c>
      <c r="H2100" s="93">
        <v>0.0295664719882182</v>
      </c>
      <c r="I2100" s="93">
        <v>6.4</v>
      </c>
    </row>
    <row r="2101" ht="25.5" spans="1:9">
      <c r="A2101" s="90"/>
      <c r="B2101" s="91" t="s">
        <v>1734</v>
      </c>
      <c r="C2101" s="91" t="s">
        <v>1854</v>
      </c>
      <c r="D2101" s="92" t="s">
        <v>1855</v>
      </c>
      <c r="E2101" s="93" t="s">
        <v>494</v>
      </c>
      <c r="F2101" s="93">
        <v>1</v>
      </c>
      <c r="G2101" s="93">
        <v>570622.72</v>
      </c>
      <c r="H2101" s="93">
        <v>0.053042075096891</v>
      </c>
      <c r="I2101" s="93">
        <v>6.4</v>
      </c>
    </row>
    <row r="2102" ht="25.5" spans="1:9">
      <c r="A2102" s="90"/>
      <c r="B2102" s="91" t="s">
        <v>1750</v>
      </c>
      <c r="C2102" s="91" t="s">
        <v>1804</v>
      </c>
      <c r="D2102" s="92" t="s">
        <v>1805</v>
      </c>
      <c r="E2102" s="93" t="s">
        <v>494</v>
      </c>
      <c r="F2102" s="93">
        <v>1</v>
      </c>
      <c r="G2102" s="93">
        <v>161392.72</v>
      </c>
      <c r="H2102" s="93">
        <v>0.852558078121006</v>
      </c>
      <c r="I2102" s="93">
        <v>6.4</v>
      </c>
    </row>
    <row r="2103" spans="1:9">
      <c r="A2103" s="90"/>
      <c r="B2103" s="91" t="s">
        <v>1734</v>
      </c>
      <c r="C2103" s="91" t="s">
        <v>1886</v>
      </c>
      <c r="D2103" s="92" t="s">
        <v>1887</v>
      </c>
      <c r="E2103" s="93" t="s">
        <v>494</v>
      </c>
      <c r="F2103" s="93">
        <v>1</v>
      </c>
      <c r="G2103" s="93">
        <v>220660</v>
      </c>
      <c r="H2103" s="93">
        <v>0.0146035115896016</v>
      </c>
      <c r="I2103" s="93">
        <v>6.4</v>
      </c>
    </row>
    <row r="2104" spans="1:9">
      <c r="A2104" s="90"/>
      <c r="B2104" s="91" t="s">
        <v>1007</v>
      </c>
      <c r="C2104" s="91" t="s">
        <v>1048</v>
      </c>
      <c r="D2104" s="92" t="s">
        <v>1049</v>
      </c>
      <c r="E2104" s="93" t="s">
        <v>839</v>
      </c>
      <c r="F2104" s="93">
        <v>1</v>
      </c>
      <c r="G2104" s="93">
        <v>1.5</v>
      </c>
      <c r="H2104" s="93">
        <v>5.03052241012001</v>
      </c>
      <c r="I2104" s="93">
        <v>6.4</v>
      </c>
    </row>
    <row r="2105" spans="1:9">
      <c r="A2105" s="90"/>
      <c r="B2105" s="91" t="s">
        <v>1549</v>
      </c>
      <c r="C2105" s="91" t="s">
        <v>1548</v>
      </c>
      <c r="D2105" s="92" t="s">
        <v>1550</v>
      </c>
      <c r="E2105" s="93" t="s">
        <v>839</v>
      </c>
      <c r="F2105" s="93">
        <v>1.13588816004061</v>
      </c>
      <c r="G2105" s="93">
        <v>15.27</v>
      </c>
      <c r="H2105" s="93">
        <v>17.3450122038201</v>
      </c>
      <c r="I2105" s="93">
        <v>7.26968422425989</v>
      </c>
    </row>
    <row r="2106" spans="1:9">
      <c r="A2106" s="90"/>
      <c r="B2106" s="91" t="s">
        <v>1007</v>
      </c>
      <c r="C2106" s="91" t="s">
        <v>1006</v>
      </c>
      <c r="D2106" s="92" t="s">
        <v>1008</v>
      </c>
      <c r="E2106" s="93" t="s">
        <v>839</v>
      </c>
      <c r="F2106" s="93">
        <v>3.35368160674667</v>
      </c>
      <c r="G2106" s="93">
        <v>3.95</v>
      </c>
      <c r="H2106" s="93">
        <v>13.2470423466493</v>
      </c>
      <c r="I2106" s="93">
        <v>21.4635622831787</v>
      </c>
    </row>
    <row r="2107" spans="1:9">
      <c r="A2107" s="90"/>
      <c r="B2107" s="91" t="s">
        <v>1447</v>
      </c>
      <c r="C2107" s="91" t="s">
        <v>1446</v>
      </c>
      <c r="D2107" s="92" t="s">
        <v>1448</v>
      </c>
      <c r="E2107" s="93" t="s">
        <v>839</v>
      </c>
      <c r="F2107" s="93">
        <v>0.50577</v>
      </c>
      <c r="G2107" s="93">
        <v>17.58</v>
      </c>
      <c r="H2107" s="93">
        <v>8.8914366</v>
      </c>
      <c r="I2107" s="93">
        <v>3.236928</v>
      </c>
    </row>
    <row r="2108" spans="1:9">
      <c r="A2108" s="90"/>
      <c r="B2108" s="91" t="s">
        <v>1023</v>
      </c>
      <c r="C2108" s="91" t="s">
        <v>1436</v>
      </c>
      <c r="D2108" s="92" t="s">
        <v>1437</v>
      </c>
      <c r="E2108" s="93" t="s">
        <v>839</v>
      </c>
      <c r="F2108" s="93">
        <v>0.0010346741880612</v>
      </c>
      <c r="G2108" s="93">
        <v>21.83</v>
      </c>
      <c r="H2108" s="93">
        <v>0.0225869375253761</v>
      </c>
      <c r="I2108" s="93">
        <v>0.00662191480359171</v>
      </c>
    </row>
    <row r="2109" spans="1:9">
      <c r="A2109" s="90"/>
      <c r="B2109" s="91" t="s">
        <v>1023</v>
      </c>
      <c r="C2109" s="91" t="s">
        <v>1739</v>
      </c>
      <c r="D2109" s="92" t="s">
        <v>1740</v>
      </c>
      <c r="E2109" s="93" t="s">
        <v>839</v>
      </c>
      <c r="F2109" s="93">
        <v>0.000480204422028873</v>
      </c>
      <c r="G2109" s="93">
        <v>27.14</v>
      </c>
      <c r="H2109" s="93">
        <v>0.0130327480138636</v>
      </c>
      <c r="I2109" s="93">
        <v>0.00307330830098479</v>
      </c>
    </row>
    <row r="2110" spans="1:9">
      <c r="A2110" s="90"/>
      <c r="B2110" s="91" t="s">
        <v>1108</v>
      </c>
      <c r="C2110" s="91" t="s">
        <v>1127</v>
      </c>
      <c r="D2110" s="92" t="s">
        <v>1128</v>
      </c>
      <c r="E2110" s="93" t="s">
        <v>839</v>
      </c>
      <c r="F2110" s="93">
        <v>0.0533052170078389</v>
      </c>
      <c r="G2110" s="93">
        <v>18</v>
      </c>
      <c r="H2110" s="93">
        <v>0.959493906141101</v>
      </c>
      <c r="I2110" s="93">
        <v>0.341153388850169</v>
      </c>
    </row>
    <row r="2111" spans="1:9">
      <c r="A2111" s="90"/>
      <c r="B2111" s="91" t="s">
        <v>1620</v>
      </c>
      <c r="C2111" s="91" t="s">
        <v>1619</v>
      </c>
      <c r="D2111" s="92" t="s">
        <v>1621</v>
      </c>
      <c r="E2111" s="93" t="s">
        <v>839</v>
      </c>
      <c r="F2111" s="93">
        <v>0.1059801543264</v>
      </c>
      <c r="G2111" s="93">
        <v>21.83</v>
      </c>
      <c r="H2111" s="93">
        <v>2.31354676894531</v>
      </c>
      <c r="I2111" s="93">
        <v>0.67827298768896</v>
      </c>
    </row>
    <row r="2112" spans="1:9">
      <c r="A2112" s="90"/>
      <c r="B2112" s="91" t="s">
        <v>1007</v>
      </c>
      <c r="C2112" s="91" t="s">
        <v>1378</v>
      </c>
      <c r="D2112" s="92" t="s">
        <v>1379</v>
      </c>
      <c r="E2112" s="93" t="s">
        <v>839</v>
      </c>
      <c r="F2112" s="93">
        <v>3.35368160674667</v>
      </c>
      <c r="G2112" s="93">
        <v>0.08</v>
      </c>
      <c r="H2112" s="93">
        <v>0.268294528539734</v>
      </c>
      <c r="I2112" s="93">
        <v>21.4635622831787</v>
      </c>
    </row>
    <row r="2113" spans="1:9">
      <c r="A2113" s="90"/>
      <c r="B2113" s="91" t="s">
        <v>1020</v>
      </c>
      <c r="C2113" s="91" t="s">
        <v>1687</v>
      </c>
      <c r="D2113" s="92" t="s">
        <v>1688</v>
      </c>
      <c r="E2113" s="93" t="s">
        <v>839</v>
      </c>
      <c r="F2113" s="93">
        <v>0.50577</v>
      </c>
      <c r="G2113" s="93">
        <v>21.83</v>
      </c>
      <c r="H2113" s="93">
        <v>11.0409591</v>
      </c>
      <c r="I2113" s="93">
        <v>3.236928</v>
      </c>
    </row>
    <row r="2114" spans="1:9">
      <c r="A2114" s="90"/>
      <c r="B2114" s="91" t="s">
        <v>1020</v>
      </c>
      <c r="C2114" s="91" t="s">
        <v>1019</v>
      </c>
      <c r="D2114" s="92" t="s">
        <v>1021</v>
      </c>
      <c r="E2114" s="93" t="s">
        <v>839</v>
      </c>
      <c r="F2114" s="93">
        <v>1.02262853754489</v>
      </c>
      <c r="G2114" s="93">
        <v>14.49</v>
      </c>
      <c r="H2114" s="93">
        <v>14.8178875090255</v>
      </c>
      <c r="I2114" s="93">
        <v>6.54482264028733</v>
      </c>
    </row>
    <row r="2115" spans="1:9">
      <c r="A2115" s="90"/>
      <c r="B2115" s="91" t="s">
        <v>1764</v>
      </c>
      <c r="C2115" s="91" t="s">
        <v>1763</v>
      </c>
      <c r="D2115" s="92" t="s">
        <v>1765</v>
      </c>
      <c r="E2115" s="93" t="s">
        <v>839</v>
      </c>
      <c r="F2115" s="93">
        <v>0.0715262290878085</v>
      </c>
      <c r="G2115" s="93">
        <v>21.83</v>
      </c>
      <c r="H2115" s="93">
        <v>1.56141758098686</v>
      </c>
      <c r="I2115" s="93">
        <v>0.457767866161974</v>
      </c>
    </row>
    <row r="2116" spans="1:9">
      <c r="A2116" s="90"/>
      <c r="B2116" s="91" t="s">
        <v>1700</v>
      </c>
      <c r="C2116" s="91" t="s">
        <v>1754</v>
      </c>
      <c r="D2116" s="92" t="s">
        <v>1755</v>
      </c>
      <c r="E2116" s="93" t="s">
        <v>463</v>
      </c>
      <c r="F2116" s="93">
        <v>0.32485</v>
      </c>
      <c r="G2116" s="93">
        <v>8.96</v>
      </c>
      <c r="H2116" s="93">
        <v>2.91</v>
      </c>
      <c r="I2116" s="93">
        <v>2.07904</v>
      </c>
    </row>
    <row r="2117" spans="1:9">
      <c r="A2117" s="90"/>
      <c r="B2117" s="91" t="s">
        <v>1564</v>
      </c>
      <c r="C2117" s="91" t="s">
        <v>1563</v>
      </c>
      <c r="D2117" s="92" t="s">
        <v>1565</v>
      </c>
      <c r="E2117" s="93" t="s">
        <v>463</v>
      </c>
      <c r="F2117" s="93">
        <v>5.42408</v>
      </c>
      <c r="G2117" s="93">
        <v>9.05</v>
      </c>
      <c r="H2117" s="93">
        <v>49.08</v>
      </c>
      <c r="I2117" s="93">
        <v>34.714112</v>
      </c>
    </row>
    <row r="2118" spans="1:9">
      <c r="A2118" s="90"/>
      <c r="B2118" s="91" t="s">
        <v>1734</v>
      </c>
      <c r="C2118" s="91" t="s">
        <v>1894</v>
      </c>
      <c r="D2118" s="92" t="s">
        <v>1895</v>
      </c>
      <c r="E2118" s="93" t="s">
        <v>494</v>
      </c>
      <c r="F2118" s="93">
        <v>1.11438208195955e-7</v>
      </c>
      <c r="G2118" s="93">
        <v>47943.4</v>
      </c>
      <c r="H2118" s="93">
        <v>0.00534272659082195</v>
      </c>
      <c r="I2118" s="93">
        <v>7.13204532454113e-7</v>
      </c>
    </row>
    <row r="2119" spans="1:9">
      <c r="A2119" s="90"/>
      <c r="B2119" s="91" t="s">
        <v>1734</v>
      </c>
      <c r="C2119" s="91" t="s">
        <v>1909</v>
      </c>
      <c r="D2119" s="92" t="s">
        <v>1910</v>
      </c>
      <c r="E2119" s="93" t="s">
        <v>494</v>
      </c>
      <c r="F2119" s="93">
        <v>6.6013834573749e-8</v>
      </c>
      <c r="G2119" s="93">
        <v>28585</v>
      </c>
      <c r="H2119" s="93">
        <v>0.00188700546129062</v>
      </c>
      <c r="I2119" s="93">
        <v>4.22488541271994e-7</v>
      </c>
    </row>
    <row r="2120" spans="1:9">
      <c r="A2120" s="90"/>
      <c r="B2120" s="91" t="s">
        <v>1493</v>
      </c>
      <c r="C2120" s="91" t="s">
        <v>1492</v>
      </c>
      <c r="D2120" s="92" t="s">
        <v>1494</v>
      </c>
      <c r="E2120" s="93" t="s">
        <v>463</v>
      </c>
      <c r="F2120" s="93">
        <v>10.205</v>
      </c>
      <c r="G2120" s="93">
        <v>11.79</v>
      </c>
      <c r="H2120" s="93">
        <v>120.31</v>
      </c>
      <c r="I2120" s="93">
        <v>65.312</v>
      </c>
    </row>
    <row r="2121" spans="1:9">
      <c r="A2121" s="90"/>
      <c r="B2121" s="91" t="s">
        <v>1493</v>
      </c>
      <c r="C2121" s="91" t="s">
        <v>1747</v>
      </c>
      <c r="D2121" s="92" t="s">
        <v>1748</v>
      </c>
      <c r="E2121" s="93" t="s">
        <v>463</v>
      </c>
      <c r="F2121" s="93">
        <v>0.09485</v>
      </c>
      <c r="G2121" s="93">
        <v>34.86</v>
      </c>
      <c r="H2121" s="93">
        <v>3.306471</v>
      </c>
      <c r="I2121" s="93">
        <v>0.60704</v>
      </c>
    </row>
    <row r="2122" spans="1:9">
      <c r="A2122" s="90"/>
      <c r="B2122" s="91" t="s">
        <v>1693</v>
      </c>
      <c r="C2122" s="91" t="s">
        <v>1692</v>
      </c>
      <c r="D2122" s="92" t="s">
        <v>1694</v>
      </c>
      <c r="E2122" s="93" t="s">
        <v>1695</v>
      </c>
      <c r="F2122" s="93">
        <v>1.66586135105218</v>
      </c>
      <c r="G2122" s="93">
        <v>0.72</v>
      </c>
      <c r="H2122" s="93">
        <v>1.19942017275757</v>
      </c>
      <c r="I2122" s="93">
        <v>10.661512646734</v>
      </c>
    </row>
    <row r="2123" ht="25.5" spans="1:9">
      <c r="A2123" s="90"/>
      <c r="B2123" s="91" t="s">
        <v>1111</v>
      </c>
      <c r="C2123" s="91" t="s">
        <v>1287</v>
      </c>
      <c r="D2123" s="92" t="s">
        <v>1288</v>
      </c>
      <c r="E2123" s="93" t="s">
        <v>839</v>
      </c>
      <c r="F2123" s="93">
        <v>0.554204299486532</v>
      </c>
      <c r="G2123" s="93">
        <v>0.89</v>
      </c>
      <c r="H2123" s="93">
        <v>0.493241826543014</v>
      </c>
      <c r="I2123" s="93">
        <v>3.54690751671381</v>
      </c>
    </row>
    <row r="2124" ht="25.5" spans="1:9">
      <c r="A2124" s="90"/>
      <c r="B2124" s="91" t="s">
        <v>1111</v>
      </c>
      <c r="C2124" s="91" t="s">
        <v>1351</v>
      </c>
      <c r="D2124" s="92" t="s">
        <v>1352</v>
      </c>
      <c r="E2124" s="93" t="s">
        <v>839</v>
      </c>
      <c r="F2124" s="93">
        <v>0.5</v>
      </c>
      <c r="G2124" s="93">
        <v>1.31</v>
      </c>
      <c r="H2124" s="93">
        <v>0.655</v>
      </c>
      <c r="I2124" s="93">
        <v>3.2</v>
      </c>
    </row>
    <row r="2125" spans="1:9">
      <c r="A2125" s="90"/>
      <c r="B2125" s="91" t="s">
        <v>1111</v>
      </c>
      <c r="C2125" s="91" t="s">
        <v>1773</v>
      </c>
      <c r="D2125" s="92" t="s">
        <v>1774</v>
      </c>
      <c r="E2125" s="93" t="s">
        <v>839</v>
      </c>
      <c r="F2125" s="93">
        <v>0.10443864</v>
      </c>
      <c r="G2125" s="93">
        <v>1.85</v>
      </c>
      <c r="H2125" s="93">
        <v>0.193211484</v>
      </c>
      <c r="I2125" s="93">
        <v>0.668407296</v>
      </c>
    </row>
    <row r="2126" ht="25.5" spans="1:9">
      <c r="A2126" s="90"/>
      <c r="B2126" s="91" t="s">
        <v>1111</v>
      </c>
      <c r="C2126" s="91" t="s">
        <v>1110</v>
      </c>
      <c r="D2126" s="92" t="s">
        <v>1112</v>
      </c>
      <c r="E2126" s="93" t="s">
        <v>839</v>
      </c>
      <c r="F2126" s="93">
        <v>2.12432843426114</v>
      </c>
      <c r="G2126" s="93">
        <v>1.39</v>
      </c>
      <c r="H2126" s="93">
        <v>2.95281652362298</v>
      </c>
      <c r="I2126" s="93">
        <v>13.5957019792713</v>
      </c>
    </row>
    <row r="2127" ht="25.5" spans="1:9">
      <c r="A2127" s="90"/>
      <c r="B2127" s="91" t="s">
        <v>1111</v>
      </c>
      <c r="C2127" s="91" t="s">
        <v>1850</v>
      </c>
      <c r="D2127" s="92" t="s">
        <v>1851</v>
      </c>
      <c r="E2127" s="93" t="s">
        <v>839</v>
      </c>
      <c r="F2127" s="93">
        <v>0.070710232999</v>
      </c>
      <c r="G2127" s="93">
        <v>1.82</v>
      </c>
      <c r="H2127" s="93">
        <v>0.12869262405818</v>
      </c>
      <c r="I2127" s="93">
        <v>0.4525454911936</v>
      </c>
    </row>
    <row r="2128" spans="1:9">
      <c r="A2128" s="90"/>
      <c r="B2128" s="91" t="s">
        <v>1007</v>
      </c>
      <c r="C2128" s="91" t="s">
        <v>1050</v>
      </c>
      <c r="D2128" s="92" t="s">
        <v>1051</v>
      </c>
      <c r="E2128" s="93" t="s">
        <v>839</v>
      </c>
      <c r="F2128" s="93">
        <v>3.35368160674667</v>
      </c>
      <c r="G2128" s="93">
        <v>1.43</v>
      </c>
      <c r="H2128" s="93">
        <v>4.79576469764774</v>
      </c>
      <c r="I2128" s="93">
        <v>21.4635622831787</v>
      </c>
    </row>
    <row r="2129" ht="25.5" spans="1:9">
      <c r="A2129" s="90"/>
      <c r="B2129" s="91" t="s">
        <v>1111</v>
      </c>
      <c r="C2129" s="91" t="s">
        <v>1707</v>
      </c>
      <c r="D2129" s="92" t="s">
        <v>1708</v>
      </c>
      <c r="E2129" s="93" t="s">
        <v>839</v>
      </c>
      <c r="F2129" s="93">
        <v>0.554204299486532</v>
      </c>
      <c r="G2129" s="93">
        <v>0.01</v>
      </c>
      <c r="H2129" s="93">
        <v>0.00554204299486533</v>
      </c>
      <c r="I2129" s="93">
        <v>3.54690751671381</v>
      </c>
    </row>
    <row r="2130" ht="25.5" spans="1:9">
      <c r="A2130" s="90"/>
      <c r="B2130" s="91" t="s">
        <v>1111</v>
      </c>
      <c r="C2130" s="91" t="s">
        <v>1427</v>
      </c>
      <c r="D2130" s="92" t="s">
        <v>1428</v>
      </c>
      <c r="E2130" s="93" t="s">
        <v>839</v>
      </c>
      <c r="F2130" s="93">
        <v>0.5</v>
      </c>
      <c r="G2130" s="93">
        <v>0.78</v>
      </c>
      <c r="H2130" s="93">
        <v>0.39</v>
      </c>
      <c r="I2130" s="93">
        <v>3.2</v>
      </c>
    </row>
    <row r="2131" ht="25.5" spans="1:9">
      <c r="A2131" s="90"/>
      <c r="B2131" s="91" t="s">
        <v>1111</v>
      </c>
      <c r="C2131" s="91" t="s">
        <v>1771</v>
      </c>
      <c r="D2131" s="92" t="s">
        <v>1772</v>
      </c>
      <c r="E2131" s="93" t="s">
        <v>839</v>
      </c>
      <c r="F2131" s="93">
        <v>0.10443864</v>
      </c>
      <c r="G2131" s="93">
        <v>2.05</v>
      </c>
      <c r="H2131" s="93">
        <v>0.214099212</v>
      </c>
      <c r="I2131" s="93">
        <v>0.668407296</v>
      </c>
    </row>
    <row r="2132" ht="25.5" spans="1:9">
      <c r="A2132" s="90"/>
      <c r="B2132" s="91" t="s">
        <v>1111</v>
      </c>
      <c r="C2132" s="91" t="s">
        <v>1195</v>
      </c>
      <c r="D2132" s="92" t="s">
        <v>1196</v>
      </c>
      <c r="E2132" s="93" t="s">
        <v>839</v>
      </c>
      <c r="F2132" s="93">
        <v>2.12432843426114</v>
      </c>
      <c r="G2132" s="93">
        <v>0.61</v>
      </c>
      <c r="H2132" s="93">
        <v>1.29584034489929</v>
      </c>
      <c r="I2132" s="93">
        <v>13.5957019792713</v>
      </c>
    </row>
    <row r="2133" ht="25.5" spans="1:9">
      <c r="A2133" s="90"/>
      <c r="B2133" s="91" t="s">
        <v>1111</v>
      </c>
      <c r="C2133" s="91" t="s">
        <v>1859</v>
      </c>
      <c r="D2133" s="92" t="s">
        <v>1860</v>
      </c>
      <c r="E2133" s="93" t="s">
        <v>839</v>
      </c>
      <c r="F2133" s="93">
        <v>0.070710232999</v>
      </c>
      <c r="G2133" s="93">
        <v>1.21</v>
      </c>
      <c r="H2133" s="93">
        <v>0.08555938192879</v>
      </c>
      <c r="I2133" s="93">
        <v>0.4525454911936</v>
      </c>
    </row>
    <row r="2134" spans="1:9">
      <c r="A2134" s="90"/>
      <c r="B2134" s="91" t="s">
        <v>1364</v>
      </c>
      <c r="C2134" s="91" t="s">
        <v>1614</v>
      </c>
      <c r="D2134" s="92" t="s">
        <v>1615</v>
      </c>
      <c r="E2134" s="93" t="s">
        <v>112</v>
      </c>
      <c r="F2134" s="93">
        <v>3.11667</v>
      </c>
      <c r="G2134" s="93">
        <v>8.28</v>
      </c>
      <c r="H2134" s="93">
        <v>25.8</v>
      </c>
      <c r="I2134" s="93">
        <v>19.946688</v>
      </c>
    </row>
    <row r="2135" spans="1:9">
      <c r="A2135" s="90"/>
      <c r="B2135" s="91" t="s">
        <v>1605</v>
      </c>
      <c r="C2135" s="91" t="s">
        <v>1898</v>
      </c>
      <c r="D2135" s="92" t="s">
        <v>1899</v>
      </c>
      <c r="E2135" s="93" t="s">
        <v>494</v>
      </c>
      <c r="F2135" s="93">
        <v>9.338706e-6</v>
      </c>
      <c r="G2135" s="93">
        <v>1451.18</v>
      </c>
      <c r="H2135" s="93">
        <v>0.01355214337308</v>
      </c>
      <c r="I2135" s="93">
        <v>5.97677184e-5</v>
      </c>
    </row>
    <row r="2136" spans="1:9">
      <c r="A2136" s="90"/>
      <c r="B2136" s="91" t="s">
        <v>1661</v>
      </c>
      <c r="C2136" s="91" t="s">
        <v>1793</v>
      </c>
      <c r="D2136" s="92" t="s">
        <v>1794</v>
      </c>
      <c r="E2136" s="93" t="s">
        <v>494</v>
      </c>
      <c r="F2136" s="93">
        <v>1.0297024e-5</v>
      </c>
      <c r="G2136" s="93">
        <v>125853.85</v>
      </c>
      <c r="H2136" s="93">
        <v>1.2959201139424</v>
      </c>
      <c r="I2136" s="93">
        <v>6.59009536e-5</v>
      </c>
    </row>
    <row r="2137" spans="1:9">
      <c r="A2137" s="90"/>
      <c r="B2137" s="91" t="s">
        <v>1661</v>
      </c>
      <c r="C2137" s="91" t="s">
        <v>1758</v>
      </c>
      <c r="D2137" s="92" t="s">
        <v>1759</v>
      </c>
      <c r="E2137" s="93" t="s">
        <v>494</v>
      </c>
      <c r="F2137" s="93">
        <v>2.47037318e-5</v>
      </c>
      <c r="G2137" s="93">
        <v>106392.69</v>
      </c>
      <c r="H2137" s="93">
        <v>2.62829647924054</v>
      </c>
      <c r="I2137" s="93">
        <v>0.00015810388352</v>
      </c>
    </row>
    <row r="2138" spans="1:9">
      <c r="A2138" s="90"/>
      <c r="B2138" s="91" t="s">
        <v>1605</v>
      </c>
      <c r="C2138" s="91" t="s">
        <v>1900</v>
      </c>
      <c r="D2138" s="92" t="s">
        <v>1901</v>
      </c>
      <c r="E2138" s="93" t="s">
        <v>494</v>
      </c>
      <c r="F2138" s="93">
        <v>9.62507691582388e-6</v>
      </c>
      <c r="G2138" s="93">
        <v>1248.71</v>
      </c>
      <c r="H2138" s="93">
        <v>0.0120189297955584</v>
      </c>
      <c r="I2138" s="93">
        <v>6.16004922612728e-5</v>
      </c>
    </row>
    <row r="2139" spans="1:9">
      <c r="A2139" s="90"/>
      <c r="B2139" s="91" t="s">
        <v>985</v>
      </c>
      <c r="C2139" s="91" t="s">
        <v>984</v>
      </c>
      <c r="D2139" s="92" t="s">
        <v>986</v>
      </c>
      <c r="E2139" s="93" t="s">
        <v>215</v>
      </c>
      <c r="F2139" s="93">
        <v>0.0276198816991674</v>
      </c>
      <c r="G2139" s="93">
        <v>5.93</v>
      </c>
      <c r="H2139" s="93">
        <v>0.163785898476063</v>
      </c>
      <c r="I2139" s="93">
        <v>0.176767242874671</v>
      </c>
    </row>
    <row r="2140" ht="25.5" spans="1:9">
      <c r="A2140" s="90"/>
      <c r="B2140" s="91" t="s">
        <v>1737</v>
      </c>
      <c r="C2140" s="91" t="s">
        <v>1795</v>
      </c>
      <c r="D2140" s="92" t="s">
        <v>1796</v>
      </c>
      <c r="E2140" s="93" t="s">
        <v>1348</v>
      </c>
      <c r="F2140" s="93">
        <v>2</v>
      </c>
      <c r="G2140" s="93">
        <v>0.62</v>
      </c>
      <c r="H2140" s="93">
        <v>1.24</v>
      </c>
      <c r="I2140" s="93">
        <v>12.8</v>
      </c>
    </row>
    <row r="2141" ht="25.5" spans="1:9">
      <c r="A2141" s="90"/>
      <c r="B2141" s="91" t="s">
        <v>1737</v>
      </c>
      <c r="C2141" s="91" t="s">
        <v>1736</v>
      </c>
      <c r="D2141" s="92" t="s">
        <v>1738</v>
      </c>
      <c r="E2141" s="93" t="s">
        <v>1348</v>
      </c>
      <c r="F2141" s="93">
        <v>2</v>
      </c>
      <c r="G2141" s="93">
        <v>2.09</v>
      </c>
      <c r="H2141" s="93">
        <v>4.18</v>
      </c>
      <c r="I2141" s="93">
        <v>12.8</v>
      </c>
    </row>
    <row r="2142" spans="1:9">
      <c r="A2142" s="90"/>
      <c r="B2142" s="91" t="s">
        <v>1364</v>
      </c>
      <c r="C2142" s="91" t="s">
        <v>1363</v>
      </c>
      <c r="D2142" s="92" t="s">
        <v>1365</v>
      </c>
      <c r="E2142" s="93" t="s">
        <v>466</v>
      </c>
      <c r="F2142" s="93">
        <v>1.4</v>
      </c>
      <c r="G2142" s="93">
        <v>256.86</v>
      </c>
      <c r="H2142" s="93">
        <v>359.6</v>
      </c>
      <c r="I2142" s="93">
        <v>8.96</v>
      </c>
    </row>
    <row r="2143" spans="1:9">
      <c r="A2143" s="90"/>
      <c r="B2143" s="91" t="s">
        <v>1605</v>
      </c>
      <c r="C2143" s="91" t="s">
        <v>1756</v>
      </c>
      <c r="D2143" s="92" t="s">
        <v>1757</v>
      </c>
      <c r="E2143" s="93" t="s">
        <v>494</v>
      </c>
      <c r="F2143" s="93">
        <v>2.84766528e-5</v>
      </c>
      <c r="G2143" s="93">
        <v>94215.19</v>
      </c>
      <c r="H2143" s="93">
        <v>2.68293325411603</v>
      </c>
      <c r="I2143" s="93">
        <v>0.00018225057792</v>
      </c>
    </row>
    <row r="2144" spans="1:9">
      <c r="A2144" s="90"/>
      <c r="B2144" s="91" t="s">
        <v>1700</v>
      </c>
      <c r="C2144" s="91" t="s">
        <v>1699</v>
      </c>
      <c r="D2144" s="92" t="s">
        <v>1701</v>
      </c>
      <c r="E2144" s="93" t="s">
        <v>463</v>
      </c>
      <c r="F2144" s="93">
        <v>0.112</v>
      </c>
      <c r="G2144" s="93">
        <v>69.44</v>
      </c>
      <c r="H2144" s="93">
        <v>7.77728</v>
      </c>
      <c r="I2144" s="93">
        <v>0.7168</v>
      </c>
    </row>
    <row r="2145" spans="1:9">
      <c r="A2145" s="85" t="s">
        <v>2482</v>
      </c>
      <c r="B2145" s="85" t="s">
        <v>931</v>
      </c>
      <c r="C2145" s="85" t="s">
        <v>2483</v>
      </c>
      <c r="D2145" s="87" t="s">
        <v>541</v>
      </c>
      <c r="E2145" s="89" t="s">
        <v>466</v>
      </c>
      <c r="F2145" s="89">
        <v>2672.53</v>
      </c>
      <c r="G2145" s="89">
        <v>16.91</v>
      </c>
      <c r="H2145" s="89">
        <v>45192.48</v>
      </c>
      <c r="I2145" s="89">
        <v>2672.53</v>
      </c>
    </row>
    <row r="2146" spans="1:9">
      <c r="A2146" s="90"/>
      <c r="B2146" s="91" t="s">
        <v>1007</v>
      </c>
      <c r="C2146" s="91" t="s">
        <v>1048</v>
      </c>
      <c r="D2146" s="92" t="s">
        <v>1049</v>
      </c>
      <c r="E2146" s="93" t="s">
        <v>839</v>
      </c>
      <c r="F2146" s="93">
        <v>1</v>
      </c>
      <c r="G2146" s="93">
        <v>1.5</v>
      </c>
      <c r="H2146" s="93">
        <v>0.24945</v>
      </c>
      <c r="I2146" s="93">
        <v>2672.53</v>
      </c>
    </row>
    <row r="2147" spans="1:9">
      <c r="A2147" s="90"/>
      <c r="B2147" s="91" t="s">
        <v>1007</v>
      </c>
      <c r="C2147" s="91" t="s">
        <v>1006</v>
      </c>
      <c r="D2147" s="92" t="s">
        <v>1008</v>
      </c>
      <c r="E2147" s="93" t="s">
        <v>839</v>
      </c>
      <c r="F2147" s="93">
        <v>0.1663</v>
      </c>
      <c r="G2147" s="93">
        <v>3.95</v>
      </c>
      <c r="H2147" s="93">
        <v>0.656885</v>
      </c>
      <c r="I2147" s="93">
        <v>444.441739</v>
      </c>
    </row>
    <row r="2148" spans="1:9">
      <c r="A2148" s="90"/>
      <c r="B2148" s="91" t="s">
        <v>1328</v>
      </c>
      <c r="C2148" s="91" t="s">
        <v>1327</v>
      </c>
      <c r="D2148" s="92" t="s">
        <v>1329</v>
      </c>
      <c r="E2148" s="93" t="s">
        <v>839</v>
      </c>
      <c r="F2148" s="93">
        <v>0.027840993</v>
      </c>
      <c r="G2148" s="93">
        <v>18.86</v>
      </c>
      <c r="H2148" s="93">
        <v>0.52508112798</v>
      </c>
      <c r="I2148" s="93">
        <v>74.40588902229</v>
      </c>
    </row>
    <row r="2149" spans="1:9">
      <c r="A2149" s="90"/>
      <c r="B2149" s="91" t="s">
        <v>1007</v>
      </c>
      <c r="C2149" s="91" t="s">
        <v>1378</v>
      </c>
      <c r="D2149" s="92" t="s">
        <v>1379</v>
      </c>
      <c r="E2149" s="93" t="s">
        <v>839</v>
      </c>
      <c r="F2149" s="93">
        <v>0.1663</v>
      </c>
      <c r="G2149" s="93">
        <v>0.08</v>
      </c>
      <c r="H2149" s="93">
        <v>0.013304</v>
      </c>
      <c r="I2149" s="93">
        <v>444.441739</v>
      </c>
    </row>
    <row r="2150" spans="1:9">
      <c r="A2150" s="90"/>
      <c r="B2150" s="91" t="s">
        <v>1020</v>
      </c>
      <c r="C2150" s="91" t="s">
        <v>1019</v>
      </c>
      <c r="D2150" s="92" t="s">
        <v>1021</v>
      </c>
      <c r="E2150" s="93" t="s">
        <v>839</v>
      </c>
      <c r="F2150" s="93">
        <v>0.14153832</v>
      </c>
      <c r="G2150" s="93">
        <v>14.49</v>
      </c>
      <c r="H2150" s="93">
        <v>2.0508902568</v>
      </c>
      <c r="I2150" s="93">
        <v>378.2654063496</v>
      </c>
    </row>
    <row r="2151" ht="25.5" spans="1:9">
      <c r="A2151" s="90"/>
      <c r="B2151" s="91" t="s">
        <v>1111</v>
      </c>
      <c r="C2151" s="91" t="s">
        <v>1351</v>
      </c>
      <c r="D2151" s="92" t="s">
        <v>1352</v>
      </c>
      <c r="E2151" s="93" t="s">
        <v>839</v>
      </c>
      <c r="F2151" s="93">
        <v>0.0277</v>
      </c>
      <c r="G2151" s="93">
        <v>1.31</v>
      </c>
      <c r="H2151" s="93">
        <v>0.036287</v>
      </c>
      <c r="I2151" s="93">
        <v>74.029081</v>
      </c>
    </row>
    <row r="2152" ht="25.5" spans="1:9">
      <c r="A2152" s="90"/>
      <c r="B2152" s="91" t="s">
        <v>1111</v>
      </c>
      <c r="C2152" s="91" t="s">
        <v>1110</v>
      </c>
      <c r="D2152" s="92" t="s">
        <v>1112</v>
      </c>
      <c r="E2152" s="93" t="s">
        <v>839</v>
      </c>
      <c r="F2152" s="93">
        <v>0.1386</v>
      </c>
      <c r="G2152" s="93">
        <v>1.39</v>
      </c>
      <c r="H2152" s="93">
        <v>0.192654</v>
      </c>
      <c r="I2152" s="93">
        <v>370.412658</v>
      </c>
    </row>
    <row r="2153" spans="1:9">
      <c r="A2153" s="90"/>
      <c r="B2153" s="91" t="s">
        <v>1007</v>
      </c>
      <c r="C2153" s="91" t="s">
        <v>1050</v>
      </c>
      <c r="D2153" s="92" t="s">
        <v>1051</v>
      </c>
      <c r="E2153" s="93" t="s">
        <v>839</v>
      </c>
      <c r="F2153" s="93">
        <v>0.1663</v>
      </c>
      <c r="G2153" s="93">
        <v>1.43</v>
      </c>
      <c r="H2153" s="93">
        <v>0.237809</v>
      </c>
      <c r="I2153" s="93">
        <v>444.441739</v>
      </c>
    </row>
    <row r="2154" ht="25.5" spans="1:9">
      <c r="A2154" s="90"/>
      <c r="B2154" s="91" t="s">
        <v>1111</v>
      </c>
      <c r="C2154" s="91" t="s">
        <v>1427</v>
      </c>
      <c r="D2154" s="92" t="s">
        <v>1428</v>
      </c>
      <c r="E2154" s="93" t="s">
        <v>839</v>
      </c>
      <c r="F2154" s="93">
        <v>0.0277</v>
      </c>
      <c r="G2154" s="93">
        <v>0.78</v>
      </c>
      <c r="H2154" s="93">
        <v>0.021606</v>
      </c>
      <c r="I2154" s="93">
        <v>74.029081</v>
      </c>
    </row>
    <row r="2155" ht="25.5" spans="1:9">
      <c r="A2155" s="90"/>
      <c r="B2155" s="91" t="s">
        <v>1111</v>
      </c>
      <c r="C2155" s="91" t="s">
        <v>1195</v>
      </c>
      <c r="D2155" s="92" t="s">
        <v>1196</v>
      </c>
      <c r="E2155" s="93" t="s">
        <v>839</v>
      </c>
      <c r="F2155" s="93">
        <v>0.1386</v>
      </c>
      <c r="G2155" s="93">
        <v>0.61</v>
      </c>
      <c r="H2155" s="93">
        <v>0.084546</v>
      </c>
      <c r="I2155" s="93">
        <v>370.412658</v>
      </c>
    </row>
    <row r="2156" spans="1:9">
      <c r="A2156" s="90"/>
      <c r="B2156" s="91" t="s">
        <v>1066</v>
      </c>
      <c r="C2156" s="91" t="s">
        <v>1065</v>
      </c>
      <c r="D2156" s="92" t="s">
        <v>1067</v>
      </c>
      <c r="E2156" s="93" t="s">
        <v>466</v>
      </c>
      <c r="F2156" s="93">
        <v>1</v>
      </c>
      <c r="G2156" s="93">
        <v>12.85</v>
      </c>
      <c r="H2156" s="93">
        <v>12.85</v>
      </c>
      <c r="I2156" s="93">
        <v>2672.53</v>
      </c>
    </row>
    <row r="2157" spans="1:9">
      <c r="A2157" s="85" t="s">
        <v>2484</v>
      </c>
      <c r="B2157" s="86"/>
      <c r="C2157" s="86"/>
      <c r="D2157" s="87" t="s">
        <v>932</v>
      </c>
      <c r="E2157" s="88"/>
      <c r="F2157" s="89">
        <v>0</v>
      </c>
      <c r="G2157" s="89">
        <v>0</v>
      </c>
      <c r="H2157" s="89">
        <v>0</v>
      </c>
      <c r="I2157" s="89">
        <v>0</v>
      </c>
    </row>
    <row r="2158" ht="38.25" spans="1:9">
      <c r="A2158" s="85" t="s">
        <v>2485</v>
      </c>
      <c r="B2158" s="85" t="s">
        <v>933</v>
      </c>
      <c r="C2158" s="85" t="s">
        <v>2486</v>
      </c>
      <c r="D2158" s="87" t="s">
        <v>934</v>
      </c>
      <c r="E2158" s="89" t="s">
        <v>494</v>
      </c>
      <c r="F2158" s="89">
        <v>1</v>
      </c>
      <c r="G2158" s="89">
        <v>5997.38</v>
      </c>
      <c r="H2158" s="89">
        <v>5997.38</v>
      </c>
      <c r="I2158" s="89">
        <v>1</v>
      </c>
    </row>
    <row r="2159" ht="25.5" spans="1:9">
      <c r="A2159" s="90"/>
      <c r="B2159" s="91" t="s">
        <v>1538</v>
      </c>
      <c r="C2159" s="91" t="s">
        <v>1537</v>
      </c>
      <c r="D2159" s="92" t="s">
        <v>1539</v>
      </c>
      <c r="E2159" s="93" t="s">
        <v>494</v>
      </c>
      <c r="F2159" s="93">
        <v>1</v>
      </c>
      <c r="G2159" s="93">
        <v>2485831.6</v>
      </c>
      <c r="H2159" s="93">
        <v>432.240674238352</v>
      </c>
      <c r="I2159" s="93">
        <v>1</v>
      </c>
    </row>
    <row r="2160" spans="1:9">
      <c r="A2160" s="90"/>
      <c r="B2160" s="91" t="s">
        <v>1007</v>
      </c>
      <c r="C2160" s="91" t="s">
        <v>1048</v>
      </c>
      <c r="D2160" s="92" t="s">
        <v>1049</v>
      </c>
      <c r="E2160" s="93" t="s">
        <v>839</v>
      </c>
      <c r="F2160" s="93">
        <v>1</v>
      </c>
      <c r="G2160" s="93">
        <v>1.5</v>
      </c>
      <c r="H2160" s="93">
        <v>8.38305</v>
      </c>
      <c r="I2160" s="93">
        <v>1</v>
      </c>
    </row>
    <row r="2161" spans="1:9">
      <c r="A2161" s="90"/>
      <c r="B2161" s="91" t="s">
        <v>1007</v>
      </c>
      <c r="C2161" s="91" t="s">
        <v>1006</v>
      </c>
      <c r="D2161" s="92" t="s">
        <v>1008</v>
      </c>
      <c r="E2161" s="93" t="s">
        <v>839</v>
      </c>
      <c r="F2161" s="93">
        <v>5.5887</v>
      </c>
      <c r="G2161" s="93">
        <v>3.95</v>
      </c>
      <c r="H2161" s="93">
        <v>22.075365</v>
      </c>
      <c r="I2161" s="93">
        <v>5.5887</v>
      </c>
    </row>
    <row r="2162" spans="1:9">
      <c r="A2162" s="90"/>
      <c r="B2162" s="91" t="s">
        <v>1453</v>
      </c>
      <c r="C2162" s="91" t="s">
        <v>1452</v>
      </c>
      <c r="D2162" s="92" t="s">
        <v>1454</v>
      </c>
      <c r="E2162" s="93" t="s">
        <v>839</v>
      </c>
      <c r="F2162" s="93">
        <v>1.508748158</v>
      </c>
      <c r="G2162" s="93">
        <v>15.35</v>
      </c>
      <c r="H2162" s="93">
        <v>23.1592842253</v>
      </c>
      <c r="I2162" s="93">
        <v>1.508748158</v>
      </c>
    </row>
    <row r="2163" spans="1:9">
      <c r="A2163" s="90"/>
      <c r="B2163" s="91" t="s">
        <v>1248</v>
      </c>
      <c r="C2163" s="91" t="s">
        <v>1247</v>
      </c>
      <c r="D2163" s="92" t="s">
        <v>1249</v>
      </c>
      <c r="E2163" s="93" t="s">
        <v>839</v>
      </c>
      <c r="F2163" s="93">
        <v>1.508748158</v>
      </c>
      <c r="G2163" s="93">
        <v>21.83</v>
      </c>
      <c r="H2163" s="93">
        <v>32.93597228914</v>
      </c>
      <c r="I2163" s="93">
        <v>1.508748158</v>
      </c>
    </row>
    <row r="2164" spans="1:9">
      <c r="A2164" s="90"/>
      <c r="B2164" s="91" t="s">
        <v>1316</v>
      </c>
      <c r="C2164" s="91" t="s">
        <v>1702</v>
      </c>
      <c r="D2164" s="92" t="s">
        <v>1703</v>
      </c>
      <c r="E2164" s="93" t="s">
        <v>839</v>
      </c>
      <c r="F2164" s="93">
        <v>2.667463065</v>
      </c>
      <c r="G2164" s="93">
        <v>18</v>
      </c>
      <c r="H2164" s="93">
        <v>48.01433517</v>
      </c>
      <c r="I2164" s="93">
        <v>2.667463065</v>
      </c>
    </row>
    <row r="2165" spans="1:9">
      <c r="A2165" s="90"/>
      <c r="B2165" s="91" t="s">
        <v>1007</v>
      </c>
      <c r="C2165" s="91" t="s">
        <v>1378</v>
      </c>
      <c r="D2165" s="92" t="s">
        <v>1379</v>
      </c>
      <c r="E2165" s="93" t="s">
        <v>839</v>
      </c>
      <c r="F2165" s="93">
        <v>5.5887</v>
      </c>
      <c r="G2165" s="93">
        <v>0.08</v>
      </c>
      <c r="H2165" s="93">
        <v>0.447096</v>
      </c>
      <c r="I2165" s="93">
        <v>5.5887</v>
      </c>
    </row>
    <row r="2166" ht="25.5" spans="1:9">
      <c r="A2166" s="90"/>
      <c r="B2166" s="91" t="s">
        <v>1242</v>
      </c>
      <c r="C2166" s="91" t="s">
        <v>1241</v>
      </c>
      <c r="D2166" s="92" t="s">
        <v>1243</v>
      </c>
      <c r="E2166" s="93" t="s">
        <v>494</v>
      </c>
      <c r="F2166" s="93">
        <v>1</v>
      </c>
      <c r="G2166" s="93">
        <v>5413.04</v>
      </c>
      <c r="H2166" s="93">
        <v>5413.04</v>
      </c>
      <c r="I2166" s="93">
        <v>1</v>
      </c>
    </row>
    <row r="2167" spans="1:9">
      <c r="A2167" s="90"/>
      <c r="B2167" s="91" t="s">
        <v>1693</v>
      </c>
      <c r="C2167" s="91" t="s">
        <v>1692</v>
      </c>
      <c r="D2167" s="92" t="s">
        <v>1694</v>
      </c>
      <c r="E2167" s="93" t="s">
        <v>1695</v>
      </c>
      <c r="F2167" s="93">
        <v>3.4242</v>
      </c>
      <c r="G2167" s="93">
        <v>0.72</v>
      </c>
      <c r="H2167" s="93">
        <v>2.465424</v>
      </c>
      <c r="I2167" s="93">
        <v>3.4242</v>
      </c>
    </row>
    <row r="2168" ht="25.5" spans="1:9">
      <c r="A2168" s="90"/>
      <c r="B2168" s="91" t="s">
        <v>1111</v>
      </c>
      <c r="C2168" s="91" t="s">
        <v>1558</v>
      </c>
      <c r="D2168" s="92" t="s">
        <v>1559</v>
      </c>
      <c r="E2168" s="93" t="s">
        <v>839</v>
      </c>
      <c r="F2168" s="93">
        <v>2.9642</v>
      </c>
      <c r="G2168" s="93">
        <v>1.13</v>
      </c>
      <c r="H2168" s="93">
        <v>3.349546</v>
      </c>
      <c r="I2168" s="93">
        <v>2.9642</v>
      </c>
    </row>
    <row r="2169" ht="25.5" spans="1:9">
      <c r="A2169" s="90"/>
      <c r="B2169" s="91" t="s">
        <v>1111</v>
      </c>
      <c r="C2169" s="91" t="s">
        <v>1287</v>
      </c>
      <c r="D2169" s="92" t="s">
        <v>1288</v>
      </c>
      <c r="E2169" s="93" t="s">
        <v>839</v>
      </c>
      <c r="F2169" s="93">
        <v>2.6245</v>
      </c>
      <c r="G2169" s="93">
        <v>0.89</v>
      </c>
      <c r="H2169" s="93">
        <v>2.335805</v>
      </c>
      <c r="I2169" s="93">
        <v>2.6245</v>
      </c>
    </row>
    <row r="2170" spans="1:9">
      <c r="A2170" s="90"/>
      <c r="B2170" s="91" t="s">
        <v>1007</v>
      </c>
      <c r="C2170" s="91" t="s">
        <v>1050</v>
      </c>
      <c r="D2170" s="92" t="s">
        <v>1051</v>
      </c>
      <c r="E2170" s="93" t="s">
        <v>839</v>
      </c>
      <c r="F2170" s="93">
        <v>5.5887</v>
      </c>
      <c r="G2170" s="93">
        <v>1.43</v>
      </c>
      <c r="H2170" s="93">
        <v>7.991841</v>
      </c>
      <c r="I2170" s="93">
        <v>5.5887</v>
      </c>
    </row>
    <row r="2171" ht="25.5" spans="1:9">
      <c r="A2171" s="90"/>
      <c r="B2171" s="91" t="s">
        <v>1111</v>
      </c>
      <c r="C2171" s="91" t="s">
        <v>1674</v>
      </c>
      <c r="D2171" s="92" t="s">
        <v>1675</v>
      </c>
      <c r="E2171" s="93" t="s">
        <v>839</v>
      </c>
      <c r="F2171" s="93">
        <v>2.9642</v>
      </c>
      <c r="G2171" s="93">
        <v>0.31</v>
      </c>
      <c r="H2171" s="93">
        <v>0.918902</v>
      </c>
      <c r="I2171" s="93">
        <v>2.9642</v>
      </c>
    </row>
    <row r="2172" ht="25.5" spans="1:9">
      <c r="A2172" s="90"/>
      <c r="B2172" s="91" t="s">
        <v>1111</v>
      </c>
      <c r="C2172" s="91" t="s">
        <v>1707</v>
      </c>
      <c r="D2172" s="92" t="s">
        <v>2369</v>
      </c>
      <c r="E2172" s="93" t="s">
        <v>839</v>
      </c>
      <c r="F2172" s="93">
        <v>2.6245</v>
      </c>
      <c r="G2172" s="93">
        <v>0.01</v>
      </c>
      <c r="H2172" s="93">
        <v>0.026245</v>
      </c>
      <c r="I2172" s="93">
        <v>2.6245</v>
      </c>
    </row>
    <row r="2173" spans="1:9">
      <c r="A2173" s="90"/>
      <c r="B2173" s="90"/>
      <c r="C2173" s="90"/>
      <c r="D2173" s="92" t="s">
        <v>2370</v>
      </c>
      <c r="E2173" s="94"/>
      <c r="F2173" s="94"/>
      <c r="G2173" s="94"/>
      <c r="H2173" s="94"/>
      <c r="I2173" s="94"/>
    </row>
    <row r="2174" ht="25.5" spans="1:9">
      <c r="A2174" s="85" t="s">
        <v>2487</v>
      </c>
      <c r="B2174" s="85" t="s">
        <v>935</v>
      </c>
      <c r="C2174" s="85" t="s">
        <v>2488</v>
      </c>
      <c r="D2174" s="87" t="s">
        <v>375</v>
      </c>
      <c r="E2174" s="89" t="s">
        <v>494</v>
      </c>
      <c r="F2174" s="89">
        <v>1</v>
      </c>
      <c r="G2174" s="89">
        <v>4902.05</v>
      </c>
      <c r="H2174" s="89">
        <v>4902.05</v>
      </c>
      <c r="I2174" s="89">
        <v>1</v>
      </c>
    </row>
    <row r="2175" spans="1:9">
      <c r="A2175" s="90"/>
      <c r="B2175" s="91" t="s">
        <v>1464</v>
      </c>
      <c r="C2175" s="91" t="s">
        <v>1463</v>
      </c>
      <c r="D2175" s="92" t="s">
        <v>1465</v>
      </c>
      <c r="E2175" s="93" t="s">
        <v>839</v>
      </c>
      <c r="F2175" s="93">
        <v>8.04072</v>
      </c>
      <c r="G2175" s="93">
        <v>15.96</v>
      </c>
      <c r="H2175" s="93">
        <v>128.3298912</v>
      </c>
      <c r="I2175" s="93">
        <v>8.04072</v>
      </c>
    </row>
    <row r="2176" spans="1:9">
      <c r="A2176" s="90"/>
      <c r="B2176" s="91" t="s">
        <v>1254</v>
      </c>
      <c r="C2176" s="91" t="s">
        <v>1253</v>
      </c>
      <c r="D2176" s="92" t="s">
        <v>1255</v>
      </c>
      <c r="E2176" s="93" t="s">
        <v>839</v>
      </c>
      <c r="F2176" s="93">
        <v>32.4736</v>
      </c>
      <c r="G2176" s="93">
        <v>144.18</v>
      </c>
      <c r="H2176" s="93">
        <v>4682.043648</v>
      </c>
      <c r="I2176" s="93">
        <v>32.4736</v>
      </c>
    </row>
    <row r="2177" spans="1:9">
      <c r="A2177" s="90"/>
      <c r="B2177" s="91" t="s">
        <v>1007</v>
      </c>
      <c r="C2177" s="91" t="s">
        <v>1378</v>
      </c>
      <c r="D2177" s="92" t="s">
        <v>1379</v>
      </c>
      <c r="E2177" s="93" t="s">
        <v>839</v>
      </c>
      <c r="F2177" s="93">
        <v>40</v>
      </c>
      <c r="G2177" s="93">
        <v>0.08</v>
      </c>
      <c r="H2177" s="93">
        <v>3.2</v>
      </c>
      <c r="I2177" s="93">
        <v>40</v>
      </c>
    </row>
    <row r="2178" ht="25.5" spans="1:9">
      <c r="A2178" s="90"/>
      <c r="B2178" s="91" t="s">
        <v>1111</v>
      </c>
      <c r="C2178" s="91" t="s">
        <v>1743</v>
      </c>
      <c r="D2178" s="92" t="s">
        <v>1744</v>
      </c>
      <c r="E2178" s="93" t="s">
        <v>839</v>
      </c>
      <c r="F2178" s="93">
        <v>32</v>
      </c>
      <c r="G2178" s="93">
        <v>0.77</v>
      </c>
      <c r="H2178" s="93">
        <v>24.64</v>
      </c>
      <c r="I2178" s="93">
        <v>32</v>
      </c>
    </row>
    <row r="2179" ht="25.5" spans="1:9">
      <c r="A2179" s="90"/>
      <c r="B2179" s="91" t="s">
        <v>1111</v>
      </c>
      <c r="C2179" s="91" t="s">
        <v>1553</v>
      </c>
      <c r="D2179" s="92" t="s">
        <v>1554</v>
      </c>
      <c r="E2179" s="93" t="s">
        <v>839</v>
      </c>
      <c r="F2179" s="93">
        <v>8</v>
      </c>
      <c r="G2179" s="93">
        <v>0.74</v>
      </c>
      <c r="H2179" s="93">
        <v>5.92</v>
      </c>
      <c r="I2179" s="93">
        <v>8</v>
      </c>
    </row>
    <row r="2180" spans="1:9">
      <c r="A2180" s="90"/>
      <c r="B2180" s="91" t="s">
        <v>1007</v>
      </c>
      <c r="C2180" s="91" t="s">
        <v>1050</v>
      </c>
      <c r="D2180" s="92" t="s">
        <v>1051</v>
      </c>
      <c r="E2180" s="93" t="s">
        <v>839</v>
      </c>
      <c r="F2180" s="93">
        <v>40</v>
      </c>
      <c r="G2180" s="93">
        <v>1.43</v>
      </c>
      <c r="H2180" s="93">
        <v>57.2</v>
      </c>
      <c r="I2180" s="93">
        <v>40</v>
      </c>
    </row>
    <row r="2181" ht="25.5" spans="1:9">
      <c r="A2181" s="90"/>
      <c r="B2181" s="91" t="s">
        <v>1111</v>
      </c>
      <c r="C2181" s="91" t="s">
        <v>1874</v>
      </c>
      <c r="D2181" s="92" t="s">
        <v>1875</v>
      </c>
      <c r="E2181" s="93" t="s">
        <v>839</v>
      </c>
      <c r="F2181" s="93">
        <v>32</v>
      </c>
      <c r="G2181" s="93">
        <v>0.01</v>
      </c>
      <c r="H2181" s="93">
        <v>0.32</v>
      </c>
      <c r="I2181" s="93">
        <v>32</v>
      </c>
    </row>
    <row r="2182" ht="25.5" spans="1:9">
      <c r="A2182" s="90"/>
      <c r="B2182" s="91" t="s">
        <v>1111</v>
      </c>
      <c r="C2182" s="91" t="s">
        <v>1745</v>
      </c>
      <c r="D2182" s="92" t="s">
        <v>1746</v>
      </c>
      <c r="E2182" s="93" t="s">
        <v>839</v>
      </c>
      <c r="F2182" s="93">
        <v>8</v>
      </c>
      <c r="G2182" s="93">
        <v>0.05</v>
      </c>
      <c r="H2182" s="93">
        <v>0.4</v>
      </c>
      <c r="I2182" s="93">
        <v>8</v>
      </c>
    </row>
    <row r="2183" ht="25.5" spans="1:9">
      <c r="A2183" s="85" t="s">
        <v>2489</v>
      </c>
      <c r="B2183" s="85" t="s">
        <v>936</v>
      </c>
      <c r="C2183" s="85" t="s">
        <v>2490</v>
      </c>
      <c r="D2183" s="87" t="s">
        <v>937</v>
      </c>
      <c r="E2183" s="89" t="s">
        <v>494</v>
      </c>
      <c r="F2183" s="89">
        <v>2</v>
      </c>
      <c r="G2183" s="89">
        <v>168.75</v>
      </c>
      <c r="H2183" s="89">
        <v>337.5</v>
      </c>
      <c r="I2183" s="89">
        <v>2</v>
      </c>
    </row>
    <row r="2184" spans="1:9">
      <c r="A2184" s="90"/>
      <c r="B2184" s="91" t="s">
        <v>1007</v>
      </c>
      <c r="C2184" s="91" t="s">
        <v>1048</v>
      </c>
      <c r="D2184" s="92" t="s">
        <v>1049</v>
      </c>
      <c r="E2184" s="93" t="s">
        <v>839</v>
      </c>
      <c r="F2184" s="93">
        <v>1</v>
      </c>
      <c r="G2184" s="93">
        <v>1.5</v>
      </c>
      <c r="H2184" s="93">
        <v>2.529</v>
      </c>
      <c r="I2184" s="93">
        <v>2</v>
      </c>
    </row>
    <row r="2185" spans="1:9">
      <c r="A2185" s="90"/>
      <c r="B2185" s="91" t="s">
        <v>1007</v>
      </c>
      <c r="C2185" s="91" t="s">
        <v>1006</v>
      </c>
      <c r="D2185" s="92" t="s">
        <v>1008</v>
      </c>
      <c r="E2185" s="93" t="s">
        <v>839</v>
      </c>
      <c r="F2185" s="93">
        <v>1.686</v>
      </c>
      <c r="G2185" s="93">
        <v>3.95</v>
      </c>
      <c r="H2185" s="93">
        <v>6.6597</v>
      </c>
      <c r="I2185" s="93">
        <v>3.372</v>
      </c>
    </row>
    <row r="2186" spans="1:9">
      <c r="A2186" s="90"/>
      <c r="B2186" s="91" t="s">
        <v>1453</v>
      </c>
      <c r="C2186" s="91" t="s">
        <v>1452</v>
      </c>
      <c r="D2186" s="92" t="s">
        <v>1454</v>
      </c>
      <c r="E2186" s="93" t="s">
        <v>839</v>
      </c>
      <c r="F2186" s="93">
        <v>0.85815714</v>
      </c>
      <c r="G2186" s="93">
        <v>15.35</v>
      </c>
      <c r="H2186" s="93">
        <v>13.172712099</v>
      </c>
      <c r="I2186" s="93">
        <v>1.71631428</v>
      </c>
    </row>
    <row r="2187" spans="1:9">
      <c r="A2187" s="90"/>
      <c r="B2187" s="91" t="s">
        <v>1248</v>
      </c>
      <c r="C2187" s="91" t="s">
        <v>1247</v>
      </c>
      <c r="D2187" s="92" t="s">
        <v>1249</v>
      </c>
      <c r="E2187" s="93" t="s">
        <v>839</v>
      </c>
      <c r="F2187" s="93">
        <v>0.85815714</v>
      </c>
      <c r="G2187" s="93">
        <v>21.83</v>
      </c>
      <c r="H2187" s="93">
        <v>18.7335703662</v>
      </c>
      <c r="I2187" s="93">
        <v>1.71631428</v>
      </c>
    </row>
    <row r="2188" spans="1:9">
      <c r="A2188" s="90"/>
      <c r="B2188" s="91" t="s">
        <v>1007</v>
      </c>
      <c r="C2188" s="91" t="s">
        <v>1378</v>
      </c>
      <c r="D2188" s="92" t="s">
        <v>1379</v>
      </c>
      <c r="E2188" s="93" t="s">
        <v>839</v>
      </c>
      <c r="F2188" s="93">
        <v>1.686</v>
      </c>
      <c r="G2188" s="93">
        <v>0.08</v>
      </c>
      <c r="H2188" s="93">
        <v>0.13488</v>
      </c>
      <c r="I2188" s="93">
        <v>3.372</v>
      </c>
    </row>
    <row r="2189" ht="25.5" spans="1:9">
      <c r="A2189" s="90"/>
      <c r="B2189" s="91" t="s">
        <v>1111</v>
      </c>
      <c r="C2189" s="91" t="s">
        <v>1558</v>
      </c>
      <c r="D2189" s="92" t="s">
        <v>1559</v>
      </c>
      <c r="E2189" s="93" t="s">
        <v>839</v>
      </c>
      <c r="F2189" s="93">
        <v>1.686</v>
      </c>
      <c r="G2189" s="93">
        <v>1.13</v>
      </c>
      <c r="H2189" s="93">
        <v>1.90518</v>
      </c>
      <c r="I2189" s="93">
        <v>3.372</v>
      </c>
    </row>
    <row r="2190" spans="1:9">
      <c r="A2190" s="90"/>
      <c r="B2190" s="91" t="s">
        <v>1007</v>
      </c>
      <c r="C2190" s="91" t="s">
        <v>1050</v>
      </c>
      <c r="D2190" s="92" t="s">
        <v>1051</v>
      </c>
      <c r="E2190" s="93" t="s">
        <v>839</v>
      </c>
      <c r="F2190" s="93">
        <v>1.686</v>
      </c>
      <c r="G2190" s="93">
        <v>1.43</v>
      </c>
      <c r="H2190" s="93">
        <v>2.41098</v>
      </c>
      <c r="I2190" s="93">
        <v>3.372</v>
      </c>
    </row>
    <row r="2191" ht="25.5" spans="1:9">
      <c r="A2191" s="90"/>
      <c r="B2191" s="91" t="s">
        <v>1111</v>
      </c>
      <c r="C2191" s="91" t="s">
        <v>1674</v>
      </c>
      <c r="D2191" s="92" t="s">
        <v>1675</v>
      </c>
      <c r="E2191" s="93" t="s">
        <v>839</v>
      </c>
      <c r="F2191" s="93">
        <v>1.686</v>
      </c>
      <c r="G2191" s="93">
        <v>0.31</v>
      </c>
      <c r="H2191" s="93">
        <v>0.52266</v>
      </c>
      <c r="I2191" s="93">
        <v>3.372</v>
      </c>
    </row>
    <row r="2192" spans="1:9">
      <c r="A2192" s="90"/>
      <c r="B2192" s="91" t="s">
        <v>1872</v>
      </c>
      <c r="C2192" s="91" t="s">
        <v>1896</v>
      </c>
      <c r="D2192" s="92" t="s">
        <v>1897</v>
      </c>
      <c r="E2192" s="93" t="s">
        <v>494</v>
      </c>
      <c r="F2192" s="93">
        <v>0.012</v>
      </c>
      <c r="G2192" s="93">
        <v>3.9</v>
      </c>
      <c r="H2192" s="93">
        <v>0.04</v>
      </c>
      <c r="I2192" s="93">
        <v>0.024</v>
      </c>
    </row>
    <row r="2193" ht="25.5" spans="1:9">
      <c r="A2193" s="90"/>
      <c r="B2193" s="91" t="s">
        <v>1592</v>
      </c>
      <c r="C2193" s="91" t="s">
        <v>1591</v>
      </c>
      <c r="D2193" s="92" t="s">
        <v>1593</v>
      </c>
      <c r="E2193" s="93" t="s">
        <v>494</v>
      </c>
      <c r="F2193" s="93">
        <v>1</v>
      </c>
      <c r="G2193" s="93">
        <v>122.65</v>
      </c>
      <c r="H2193" s="93">
        <v>122.65</v>
      </c>
      <c r="I2193" s="93">
        <v>2</v>
      </c>
    </row>
    <row r="2194" ht="38.25" spans="1:9">
      <c r="A2194" s="85" t="s">
        <v>2491</v>
      </c>
      <c r="B2194" s="85" t="s">
        <v>938</v>
      </c>
      <c r="C2194" s="85" t="s">
        <v>2492</v>
      </c>
      <c r="D2194" s="87" t="s">
        <v>939</v>
      </c>
      <c r="E2194" s="89" t="s">
        <v>494</v>
      </c>
      <c r="F2194" s="89">
        <v>1</v>
      </c>
      <c r="G2194" s="89">
        <v>306.65</v>
      </c>
      <c r="H2194" s="89">
        <v>306.65</v>
      </c>
      <c r="I2194" s="89">
        <v>1</v>
      </c>
    </row>
    <row r="2195" spans="1:9">
      <c r="A2195" s="90"/>
      <c r="B2195" s="91" t="s">
        <v>1007</v>
      </c>
      <c r="C2195" s="91" t="s">
        <v>1048</v>
      </c>
      <c r="D2195" s="92" t="s">
        <v>1049</v>
      </c>
      <c r="E2195" s="93" t="s">
        <v>839</v>
      </c>
      <c r="F2195" s="93">
        <v>1</v>
      </c>
      <c r="G2195" s="93">
        <v>1.5</v>
      </c>
      <c r="H2195" s="93">
        <v>1.3644</v>
      </c>
      <c r="I2195" s="93">
        <v>1</v>
      </c>
    </row>
    <row r="2196" spans="1:9">
      <c r="A2196" s="90"/>
      <c r="B2196" s="91" t="s">
        <v>1007</v>
      </c>
      <c r="C2196" s="91" t="s">
        <v>1006</v>
      </c>
      <c r="D2196" s="92" t="s">
        <v>1008</v>
      </c>
      <c r="E2196" s="93" t="s">
        <v>839</v>
      </c>
      <c r="F2196" s="93">
        <v>0.9096</v>
      </c>
      <c r="G2196" s="93">
        <v>3.95</v>
      </c>
      <c r="H2196" s="93">
        <v>3.59292</v>
      </c>
      <c r="I2196" s="93">
        <v>0.9096</v>
      </c>
    </row>
    <row r="2197" spans="1:9">
      <c r="A2197" s="90"/>
      <c r="B2197" s="91" t="s">
        <v>1453</v>
      </c>
      <c r="C2197" s="91" t="s">
        <v>1452</v>
      </c>
      <c r="D2197" s="92" t="s">
        <v>1454</v>
      </c>
      <c r="E2197" s="93" t="s">
        <v>839</v>
      </c>
      <c r="F2197" s="93">
        <v>0.462977304</v>
      </c>
      <c r="G2197" s="93">
        <v>15.35</v>
      </c>
      <c r="H2197" s="93">
        <v>7.1067016164</v>
      </c>
      <c r="I2197" s="93">
        <v>0.462977304</v>
      </c>
    </row>
    <row r="2198" spans="1:9">
      <c r="A2198" s="90"/>
      <c r="B2198" s="91" t="s">
        <v>1248</v>
      </c>
      <c r="C2198" s="91" t="s">
        <v>1247</v>
      </c>
      <c r="D2198" s="92" t="s">
        <v>1249</v>
      </c>
      <c r="E2198" s="93" t="s">
        <v>839</v>
      </c>
      <c r="F2198" s="93">
        <v>0.462977304</v>
      </c>
      <c r="G2198" s="93">
        <v>21.83</v>
      </c>
      <c r="H2198" s="93">
        <v>10.10679454632</v>
      </c>
      <c r="I2198" s="93">
        <v>0.462977304</v>
      </c>
    </row>
    <row r="2199" spans="1:9">
      <c r="A2199" s="90"/>
      <c r="B2199" s="91" t="s">
        <v>1007</v>
      </c>
      <c r="C2199" s="91" t="s">
        <v>1378</v>
      </c>
      <c r="D2199" s="92" t="s">
        <v>1379</v>
      </c>
      <c r="E2199" s="93" t="s">
        <v>839</v>
      </c>
      <c r="F2199" s="93">
        <v>0.9096</v>
      </c>
      <c r="G2199" s="93">
        <v>0.08</v>
      </c>
      <c r="H2199" s="93">
        <v>0.072768</v>
      </c>
      <c r="I2199" s="93">
        <v>0.9096</v>
      </c>
    </row>
    <row r="2200" ht="25.5" spans="1:9">
      <c r="A2200" s="90"/>
      <c r="B2200" s="91" t="s">
        <v>1111</v>
      </c>
      <c r="C2200" s="91" t="s">
        <v>1558</v>
      </c>
      <c r="D2200" s="92" t="s">
        <v>1559</v>
      </c>
      <c r="E2200" s="93" t="s">
        <v>839</v>
      </c>
      <c r="F2200" s="93">
        <v>0.9096</v>
      </c>
      <c r="G2200" s="93">
        <v>1.13</v>
      </c>
      <c r="H2200" s="93">
        <v>1.027848</v>
      </c>
      <c r="I2200" s="93">
        <v>0.9096</v>
      </c>
    </row>
    <row r="2201" spans="1:9">
      <c r="A2201" s="90"/>
      <c r="B2201" s="91" t="s">
        <v>1007</v>
      </c>
      <c r="C2201" s="91" t="s">
        <v>1050</v>
      </c>
      <c r="D2201" s="92" t="s">
        <v>1051</v>
      </c>
      <c r="E2201" s="93" t="s">
        <v>839</v>
      </c>
      <c r="F2201" s="93">
        <v>0.9096</v>
      </c>
      <c r="G2201" s="93">
        <v>1.43</v>
      </c>
      <c r="H2201" s="93">
        <v>1.300728</v>
      </c>
      <c r="I2201" s="93">
        <v>0.9096</v>
      </c>
    </row>
    <row r="2202" ht="25.5" spans="1:9">
      <c r="A2202" s="90"/>
      <c r="B2202" s="91" t="s">
        <v>1111</v>
      </c>
      <c r="C2202" s="91" t="s">
        <v>1674</v>
      </c>
      <c r="D2202" s="92" t="s">
        <v>1675</v>
      </c>
      <c r="E2202" s="93" t="s">
        <v>839</v>
      </c>
      <c r="F2202" s="93">
        <v>0.9096</v>
      </c>
      <c r="G2202" s="93">
        <v>0.31</v>
      </c>
      <c r="H2202" s="93">
        <v>0.281976</v>
      </c>
      <c r="I2202" s="93">
        <v>0.9096</v>
      </c>
    </row>
    <row r="2203" spans="1:9">
      <c r="A2203" s="90"/>
      <c r="B2203" s="91" t="s">
        <v>1872</v>
      </c>
      <c r="C2203" s="91" t="s">
        <v>1871</v>
      </c>
      <c r="D2203" s="92" t="s">
        <v>1873</v>
      </c>
      <c r="E2203" s="93" t="s">
        <v>494</v>
      </c>
      <c r="F2203" s="93">
        <v>0.0096</v>
      </c>
      <c r="G2203" s="93">
        <v>14.38</v>
      </c>
      <c r="H2203" s="93">
        <v>0.13</v>
      </c>
      <c r="I2203" s="93">
        <v>0.0096</v>
      </c>
    </row>
    <row r="2204" ht="25.5" spans="1:9">
      <c r="A2204" s="90"/>
      <c r="B2204" s="91" t="s">
        <v>1572</v>
      </c>
      <c r="C2204" s="91" t="s">
        <v>1571</v>
      </c>
      <c r="D2204" s="92" t="s">
        <v>1573</v>
      </c>
      <c r="E2204" s="93" t="s">
        <v>494</v>
      </c>
      <c r="F2204" s="93">
        <v>1</v>
      </c>
      <c r="G2204" s="93">
        <v>281.67</v>
      </c>
      <c r="H2204" s="93">
        <v>281.67</v>
      </c>
      <c r="I2204" s="93">
        <v>1</v>
      </c>
    </row>
    <row r="2205" ht="38.25" spans="1:9">
      <c r="A2205" s="85" t="s">
        <v>2493</v>
      </c>
      <c r="B2205" s="85" t="s">
        <v>940</v>
      </c>
      <c r="C2205" s="85" t="s">
        <v>2494</v>
      </c>
      <c r="D2205" s="87" t="s">
        <v>941</v>
      </c>
      <c r="E2205" s="89" t="s">
        <v>112</v>
      </c>
      <c r="F2205" s="89">
        <v>12.5</v>
      </c>
      <c r="G2205" s="89">
        <v>79.1</v>
      </c>
      <c r="H2205" s="89">
        <v>988.75</v>
      </c>
      <c r="I2205" s="89">
        <v>12.5</v>
      </c>
    </row>
    <row r="2206" spans="1:9">
      <c r="A2206" s="90"/>
      <c r="B2206" s="91" t="s">
        <v>1007</v>
      </c>
      <c r="C2206" s="91" t="s">
        <v>1048</v>
      </c>
      <c r="D2206" s="92" t="s">
        <v>1049</v>
      </c>
      <c r="E2206" s="93" t="s">
        <v>839</v>
      </c>
      <c r="F2206" s="93">
        <v>1</v>
      </c>
      <c r="G2206" s="93">
        <v>1.5</v>
      </c>
      <c r="H2206" s="93">
        <v>0.7599</v>
      </c>
      <c r="I2206" s="93">
        <v>12.5</v>
      </c>
    </row>
    <row r="2207" spans="1:9">
      <c r="A2207" s="90"/>
      <c r="B2207" s="91" t="s">
        <v>1007</v>
      </c>
      <c r="C2207" s="91" t="s">
        <v>1006</v>
      </c>
      <c r="D2207" s="92" t="s">
        <v>1008</v>
      </c>
      <c r="E2207" s="93" t="s">
        <v>839</v>
      </c>
      <c r="F2207" s="93">
        <v>0.5066</v>
      </c>
      <c r="G2207" s="93">
        <v>3.95</v>
      </c>
      <c r="H2207" s="93">
        <v>2.00107</v>
      </c>
      <c r="I2207" s="93">
        <v>6.3325</v>
      </c>
    </row>
    <row r="2208" spans="1:9">
      <c r="A2208" s="90"/>
      <c r="B2208" s="91" t="s">
        <v>1453</v>
      </c>
      <c r="C2208" s="91" t="s">
        <v>1452</v>
      </c>
      <c r="D2208" s="92" t="s">
        <v>1454</v>
      </c>
      <c r="E2208" s="93" t="s">
        <v>839</v>
      </c>
      <c r="F2208" s="93">
        <v>0.257854334</v>
      </c>
      <c r="G2208" s="93">
        <v>15.35</v>
      </c>
      <c r="H2208" s="93">
        <v>3.9580640269</v>
      </c>
      <c r="I2208" s="93">
        <v>3.223179175</v>
      </c>
    </row>
    <row r="2209" spans="1:9">
      <c r="A2209" s="90"/>
      <c r="B2209" s="91" t="s">
        <v>1248</v>
      </c>
      <c r="C2209" s="91" t="s">
        <v>1247</v>
      </c>
      <c r="D2209" s="92" t="s">
        <v>1249</v>
      </c>
      <c r="E2209" s="93" t="s">
        <v>839</v>
      </c>
      <c r="F2209" s="93">
        <v>0.257854334</v>
      </c>
      <c r="G2209" s="93">
        <v>21.83</v>
      </c>
      <c r="H2209" s="93">
        <v>5.62896011122</v>
      </c>
      <c r="I2209" s="93">
        <v>3.223179175</v>
      </c>
    </row>
    <row r="2210" spans="1:9">
      <c r="A2210" s="90"/>
      <c r="B2210" s="91" t="s">
        <v>1007</v>
      </c>
      <c r="C2210" s="91" t="s">
        <v>1378</v>
      </c>
      <c r="D2210" s="92" t="s">
        <v>1379</v>
      </c>
      <c r="E2210" s="93" t="s">
        <v>839</v>
      </c>
      <c r="F2210" s="93">
        <v>0.5066</v>
      </c>
      <c r="G2210" s="93">
        <v>0.08</v>
      </c>
      <c r="H2210" s="93">
        <v>0.040528</v>
      </c>
      <c r="I2210" s="93">
        <v>6.3325</v>
      </c>
    </row>
    <row r="2211" ht="25.5" spans="1:9">
      <c r="A2211" s="90"/>
      <c r="B2211" s="91" t="s">
        <v>1111</v>
      </c>
      <c r="C2211" s="91" t="s">
        <v>1558</v>
      </c>
      <c r="D2211" s="92" t="s">
        <v>1559</v>
      </c>
      <c r="E2211" s="93" t="s">
        <v>839</v>
      </c>
      <c r="F2211" s="93">
        <v>0.5066</v>
      </c>
      <c r="G2211" s="93">
        <v>1.13</v>
      </c>
      <c r="H2211" s="93">
        <v>0.572458</v>
      </c>
      <c r="I2211" s="93">
        <v>6.3325</v>
      </c>
    </row>
    <row r="2212" spans="1:9">
      <c r="A2212" s="90"/>
      <c r="B2212" s="91" t="s">
        <v>1007</v>
      </c>
      <c r="C2212" s="91" t="s">
        <v>1050</v>
      </c>
      <c r="D2212" s="92" t="s">
        <v>1051</v>
      </c>
      <c r="E2212" s="93" t="s">
        <v>839</v>
      </c>
      <c r="F2212" s="93">
        <v>0.5066</v>
      </c>
      <c r="G2212" s="93">
        <v>1.43</v>
      </c>
      <c r="H2212" s="93">
        <v>0.724438</v>
      </c>
      <c r="I2212" s="93">
        <v>6.3325</v>
      </c>
    </row>
    <row r="2213" ht="25.5" spans="1:9">
      <c r="A2213" s="90"/>
      <c r="B2213" s="91" t="s">
        <v>1111</v>
      </c>
      <c r="C2213" s="91" t="s">
        <v>1674</v>
      </c>
      <c r="D2213" s="92" t="s">
        <v>1675</v>
      </c>
      <c r="E2213" s="93" t="s">
        <v>839</v>
      </c>
      <c r="F2213" s="93">
        <v>0.5066</v>
      </c>
      <c r="G2213" s="93">
        <v>0.31</v>
      </c>
      <c r="H2213" s="93">
        <v>0.157046</v>
      </c>
      <c r="I2213" s="93">
        <v>6.3325</v>
      </c>
    </row>
    <row r="2214" spans="1:9">
      <c r="A2214" s="90"/>
      <c r="B2214" s="91" t="s">
        <v>1848</v>
      </c>
      <c r="C2214" s="91" t="s">
        <v>1847</v>
      </c>
      <c r="D2214" s="92" t="s">
        <v>1849</v>
      </c>
      <c r="E2214" s="93" t="s">
        <v>494</v>
      </c>
      <c r="F2214" s="93">
        <v>0.0141</v>
      </c>
      <c r="G2214" s="93">
        <v>2.57</v>
      </c>
      <c r="H2214" s="93">
        <v>0.03</v>
      </c>
      <c r="I2214" s="93">
        <v>0.17625</v>
      </c>
    </row>
    <row r="2215" ht="25.5" spans="1:9">
      <c r="A2215" s="90"/>
      <c r="B2215" s="91" t="s">
        <v>1483</v>
      </c>
      <c r="C2215" s="91" t="s">
        <v>1482</v>
      </c>
      <c r="D2215" s="92" t="s">
        <v>1484</v>
      </c>
      <c r="E2215" s="93" t="s">
        <v>112</v>
      </c>
      <c r="F2215" s="93">
        <v>1.0353</v>
      </c>
      <c r="G2215" s="93">
        <v>63.01</v>
      </c>
      <c r="H2215" s="93">
        <v>65.23</v>
      </c>
      <c r="I2215" s="93">
        <v>12.94125</v>
      </c>
    </row>
    <row r="2216" spans="1:9">
      <c r="A2216" s="85" t="s">
        <v>2495</v>
      </c>
      <c r="B2216" s="86"/>
      <c r="C2216" s="86"/>
      <c r="D2216" s="87" t="s">
        <v>942</v>
      </c>
      <c r="E2216" s="88"/>
      <c r="F2216" s="89">
        <v>0</v>
      </c>
      <c r="G2216" s="89">
        <v>0</v>
      </c>
      <c r="H2216" s="89">
        <v>0</v>
      </c>
      <c r="I2216" s="89">
        <v>0</v>
      </c>
    </row>
    <row r="2217" spans="1:9">
      <c r="A2217" s="85" t="s">
        <v>2496</v>
      </c>
      <c r="B2217" s="85" t="s">
        <v>943</v>
      </c>
      <c r="C2217" s="85" t="s">
        <v>943</v>
      </c>
      <c r="D2217" s="87" t="s">
        <v>944</v>
      </c>
      <c r="E2217" s="89" t="s">
        <v>112</v>
      </c>
      <c r="F2217" s="89">
        <v>2</v>
      </c>
      <c r="G2217" s="89">
        <v>15.77</v>
      </c>
      <c r="H2217" s="89">
        <v>31.54</v>
      </c>
      <c r="I2217" s="89">
        <v>2</v>
      </c>
    </row>
    <row r="2218" spans="1:9">
      <c r="A2218" s="90"/>
      <c r="B2218" s="91" t="s">
        <v>1007</v>
      </c>
      <c r="C2218" s="91" t="s">
        <v>1048</v>
      </c>
      <c r="D2218" s="92" t="s">
        <v>1049</v>
      </c>
      <c r="E2218" s="93" t="s">
        <v>839</v>
      </c>
      <c r="F2218" s="93">
        <v>1</v>
      </c>
      <c r="G2218" s="93">
        <v>1.5</v>
      </c>
      <c r="H2218" s="93">
        <v>0.9</v>
      </c>
      <c r="I2218" s="93">
        <v>2</v>
      </c>
    </row>
    <row r="2219" spans="1:9">
      <c r="A2219" s="90"/>
      <c r="B2219" s="91" t="s">
        <v>1007</v>
      </c>
      <c r="C2219" s="91" t="s">
        <v>1006</v>
      </c>
      <c r="D2219" s="92" t="s">
        <v>1008</v>
      </c>
      <c r="E2219" s="93" t="s">
        <v>839</v>
      </c>
      <c r="F2219" s="93">
        <v>0.6</v>
      </c>
      <c r="G2219" s="93">
        <v>3.95</v>
      </c>
      <c r="H2219" s="93">
        <v>2.37</v>
      </c>
      <c r="I2219" s="93">
        <v>1.2</v>
      </c>
    </row>
    <row r="2220" spans="1:9">
      <c r="A2220" s="90"/>
      <c r="B2220" s="91" t="s">
        <v>1090</v>
      </c>
      <c r="C2220" s="91" t="s">
        <v>1089</v>
      </c>
      <c r="D2220" s="92" t="s">
        <v>1091</v>
      </c>
      <c r="E2220" s="93" t="s">
        <v>839</v>
      </c>
      <c r="F2220" s="93">
        <v>0.20424</v>
      </c>
      <c r="G2220" s="93">
        <v>21.83</v>
      </c>
      <c r="H2220" s="93">
        <v>4.4585592</v>
      </c>
      <c r="I2220" s="93">
        <v>0.40848</v>
      </c>
    </row>
    <row r="2221" spans="1:9">
      <c r="A2221" s="90"/>
      <c r="B2221" s="91" t="s">
        <v>1007</v>
      </c>
      <c r="C2221" s="91" t="s">
        <v>1378</v>
      </c>
      <c r="D2221" s="92" t="s">
        <v>1379</v>
      </c>
      <c r="E2221" s="93" t="s">
        <v>839</v>
      </c>
      <c r="F2221" s="93">
        <v>0.6</v>
      </c>
      <c r="G2221" s="93">
        <v>0.08</v>
      </c>
      <c r="H2221" s="93">
        <v>0.048</v>
      </c>
      <c r="I2221" s="93">
        <v>1.2</v>
      </c>
    </row>
    <row r="2222" spans="1:9">
      <c r="A2222" s="90"/>
      <c r="B2222" s="91" t="s">
        <v>1020</v>
      </c>
      <c r="C2222" s="91" t="s">
        <v>1019</v>
      </c>
      <c r="D2222" s="92" t="s">
        <v>1021</v>
      </c>
      <c r="E2222" s="93" t="s">
        <v>839</v>
      </c>
      <c r="F2222" s="93">
        <v>0.40848</v>
      </c>
      <c r="G2222" s="93">
        <v>14.49</v>
      </c>
      <c r="H2222" s="93">
        <v>5.9188752</v>
      </c>
      <c r="I2222" s="93">
        <v>0.81696</v>
      </c>
    </row>
    <row r="2223" ht="25.5" spans="1:9">
      <c r="A2223" s="90"/>
      <c r="B2223" s="91" t="s">
        <v>1111</v>
      </c>
      <c r="C2223" s="91" t="s">
        <v>1351</v>
      </c>
      <c r="D2223" s="92" t="s">
        <v>1352</v>
      </c>
      <c r="E2223" s="93" t="s">
        <v>839</v>
      </c>
      <c r="F2223" s="93">
        <v>0.2</v>
      </c>
      <c r="G2223" s="93">
        <v>1.31</v>
      </c>
      <c r="H2223" s="93">
        <v>0.262</v>
      </c>
      <c r="I2223" s="93">
        <v>0.4</v>
      </c>
    </row>
    <row r="2224" ht="25.5" spans="1:9">
      <c r="A2224" s="90"/>
      <c r="B2224" s="91" t="s">
        <v>1111</v>
      </c>
      <c r="C2224" s="91" t="s">
        <v>1110</v>
      </c>
      <c r="D2224" s="92" t="s">
        <v>1112</v>
      </c>
      <c r="E2224" s="93" t="s">
        <v>839</v>
      </c>
      <c r="F2224" s="93">
        <v>0.4</v>
      </c>
      <c r="G2224" s="93">
        <v>1.39</v>
      </c>
      <c r="H2224" s="93">
        <v>0.556</v>
      </c>
      <c r="I2224" s="93">
        <v>0.8</v>
      </c>
    </row>
    <row r="2225" spans="1:9">
      <c r="A2225" s="90"/>
      <c r="B2225" s="91" t="s">
        <v>1007</v>
      </c>
      <c r="C2225" s="91" t="s">
        <v>1050</v>
      </c>
      <c r="D2225" s="92" t="s">
        <v>1051</v>
      </c>
      <c r="E2225" s="93" t="s">
        <v>839</v>
      </c>
      <c r="F2225" s="93">
        <v>0.6</v>
      </c>
      <c r="G2225" s="93">
        <v>1.43</v>
      </c>
      <c r="H2225" s="93">
        <v>0.858</v>
      </c>
      <c r="I2225" s="93">
        <v>1.2</v>
      </c>
    </row>
    <row r="2226" ht="25.5" spans="1:9">
      <c r="A2226" s="90"/>
      <c r="B2226" s="91" t="s">
        <v>1111</v>
      </c>
      <c r="C2226" s="91" t="s">
        <v>1427</v>
      </c>
      <c r="D2226" s="92" t="s">
        <v>1428</v>
      </c>
      <c r="E2226" s="93" t="s">
        <v>839</v>
      </c>
      <c r="F2226" s="93">
        <v>0.2</v>
      </c>
      <c r="G2226" s="93">
        <v>0.78</v>
      </c>
      <c r="H2226" s="93">
        <v>0.156</v>
      </c>
      <c r="I2226" s="93">
        <v>0.4</v>
      </c>
    </row>
    <row r="2227" ht="25.5" spans="1:9">
      <c r="A2227" s="90"/>
      <c r="B2227" s="91" t="s">
        <v>1111</v>
      </c>
      <c r="C2227" s="91" t="s">
        <v>1195</v>
      </c>
      <c r="D2227" s="92" t="s">
        <v>1196</v>
      </c>
      <c r="E2227" s="93" t="s">
        <v>839</v>
      </c>
      <c r="F2227" s="93">
        <v>0.4</v>
      </c>
      <c r="G2227" s="93">
        <v>0.61</v>
      </c>
      <c r="H2227" s="93">
        <v>0.244</v>
      </c>
      <c r="I2227" s="93">
        <v>0.8</v>
      </c>
    </row>
    <row r="2228" spans="1:9">
      <c r="A2228" s="85" t="s">
        <v>2497</v>
      </c>
      <c r="B2228" s="86"/>
      <c r="C2228" s="86"/>
      <c r="D2228" s="87" t="s">
        <v>945</v>
      </c>
      <c r="E2228" s="88"/>
      <c r="F2228" s="89">
        <v>0</v>
      </c>
      <c r="G2228" s="89">
        <v>0</v>
      </c>
      <c r="H2228" s="89">
        <v>0</v>
      </c>
      <c r="I2228" s="89">
        <v>0</v>
      </c>
    </row>
    <row r="2229" spans="1:9">
      <c r="A2229" s="85" t="s">
        <v>2498</v>
      </c>
      <c r="B2229" s="85" t="s">
        <v>946</v>
      </c>
      <c r="C2229" s="85" t="s">
        <v>2499</v>
      </c>
      <c r="D2229" s="87" t="s">
        <v>947</v>
      </c>
      <c r="E2229" s="89" t="s">
        <v>476</v>
      </c>
      <c r="F2229" s="89">
        <v>125.54</v>
      </c>
      <c r="G2229" s="89">
        <v>59.39</v>
      </c>
      <c r="H2229" s="89">
        <v>7455.82</v>
      </c>
      <c r="I2229" s="89">
        <v>125.54</v>
      </c>
    </row>
    <row r="2230" spans="1:9">
      <c r="A2230" s="90"/>
      <c r="B2230" s="91" t="s">
        <v>1007</v>
      </c>
      <c r="C2230" s="91" t="s">
        <v>1048</v>
      </c>
      <c r="D2230" s="92" t="s">
        <v>1049</v>
      </c>
      <c r="E2230" s="93" t="s">
        <v>839</v>
      </c>
      <c r="F2230" s="93">
        <v>1</v>
      </c>
      <c r="G2230" s="93">
        <v>1.5</v>
      </c>
      <c r="H2230" s="93">
        <v>3.75</v>
      </c>
      <c r="I2230" s="93">
        <v>125.54</v>
      </c>
    </row>
    <row r="2231" spans="1:9">
      <c r="A2231" s="90"/>
      <c r="B2231" s="91" t="s">
        <v>1007</v>
      </c>
      <c r="C2231" s="91" t="s">
        <v>1006</v>
      </c>
      <c r="D2231" s="92" t="s">
        <v>1008</v>
      </c>
      <c r="E2231" s="93" t="s">
        <v>839</v>
      </c>
      <c r="F2231" s="93">
        <v>2.5</v>
      </c>
      <c r="G2231" s="93">
        <v>3.95</v>
      </c>
      <c r="H2231" s="93">
        <v>9.875</v>
      </c>
      <c r="I2231" s="93">
        <v>313.85</v>
      </c>
    </row>
    <row r="2232" spans="1:9">
      <c r="A2232" s="90"/>
      <c r="B2232" s="91" t="s">
        <v>1007</v>
      </c>
      <c r="C2232" s="91" t="s">
        <v>1378</v>
      </c>
      <c r="D2232" s="92" t="s">
        <v>1379</v>
      </c>
      <c r="E2232" s="93" t="s">
        <v>839</v>
      </c>
      <c r="F2232" s="93">
        <v>2.5</v>
      </c>
      <c r="G2232" s="93">
        <v>0.08</v>
      </c>
      <c r="H2232" s="93">
        <v>0.2</v>
      </c>
      <c r="I2232" s="93">
        <v>313.85</v>
      </c>
    </row>
    <row r="2233" spans="1:9">
      <c r="A2233" s="90"/>
      <c r="B2233" s="91" t="s">
        <v>1020</v>
      </c>
      <c r="C2233" s="91" t="s">
        <v>1019</v>
      </c>
      <c r="D2233" s="92" t="s">
        <v>1021</v>
      </c>
      <c r="E2233" s="93" t="s">
        <v>839</v>
      </c>
      <c r="F2233" s="93">
        <v>2.553</v>
      </c>
      <c r="G2233" s="93">
        <v>14.49</v>
      </c>
      <c r="H2233" s="93">
        <v>36.99297</v>
      </c>
      <c r="I2233" s="93">
        <v>320.50362</v>
      </c>
    </row>
    <row r="2234" ht="25.5" spans="1:9">
      <c r="A2234" s="90"/>
      <c r="B2234" s="91" t="s">
        <v>1111</v>
      </c>
      <c r="C2234" s="91" t="s">
        <v>1110</v>
      </c>
      <c r="D2234" s="92" t="s">
        <v>1112</v>
      </c>
      <c r="E2234" s="93" t="s">
        <v>839</v>
      </c>
      <c r="F2234" s="93">
        <v>2.5</v>
      </c>
      <c r="G2234" s="93">
        <v>1.39</v>
      </c>
      <c r="H2234" s="93">
        <v>3.475</v>
      </c>
      <c r="I2234" s="93">
        <v>313.85</v>
      </c>
    </row>
    <row r="2235" spans="1:9">
      <c r="A2235" s="90"/>
      <c r="B2235" s="91" t="s">
        <v>1007</v>
      </c>
      <c r="C2235" s="91" t="s">
        <v>1050</v>
      </c>
      <c r="D2235" s="92" t="s">
        <v>1051</v>
      </c>
      <c r="E2235" s="93" t="s">
        <v>839</v>
      </c>
      <c r="F2235" s="93">
        <v>2.5</v>
      </c>
      <c r="G2235" s="93">
        <v>1.43</v>
      </c>
      <c r="H2235" s="93">
        <v>3.575</v>
      </c>
      <c r="I2235" s="93">
        <v>313.85</v>
      </c>
    </row>
    <row r="2236" ht="25.5" spans="1:9">
      <c r="A2236" s="90"/>
      <c r="B2236" s="91" t="s">
        <v>1111</v>
      </c>
      <c r="C2236" s="91" t="s">
        <v>1195</v>
      </c>
      <c r="D2236" s="92" t="s">
        <v>1196</v>
      </c>
      <c r="E2236" s="93" t="s">
        <v>839</v>
      </c>
      <c r="F2236" s="93">
        <v>2.5</v>
      </c>
      <c r="G2236" s="93">
        <v>0.61</v>
      </c>
      <c r="H2236" s="93">
        <v>1.525</v>
      </c>
      <c r="I2236" s="93">
        <v>313.85</v>
      </c>
    </row>
    <row r="2237" spans="1:9">
      <c r="A2237" s="85" t="s">
        <v>2500</v>
      </c>
      <c r="B2237" s="85" t="s">
        <v>948</v>
      </c>
      <c r="C2237" s="85" t="s">
        <v>2501</v>
      </c>
      <c r="D2237" s="87" t="s">
        <v>949</v>
      </c>
      <c r="E2237" s="89" t="s">
        <v>476</v>
      </c>
      <c r="F2237" s="89">
        <v>288.83</v>
      </c>
      <c r="G2237" s="89">
        <v>71.27</v>
      </c>
      <c r="H2237" s="89">
        <v>20584.91</v>
      </c>
      <c r="I2237" s="89">
        <v>288.83</v>
      </c>
    </row>
    <row r="2238" spans="1:9">
      <c r="A2238" s="90"/>
      <c r="B2238" s="91" t="s">
        <v>1007</v>
      </c>
      <c r="C2238" s="91" t="s">
        <v>1048</v>
      </c>
      <c r="D2238" s="92" t="s">
        <v>1049</v>
      </c>
      <c r="E2238" s="93" t="s">
        <v>839</v>
      </c>
      <c r="F2238" s="93">
        <v>1</v>
      </c>
      <c r="G2238" s="93">
        <v>1.5</v>
      </c>
      <c r="H2238" s="93">
        <v>4.500045</v>
      </c>
      <c r="I2238" s="93">
        <v>288.83</v>
      </c>
    </row>
    <row r="2239" spans="1:9">
      <c r="A2239" s="90"/>
      <c r="B2239" s="91" t="s">
        <v>1007</v>
      </c>
      <c r="C2239" s="91" t="s">
        <v>1006</v>
      </c>
      <c r="D2239" s="92" t="s">
        <v>1008</v>
      </c>
      <c r="E2239" s="93" t="s">
        <v>839</v>
      </c>
      <c r="F2239" s="93">
        <v>3.00003</v>
      </c>
      <c r="G2239" s="93">
        <v>3.95</v>
      </c>
      <c r="H2239" s="93">
        <v>11.8501185</v>
      </c>
      <c r="I2239" s="93">
        <v>866.4986649</v>
      </c>
    </row>
    <row r="2240" spans="1:9">
      <c r="A2240" s="90"/>
      <c r="B2240" s="91" t="s">
        <v>1007</v>
      </c>
      <c r="C2240" s="91" t="s">
        <v>1378</v>
      </c>
      <c r="D2240" s="92" t="s">
        <v>1379</v>
      </c>
      <c r="E2240" s="93" t="s">
        <v>839</v>
      </c>
      <c r="F2240" s="93">
        <v>3.00003</v>
      </c>
      <c r="G2240" s="93">
        <v>0.08</v>
      </c>
      <c r="H2240" s="93">
        <v>0.2400024</v>
      </c>
      <c r="I2240" s="93">
        <v>866.4986649</v>
      </c>
    </row>
    <row r="2241" spans="1:9">
      <c r="A2241" s="90"/>
      <c r="B2241" s="91" t="s">
        <v>1020</v>
      </c>
      <c r="C2241" s="91" t="s">
        <v>1019</v>
      </c>
      <c r="D2241" s="92" t="s">
        <v>1021</v>
      </c>
      <c r="E2241" s="93" t="s">
        <v>839</v>
      </c>
      <c r="F2241" s="93">
        <v>3.063630636</v>
      </c>
      <c r="G2241" s="93">
        <v>14.49</v>
      </c>
      <c r="H2241" s="93">
        <v>44.39200791564</v>
      </c>
      <c r="I2241" s="93">
        <v>884.86843659588</v>
      </c>
    </row>
    <row r="2242" ht="25.5" spans="1:9">
      <c r="A2242" s="90"/>
      <c r="B2242" s="91" t="s">
        <v>1111</v>
      </c>
      <c r="C2242" s="91" t="s">
        <v>1110</v>
      </c>
      <c r="D2242" s="92" t="s">
        <v>1112</v>
      </c>
      <c r="E2242" s="93" t="s">
        <v>839</v>
      </c>
      <c r="F2242" s="93">
        <v>3.00003</v>
      </c>
      <c r="G2242" s="93">
        <v>1.39</v>
      </c>
      <c r="H2242" s="93">
        <v>4.1700417</v>
      </c>
      <c r="I2242" s="93">
        <v>866.4986649</v>
      </c>
    </row>
    <row r="2243" spans="1:9">
      <c r="A2243" s="90"/>
      <c r="B2243" s="91" t="s">
        <v>1007</v>
      </c>
      <c r="C2243" s="91" t="s">
        <v>1050</v>
      </c>
      <c r="D2243" s="92" t="s">
        <v>1051</v>
      </c>
      <c r="E2243" s="93" t="s">
        <v>839</v>
      </c>
      <c r="F2243" s="93">
        <v>3.00003</v>
      </c>
      <c r="G2243" s="93">
        <v>1.43</v>
      </c>
      <c r="H2243" s="93">
        <v>4.2900429</v>
      </c>
      <c r="I2243" s="93">
        <v>866.4986649</v>
      </c>
    </row>
    <row r="2244" ht="25.5" spans="1:9">
      <c r="A2244" s="90"/>
      <c r="B2244" s="91" t="s">
        <v>1111</v>
      </c>
      <c r="C2244" s="91" t="s">
        <v>1195</v>
      </c>
      <c r="D2244" s="92" t="s">
        <v>1196</v>
      </c>
      <c r="E2244" s="93" t="s">
        <v>839</v>
      </c>
      <c r="F2244" s="93">
        <v>3.00003</v>
      </c>
      <c r="G2244" s="93">
        <v>0.61</v>
      </c>
      <c r="H2244" s="93">
        <v>1.8300183</v>
      </c>
      <c r="I2244" s="93">
        <v>866.4986649</v>
      </c>
    </row>
    <row r="2245" spans="1:9">
      <c r="A2245" s="85" t="s">
        <v>2502</v>
      </c>
      <c r="B2245" s="85" t="s">
        <v>950</v>
      </c>
      <c r="C2245" s="85" t="s">
        <v>2503</v>
      </c>
      <c r="D2245" s="87" t="s">
        <v>951</v>
      </c>
      <c r="E2245" s="89" t="s">
        <v>476</v>
      </c>
      <c r="F2245" s="89">
        <v>28.58</v>
      </c>
      <c r="G2245" s="89">
        <v>83.15</v>
      </c>
      <c r="H2245" s="89">
        <v>2376.42</v>
      </c>
      <c r="I2245" s="89">
        <v>28.58</v>
      </c>
    </row>
    <row r="2246" spans="1:9">
      <c r="A2246" s="90"/>
      <c r="B2246" s="91" t="s">
        <v>1007</v>
      </c>
      <c r="C2246" s="91" t="s">
        <v>1048</v>
      </c>
      <c r="D2246" s="92" t="s">
        <v>1049</v>
      </c>
      <c r="E2246" s="93" t="s">
        <v>839</v>
      </c>
      <c r="F2246" s="93">
        <v>1</v>
      </c>
      <c r="G2246" s="93">
        <v>1.5</v>
      </c>
      <c r="H2246" s="93">
        <v>5.25007875</v>
      </c>
      <c r="I2246" s="93">
        <v>28.58</v>
      </c>
    </row>
    <row r="2247" spans="1:9">
      <c r="A2247" s="90"/>
      <c r="B2247" s="91" t="s">
        <v>1007</v>
      </c>
      <c r="C2247" s="91" t="s">
        <v>1006</v>
      </c>
      <c r="D2247" s="92" t="s">
        <v>1008</v>
      </c>
      <c r="E2247" s="93" t="s">
        <v>839</v>
      </c>
      <c r="F2247" s="93">
        <v>3.5000525</v>
      </c>
      <c r="G2247" s="93">
        <v>3.95</v>
      </c>
      <c r="H2247" s="93">
        <v>13.825207375</v>
      </c>
      <c r="I2247" s="93">
        <v>100.03150045</v>
      </c>
    </row>
    <row r="2248" spans="1:9">
      <c r="A2248" s="90"/>
      <c r="B2248" s="91" t="s">
        <v>1007</v>
      </c>
      <c r="C2248" s="91" t="s">
        <v>1378</v>
      </c>
      <c r="D2248" s="92" t="s">
        <v>1379</v>
      </c>
      <c r="E2248" s="93" t="s">
        <v>839</v>
      </c>
      <c r="F2248" s="93">
        <v>3.5000525</v>
      </c>
      <c r="G2248" s="93">
        <v>0.08</v>
      </c>
      <c r="H2248" s="93">
        <v>0.2800042</v>
      </c>
      <c r="I2248" s="93">
        <v>100.03150045</v>
      </c>
    </row>
    <row r="2249" spans="1:9">
      <c r="A2249" s="90"/>
      <c r="B2249" s="91" t="s">
        <v>1020</v>
      </c>
      <c r="C2249" s="91" t="s">
        <v>1019</v>
      </c>
      <c r="D2249" s="92" t="s">
        <v>1021</v>
      </c>
      <c r="E2249" s="93" t="s">
        <v>839</v>
      </c>
      <c r="F2249" s="93">
        <v>3.574253613</v>
      </c>
      <c r="G2249" s="93">
        <v>14.49</v>
      </c>
      <c r="H2249" s="93">
        <v>51.79093485237</v>
      </c>
      <c r="I2249" s="93">
        <v>102.15216825954</v>
      </c>
    </row>
    <row r="2250" ht="25.5" spans="1:9">
      <c r="A2250" s="90"/>
      <c r="B2250" s="91" t="s">
        <v>1111</v>
      </c>
      <c r="C2250" s="91" t="s">
        <v>1110</v>
      </c>
      <c r="D2250" s="92" t="s">
        <v>1112</v>
      </c>
      <c r="E2250" s="93" t="s">
        <v>839</v>
      </c>
      <c r="F2250" s="93">
        <v>3.5000525</v>
      </c>
      <c r="G2250" s="93">
        <v>1.39</v>
      </c>
      <c r="H2250" s="93">
        <v>4.865072975</v>
      </c>
      <c r="I2250" s="93">
        <v>100.03150045</v>
      </c>
    </row>
    <row r="2251" spans="1:9">
      <c r="A2251" s="90"/>
      <c r="B2251" s="91" t="s">
        <v>1007</v>
      </c>
      <c r="C2251" s="91" t="s">
        <v>1050</v>
      </c>
      <c r="D2251" s="92" t="s">
        <v>1051</v>
      </c>
      <c r="E2251" s="93" t="s">
        <v>839</v>
      </c>
      <c r="F2251" s="93">
        <v>3.5000525</v>
      </c>
      <c r="G2251" s="93">
        <v>1.43</v>
      </c>
      <c r="H2251" s="93">
        <v>5.005075075</v>
      </c>
      <c r="I2251" s="93">
        <v>100.03150045</v>
      </c>
    </row>
    <row r="2252" ht="25.5" spans="1:9">
      <c r="A2252" s="90"/>
      <c r="B2252" s="91" t="s">
        <v>1111</v>
      </c>
      <c r="C2252" s="91" t="s">
        <v>1195</v>
      </c>
      <c r="D2252" s="92" t="s">
        <v>1196</v>
      </c>
      <c r="E2252" s="93" t="s">
        <v>839</v>
      </c>
      <c r="F2252" s="93">
        <v>3.5000525</v>
      </c>
      <c r="G2252" s="93">
        <v>0.61</v>
      </c>
      <c r="H2252" s="93">
        <v>2.135032025</v>
      </c>
      <c r="I2252" s="93">
        <v>100.03150045</v>
      </c>
    </row>
    <row r="2253" spans="1:9">
      <c r="A2253" s="85" t="s">
        <v>2504</v>
      </c>
      <c r="B2253" s="85" t="s">
        <v>952</v>
      </c>
      <c r="C2253" s="85" t="s">
        <v>2505</v>
      </c>
      <c r="D2253" s="87" t="s">
        <v>953</v>
      </c>
      <c r="E2253" s="89" t="s">
        <v>476</v>
      </c>
      <c r="F2253" s="89">
        <v>9.58</v>
      </c>
      <c r="G2253" s="89">
        <v>47.51</v>
      </c>
      <c r="H2253" s="89">
        <v>455.14</v>
      </c>
      <c r="I2253" s="89">
        <v>9.58</v>
      </c>
    </row>
    <row r="2254" spans="1:9">
      <c r="A2254" s="90"/>
      <c r="B2254" s="91" t="s">
        <v>1007</v>
      </c>
      <c r="C2254" s="91" t="s">
        <v>1048</v>
      </c>
      <c r="D2254" s="92" t="s">
        <v>1049</v>
      </c>
      <c r="E2254" s="93" t="s">
        <v>839</v>
      </c>
      <c r="F2254" s="93">
        <v>1</v>
      </c>
      <c r="G2254" s="93">
        <v>1.5</v>
      </c>
      <c r="H2254" s="93">
        <v>3</v>
      </c>
      <c r="I2254" s="93">
        <v>9.58</v>
      </c>
    </row>
    <row r="2255" spans="1:9">
      <c r="A2255" s="90"/>
      <c r="B2255" s="91" t="s">
        <v>1007</v>
      </c>
      <c r="C2255" s="91" t="s">
        <v>1006</v>
      </c>
      <c r="D2255" s="92" t="s">
        <v>1008</v>
      </c>
      <c r="E2255" s="93" t="s">
        <v>839</v>
      </c>
      <c r="F2255" s="93">
        <v>2</v>
      </c>
      <c r="G2255" s="93">
        <v>3.95</v>
      </c>
      <c r="H2255" s="93">
        <v>7.9</v>
      </c>
      <c r="I2255" s="93">
        <v>19.16</v>
      </c>
    </row>
    <row r="2256" spans="1:9">
      <c r="A2256" s="90"/>
      <c r="B2256" s="91" t="s">
        <v>1007</v>
      </c>
      <c r="C2256" s="91" t="s">
        <v>1378</v>
      </c>
      <c r="D2256" s="92" t="s">
        <v>1379</v>
      </c>
      <c r="E2256" s="93" t="s">
        <v>839</v>
      </c>
      <c r="F2256" s="93">
        <v>2</v>
      </c>
      <c r="G2256" s="93">
        <v>0.08</v>
      </c>
      <c r="H2256" s="93">
        <v>0.16</v>
      </c>
      <c r="I2256" s="93">
        <v>19.16</v>
      </c>
    </row>
    <row r="2257" spans="1:9">
      <c r="A2257" s="90"/>
      <c r="B2257" s="91" t="s">
        <v>1020</v>
      </c>
      <c r="C2257" s="91" t="s">
        <v>1019</v>
      </c>
      <c r="D2257" s="92" t="s">
        <v>1021</v>
      </c>
      <c r="E2257" s="93" t="s">
        <v>839</v>
      </c>
      <c r="F2257" s="93">
        <v>2.0424</v>
      </c>
      <c r="G2257" s="93">
        <v>14.49</v>
      </c>
      <c r="H2257" s="93">
        <v>29.594376</v>
      </c>
      <c r="I2257" s="93">
        <v>19.566192</v>
      </c>
    </row>
    <row r="2258" ht="25.5" spans="1:9">
      <c r="A2258" s="90"/>
      <c r="B2258" s="91" t="s">
        <v>1111</v>
      </c>
      <c r="C2258" s="91" t="s">
        <v>1110</v>
      </c>
      <c r="D2258" s="92" t="s">
        <v>1112</v>
      </c>
      <c r="E2258" s="93" t="s">
        <v>839</v>
      </c>
      <c r="F2258" s="93">
        <v>2</v>
      </c>
      <c r="G2258" s="93">
        <v>1.39</v>
      </c>
      <c r="H2258" s="93">
        <v>2.78</v>
      </c>
      <c r="I2258" s="93">
        <v>19.16</v>
      </c>
    </row>
    <row r="2259" spans="1:9">
      <c r="A2259" s="90"/>
      <c r="B2259" s="91" t="s">
        <v>1007</v>
      </c>
      <c r="C2259" s="91" t="s">
        <v>1050</v>
      </c>
      <c r="D2259" s="92" t="s">
        <v>1051</v>
      </c>
      <c r="E2259" s="93" t="s">
        <v>839</v>
      </c>
      <c r="F2259" s="93">
        <v>2</v>
      </c>
      <c r="G2259" s="93">
        <v>1.43</v>
      </c>
      <c r="H2259" s="93">
        <v>2.86</v>
      </c>
      <c r="I2259" s="93">
        <v>19.16</v>
      </c>
    </row>
    <row r="2260" ht="25.5" spans="1:9">
      <c r="A2260" s="90"/>
      <c r="B2260" s="91" t="s">
        <v>1111</v>
      </c>
      <c r="C2260" s="91" t="s">
        <v>1195</v>
      </c>
      <c r="D2260" s="92" t="s">
        <v>1196</v>
      </c>
      <c r="E2260" s="93" t="s">
        <v>839</v>
      </c>
      <c r="F2260" s="93">
        <v>2</v>
      </c>
      <c r="G2260" s="93">
        <v>0.61</v>
      </c>
      <c r="H2260" s="93">
        <v>1.22</v>
      </c>
      <c r="I2260" s="93">
        <v>19.16</v>
      </c>
    </row>
    <row r="2261" spans="1:9">
      <c r="A2261" s="85" t="s">
        <v>2506</v>
      </c>
      <c r="B2261" s="85" t="s">
        <v>954</v>
      </c>
      <c r="C2261" s="85" t="s">
        <v>2507</v>
      </c>
      <c r="D2261" s="87" t="s">
        <v>955</v>
      </c>
      <c r="E2261" s="89" t="s">
        <v>476</v>
      </c>
      <c r="F2261" s="89">
        <v>24.4</v>
      </c>
      <c r="G2261" s="89">
        <v>83.15</v>
      </c>
      <c r="H2261" s="89">
        <v>2028.86</v>
      </c>
      <c r="I2261" s="89">
        <v>24.4</v>
      </c>
    </row>
    <row r="2262" spans="1:9">
      <c r="A2262" s="90"/>
      <c r="B2262" s="91" t="s">
        <v>1007</v>
      </c>
      <c r="C2262" s="91" t="s">
        <v>1048</v>
      </c>
      <c r="D2262" s="92" t="s">
        <v>1049</v>
      </c>
      <c r="E2262" s="93" t="s">
        <v>839</v>
      </c>
      <c r="F2262" s="93">
        <v>1</v>
      </c>
      <c r="G2262" s="93">
        <v>1.5</v>
      </c>
      <c r="H2262" s="93">
        <v>5.25007875</v>
      </c>
      <c r="I2262" s="93">
        <v>24.4</v>
      </c>
    </row>
    <row r="2263" spans="1:9">
      <c r="A2263" s="90"/>
      <c r="B2263" s="91" t="s">
        <v>1007</v>
      </c>
      <c r="C2263" s="91" t="s">
        <v>1006</v>
      </c>
      <c r="D2263" s="92" t="s">
        <v>1008</v>
      </c>
      <c r="E2263" s="93" t="s">
        <v>839</v>
      </c>
      <c r="F2263" s="93">
        <v>3.5000525</v>
      </c>
      <c r="G2263" s="93">
        <v>3.95</v>
      </c>
      <c r="H2263" s="93">
        <v>13.825207375</v>
      </c>
      <c r="I2263" s="93">
        <v>85.401281</v>
      </c>
    </row>
    <row r="2264" spans="1:9">
      <c r="A2264" s="90"/>
      <c r="B2264" s="91" t="s">
        <v>1007</v>
      </c>
      <c r="C2264" s="91" t="s">
        <v>1378</v>
      </c>
      <c r="D2264" s="92" t="s">
        <v>1379</v>
      </c>
      <c r="E2264" s="93" t="s">
        <v>839</v>
      </c>
      <c r="F2264" s="93">
        <v>3.5000525</v>
      </c>
      <c r="G2264" s="93">
        <v>0.08</v>
      </c>
      <c r="H2264" s="93">
        <v>0.2800042</v>
      </c>
      <c r="I2264" s="93">
        <v>85.401281</v>
      </c>
    </row>
    <row r="2265" spans="1:9">
      <c r="A2265" s="90"/>
      <c r="B2265" s="91" t="s">
        <v>1020</v>
      </c>
      <c r="C2265" s="91" t="s">
        <v>1019</v>
      </c>
      <c r="D2265" s="92" t="s">
        <v>1021</v>
      </c>
      <c r="E2265" s="93" t="s">
        <v>839</v>
      </c>
      <c r="F2265" s="93">
        <v>3.574253613</v>
      </c>
      <c r="G2265" s="93">
        <v>14.49</v>
      </c>
      <c r="H2265" s="93">
        <v>51.79093485237</v>
      </c>
      <c r="I2265" s="93">
        <v>87.2117881572</v>
      </c>
    </row>
    <row r="2266" ht="25.5" spans="1:9">
      <c r="A2266" s="90"/>
      <c r="B2266" s="91" t="s">
        <v>1111</v>
      </c>
      <c r="C2266" s="91" t="s">
        <v>1110</v>
      </c>
      <c r="D2266" s="92" t="s">
        <v>1112</v>
      </c>
      <c r="E2266" s="93" t="s">
        <v>839</v>
      </c>
      <c r="F2266" s="93">
        <v>3.5000525</v>
      </c>
      <c r="G2266" s="93">
        <v>1.39</v>
      </c>
      <c r="H2266" s="93">
        <v>4.865072975</v>
      </c>
      <c r="I2266" s="93">
        <v>85.401281</v>
      </c>
    </row>
    <row r="2267" spans="1:9">
      <c r="A2267" s="90"/>
      <c r="B2267" s="91" t="s">
        <v>1007</v>
      </c>
      <c r="C2267" s="91" t="s">
        <v>1050</v>
      </c>
      <c r="D2267" s="92" t="s">
        <v>1051</v>
      </c>
      <c r="E2267" s="93" t="s">
        <v>839</v>
      </c>
      <c r="F2267" s="93">
        <v>3.5000525</v>
      </c>
      <c r="G2267" s="93">
        <v>1.43</v>
      </c>
      <c r="H2267" s="93">
        <v>5.005075075</v>
      </c>
      <c r="I2267" s="93">
        <v>85.401281</v>
      </c>
    </row>
    <row r="2268" ht="25.5" spans="1:9">
      <c r="A2268" s="90"/>
      <c r="B2268" s="91" t="s">
        <v>1111</v>
      </c>
      <c r="C2268" s="91" t="s">
        <v>1195</v>
      </c>
      <c r="D2268" s="92" t="s">
        <v>1196</v>
      </c>
      <c r="E2268" s="93" t="s">
        <v>839</v>
      </c>
      <c r="F2268" s="93">
        <v>3.5000525</v>
      </c>
      <c r="G2268" s="93">
        <v>0.61</v>
      </c>
      <c r="H2268" s="93">
        <v>2.135032025</v>
      </c>
      <c r="I2268" s="93">
        <v>85.401281</v>
      </c>
    </row>
    <row r="2269" spans="1:9">
      <c r="A2269" s="85" t="s">
        <v>2508</v>
      </c>
      <c r="B2269" s="85" t="s">
        <v>956</v>
      </c>
      <c r="C2269" s="85" t="s">
        <v>2509</v>
      </c>
      <c r="D2269" s="87" t="s">
        <v>957</v>
      </c>
      <c r="E2269" s="89" t="s">
        <v>476</v>
      </c>
      <c r="F2269" s="89">
        <v>58.19</v>
      </c>
      <c r="G2269" s="89">
        <v>98.98</v>
      </c>
      <c r="H2269" s="89">
        <v>5759.64</v>
      </c>
      <c r="I2269" s="89">
        <v>58.19</v>
      </c>
    </row>
    <row r="2270" spans="1:9">
      <c r="A2270" s="90"/>
      <c r="B2270" s="91" t="s">
        <v>1007</v>
      </c>
      <c r="C2270" s="91" t="s">
        <v>1048</v>
      </c>
      <c r="D2270" s="92" t="s">
        <v>1049</v>
      </c>
      <c r="E2270" s="93" t="s">
        <v>839</v>
      </c>
      <c r="F2270" s="93">
        <v>1</v>
      </c>
      <c r="G2270" s="93">
        <v>1.5</v>
      </c>
      <c r="H2270" s="93">
        <v>6.24999999</v>
      </c>
      <c r="I2270" s="93">
        <v>58.19</v>
      </c>
    </row>
    <row r="2271" spans="1:9">
      <c r="A2271" s="90"/>
      <c r="B2271" s="91" t="s">
        <v>1007</v>
      </c>
      <c r="C2271" s="91" t="s">
        <v>1006</v>
      </c>
      <c r="D2271" s="92" t="s">
        <v>1008</v>
      </c>
      <c r="E2271" s="93" t="s">
        <v>839</v>
      </c>
      <c r="F2271" s="93">
        <v>4.16666666</v>
      </c>
      <c r="G2271" s="93">
        <v>3.95</v>
      </c>
      <c r="H2271" s="93">
        <v>16.458333307</v>
      </c>
      <c r="I2271" s="93">
        <v>242.4583329454</v>
      </c>
    </row>
    <row r="2272" spans="1:9">
      <c r="A2272" s="90"/>
      <c r="B2272" s="91" t="s">
        <v>1007</v>
      </c>
      <c r="C2272" s="91" t="s">
        <v>1378</v>
      </c>
      <c r="D2272" s="92" t="s">
        <v>1379</v>
      </c>
      <c r="E2272" s="93" t="s">
        <v>839</v>
      </c>
      <c r="F2272" s="93">
        <v>4.16666666</v>
      </c>
      <c r="G2272" s="93">
        <v>0.08</v>
      </c>
      <c r="H2272" s="93">
        <v>0.3333333328</v>
      </c>
      <c r="I2272" s="93">
        <v>242.4583329454</v>
      </c>
    </row>
    <row r="2273" spans="1:9">
      <c r="A2273" s="90"/>
      <c r="B2273" s="91" t="s">
        <v>1020</v>
      </c>
      <c r="C2273" s="91" t="s">
        <v>1019</v>
      </c>
      <c r="D2273" s="92" t="s">
        <v>1021</v>
      </c>
      <c r="E2273" s="93" t="s">
        <v>839</v>
      </c>
      <c r="F2273" s="93">
        <v>4.254999993192</v>
      </c>
      <c r="G2273" s="93">
        <v>14.49</v>
      </c>
      <c r="H2273" s="93">
        <v>61.6549499013521</v>
      </c>
      <c r="I2273" s="93">
        <v>247.598449603842</v>
      </c>
    </row>
    <row r="2274" ht="25.5" spans="1:9">
      <c r="A2274" s="90"/>
      <c r="B2274" s="91" t="s">
        <v>1111</v>
      </c>
      <c r="C2274" s="91" t="s">
        <v>1110</v>
      </c>
      <c r="D2274" s="92" t="s">
        <v>1112</v>
      </c>
      <c r="E2274" s="93" t="s">
        <v>839</v>
      </c>
      <c r="F2274" s="93">
        <v>4.16666666</v>
      </c>
      <c r="G2274" s="93">
        <v>1.39</v>
      </c>
      <c r="H2274" s="93">
        <v>5.7916666574</v>
      </c>
      <c r="I2274" s="93">
        <v>242.4583329454</v>
      </c>
    </row>
    <row r="2275" spans="1:9">
      <c r="A2275" s="90"/>
      <c r="B2275" s="91" t="s">
        <v>1007</v>
      </c>
      <c r="C2275" s="91" t="s">
        <v>1050</v>
      </c>
      <c r="D2275" s="92" t="s">
        <v>1051</v>
      </c>
      <c r="E2275" s="93" t="s">
        <v>839</v>
      </c>
      <c r="F2275" s="93">
        <v>4.16666666</v>
      </c>
      <c r="G2275" s="93">
        <v>1.43</v>
      </c>
      <c r="H2275" s="93">
        <v>5.9583333238</v>
      </c>
      <c r="I2275" s="93">
        <v>242.4583329454</v>
      </c>
    </row>
    <row r="2276" ht="25.5" spans="1:9">
      <c r="A2276" s="90"/>
      <c r="B2276" s="91" t="s">
        <v>1111</v>
      </c>
      <c r="C2276" s="91" t="s">
        <v>1195</v>
      </c>
      <c r="D2276" s="92" t="s">
        <v>1196</v>
      </c>
      <c r="E2276" s="93" t="s">
        <v>839</v>
      </c>
      <c r="F2276" s="93">
        <v>4.16666666</v>
      </c>
      <c r="G2276" s="93">
        <v>0.61</v>
      </c>
      <c r="H2276" s="93">
        <v>2.5416666626</v>
      </c>
      <c r="I2276" s="93">
        <v>242.4583329454</v>
      </c>
    </row>
    <row r="2277" spans="1:9">
      <c r="A2277" s="85" t="s">
        <v>2510</v>
      </c>
      <c r="B2277" s="85" t="s">
        <v>958</v>
      </c>
      <c r="C2277" s="85" t="s">
        <v>2511</v>
      </c>
      <c r="D2277" s="87" t="s">
        <v>959</v>
      </c>
      <c r="E2277" s="89" t="s">
        <v>476</v>
      </c>
      <c r="F2277" s="89">
        <v>8.24</v>
      </c>
      <c r="G2277" s="89">
        <v>114.82</v>
      </c>
      <c r="H2277" s="89">
        <v>946.11</v>
      </c>
      <c r="I2277" s="89">
        <v>8.24</v>
      </c>
    </row>
    <row r="2278" spans="1:9">
      <c r="A2278" s="90"/>
      <c r="B2278" s="91" t="s">
        <v>1007</v>
      </c>
      <c r="C2278" s="91" t="s">
        <v>1048</v>
      </c>
      <c r="D2278" s="92" t="s">
        <v>1049</v>
      </c>
      <c r="E2278" s="93" t="s">
        <v>839</v>
      </c>
      <c r="F2278" s="93">
        <v>1</v>
      </c>
      <c r="G2278" s="93">
        <v>1.5</v>
      </c>
      <c r="H2278" s="93">
        <v>7.249879155</v>
      </c>
      <c r="I2278" s="93">
        <v>8.24</v>
      </c>
    </row>
    <row r="2279" spans="1:9">
      <c r="A2279" s="90"/>
      <c r="B2279" s="91" t="s">
        <v>1007</v>
      </c>
      <c r="C2279" s="91" t="s">
        <v>1006</v>
      </c>
      <c r="D2279" s="92" t="s">
        <v>1008</v>
      </c>
      <c r="E2279" s="93" t="s">
        <v>839</v>
      </c>
      <c r="F2279" s="93">
        <v>4.83325277</v>
      </c>
      <c r="G2279" s="93">
        <v>3.95</v>
      </c>
      <c r="H2279" s="93">
        <v>19.0913484415</v>
      </c>
      <c r="I2279" s="93">
        <v>39.8260028248</v>
      </c>
    </row>
    <row r="2280" spans="1:9">
      <c r="A2280" s="90"/>
      <c r="B2280" s="91" t="s">
        <v>1007</v>
      </c>
      <c r="C2280" s="91" t="s">
        <v>1378</v>
      </c>
      <c r="D2280" s="92" t="s">
        <v>2512</v>
      </c>
      <c r="E2280" s="93" t="s">
        <v>839</v>
      </c>
      <c r="F2280" s="93">
        <v>4.83325277</v>
      </c>
      <c r="G2280" s="93">
        <v>0.08</v>
      </c>
      <c r="H2280" s="93">
        <v>0.3866602216</v>
      </c>
      <c r="I2280" s="93">
        <v>39.8260028248</v>
      </c>
    </row>
    <row r="2281" spans="1:9">
      <c r="A2281" s="90"/>
      <c r="B2281" s="90"/>
      <c r="C2281" s="90"/>
      <c r="D2281" s="92" t="s">
        <v>2208</v>
      </c>
      <c r="E2281" s="94"/>
      <c r="F2281" s="94"/>
      <c r="G2281" s="94"/>
      <c r="H2281" s="94"/>
      <c r="I2281" s="94"/>
    </row>
    <row r="2282" spans="1:9">
      <c r="A2282" s="90"/>
      <c r="B2282" s="91" t="s">
        <v>1020</v>
      </c>
      <c r="C2282" s="91" t="s">
        <v>1019</v>
      </c>
      <c r="D2282" s="92" t="s">
        <v>1021</v>
      </c>
      <c r="E2282" s="93" t="s">
        <v>839</v>
      </c>
      <c r="F2282" s="93">
        <v>4.935717728724</v>
      </c>
      <c r="G2282" s="93">
        <v>14.49</v>
      </c>
      <c r="H2282" s="93">
        <v>71.5185498892108</v>
      </c>
      <c r="I2282" s="93">
        <v>40.6703140846858</v>
      </c>
    </row>
    <row r="2283" ht="25.5" spans="1:9">
      <c r="A2283" s="90"/>
      <c r="B2283" s="91" t="s">
        <v>1111</v>
      </c>
      <c r="C2283" s="91" t="s">
        <v>1110</v>
      </c>
      <c r="D2283" s="92" t="s">
        <v>1112</v>
      </c>
      <c r="E2283" s="93" t="s">
        <v>839</v>
      </c>
      <c r="F2283" s="93">
        <v>4.83325277</v>
      </c>
      <c r="G2283" s="93">
        <v>1.39</v>
      </c>
      <c r="H2283" s="93">
        <v>6.7182213503</v>
      </c>
      <c r="I2283" s="93">
        <v>39.8260028248</v>
      </c>
    </row>
    <row r="2284" spans="1:9">
      <c r="A2284" s="90"/>
      <c r="B2284" s="91" t="s">
        <v>1007</v>
      </c>
      <c r="C2284" s="91" t="s">
        <v>1050</v>
      </c>
      <c r="D2284" s="92" t="s">
        <v>1051</v>
      </c>
      <c r="E2284" s="93" t="s">
        <v>839</v>
      </c>
      <c r="F2284" s="93">
        <v>4.83325277</v>
      </c>
      <c r="G2284" s="93">
        <v>1.43</v>
      </c>
      <c r="H2284" s="93">
        <v>6.9115514611</v>
      </c>
      <c r="I2284" s="93">
        <v>39.8260028248</v>
      </c>
    </row>
    <row r="2285" ht="25.5" spans="1:9">
      <c r="A2285" s="90"/>
      <c r="B2285" s="91" t="s">
        <v>1111</v>
      </c>
      <c r="C2285" s="91" t="s">
        <v>1195</v>
      </c>
      <c r="D2285" s="92" t="s">
        <v>1196</v>
      </c>
      <c r="E2285" s="93" t="s">
        <v>839</v>
      </c>
      <c r="F2285" s="93">
        <v>4.83325277</v>
      </c>
      <c r="G2285" s="93">
        <v>0.61</v>
      </c>
      <c r="H2285" s="93">
        <v>2.9482841897</v>
      </c>
      <c r="I2285" s="93">
        <v>39.8260028248</v>
      </c>
    </row>
    <row r="2286" spans="1:9">
      <c r="A2286" s="85" t="s">
        <v>2513</v>
      </c>
      <c r="B2286" s="86"/>
      <c r="C2286" s="86"/>
      <c r="D2286" s="87" t="s">
        <v>960</v>
      </c>
      <c r="E2286" s="88"/>
      <c r="F2286" s="89">
        <v>0</v>
      </c>
      <c r="G2286" s="89">
        <v>0</v>
      </c>
      <c r="H2286" s="89">
        <v>0</v>
      </c>
      <c r="I2286" s="89">
        <v>0</v>
      </c>
    </row>
    <row r="2287" spans="1:9">
      <c r="A2287" s="85" t="s">
        <v>2514</v>
      </c>
      <c r="B2287" s="85" t="s">
        <v>2515</v>
      </c>
      <c r="C2287" s="85" t="s">
        <v>2516</v>
      </c>
      <c r="D2287" s="87" t="s">
        <v>961</v>
      </c>
      <c r="E2287" s="89" t="s">
        <v>494</v>
      </c>
      <c r="F2287" s="89">
        <v>1</v>
      </c>
      <c r="G2287" s="89">
        <v>538.76</v>
      </c>
      <c r="H2287" s="89">
        <v>538.76</v>
      </c>
      <c r="I2287" s="89">
        <v>1</v>
      </c>
    </row>
    <row r="2288" ht="38.25" spans="1:9">
      <c r="A2288" s="90"/>
      <c r="B2288" s="91" t="s">
        <v>1697</v>
      </c>
      <c r="C2288" s="91" t="s">
        <v>1696</v>
      </c>
      <c r="D2288" s="92" t="s">
        <v>1698</v>
      </c>
      <c r="E2288" s="93" t="s">
        <v>494</v>
      </c>
      <c r="F2288" s="93">
        <v>1</v>
      </c>
      <c r="G2288" s="93">
        <v>450240</v>
      </c>
      <c r="H2288" s="93">
        <v>53.4333084292896</v>
      </c>
      <c r="I2288" s="93">
        <v>1</v>
      </c>
    </row>
    <row r="2289" ht="38.25" spans="1:9">
      <c r="A2289" s="90"/>
      <c r="B2289" s="91" t="s">
        <v>1718</v>
      </c>
      <c r="C2289" s="91" t="s">
        <v>1717</v>
      </c>
      <c r="D2289" s="92" t="s">
        <v>1719</v>
      </c>
      <c r="E2289" s="93" t="s">
        <v>494</v>
      </c>
      <c r="F2289" s="93">
        <v>1</v>
      </c>
      <c r="G2289" s="93">
        <v>12782.95</v>
      </c>
      <c r="H2289" s="93">
        <v>2.07535425429086</v>
      </c>
      <c r="I2289" s="93">
        <v>1</v>
      </c>
    </row>
    <row r="2290" spans="1:9">
      <c r="A2290" s="90"/>
      <c r="B2290" s="91" t="s">
        <v>1840</v>
      </c>
      <c r="C2290" s="91" t="s">
        <v>1839</v>
      </c>
      <c r="D2290" s="92" t="s">
        <v>1841</v>
      </c>
      <c r="E2290" s="93" t="s">
        <v>494</v>
      </c>
      <c r="F2290" s="93">
        <v>1</v>
      </c>
      <c r="G2290" s="93">
        <v>9163.25</v>
      </c>
      <c r="H2290" s="93">
        <v>1.57963944960351</v>
      </c>
      <c r="I2290" s="93">
        <v>1</v>
      </c>
    </row>
    <row r="2291" ht="25.5" spans="1:9">
      <c r="A2291" s="90"/>
      <c r="B2291" s="91" t="s">
        <v>1832</v>
      </c>
      <c r="C2291" s="91" t="s">
        <v>1831</v>
      </c>
      <c r="D2291" s="92" t="s">
        <v>1833</v>
      </c>
      <c r="E2291" s="93" t="s">
        <v>839</v>
      </c>
      <c r="F2291" s="93">
        <v>1</v>
      </c>
      <c r="G2291" s="93">
        <v>1.36</v>
      </c>
      <c r="H2291" s="93">
        <v>2.59533288</v>
      </c>
      <c r="I2291" s="93">
        <v>1</v>
      </c>
    </row>
    <row r="2292" ht="25.5" spans="1:9">
      <c r="A2292" s="90"/>
      <c r="B2292" s="91" t="s">
        <v>1881</v>
      </c>
      <c r="C2292" s="91" t="s">
        <v>1880</v>
      </c>
      <c r="D2292" s="92" t="s">
        <v>1882</v>
      </c>
      <c r="E2292" s="93" t="s">
        <v>839</v>
      </c>
      <c r="F2292" s="93">
        <v>1</v>
      </c>
      <c r="G2292" s="93">
        <v>0.16</v>
      </c>
      <c r="H2292" s="93">
        <v>0.30533328</v>
      </c>
      <c r="I2292" s="93">
        <v>1</v>
      </c>
    </row>
    <row r="2293" ht="25.5" spans="1:9">
      <c r="A2293" s="90"/>
      <c r="B2293" s="91" t="s">
        <v>1857</v>
      </c>
      <c r="C2293" s="91" t="s">
        <v>1856</v>
      </c>
      <c r="D2293" s="92" t="s">
        <v>1858</v>
      </c>
      <c r="E2293" s="93" t="s">
        <v>839</v>
      </c>
      <c r="F2293" s="93">
        <v>1</v>
      </c>
      <c r="G2293" s="93">
        <v>1.71</v>
      </c>
      <c r="H2293" s="93">
        <v>0.855</v>
      </c>
      <c r="I2293" s="93">
        <v>1</v>
      </c>
    </row>
    <row r="2294" spans="1:9">
      <c r="A2294" s="90"/>
      <c r="B2294" s="91" t="s">
        <v>1007</v>
      </c>
      <c r="C2294" s="91" t="s">
        <v>1048</v>
      </c>
      <c r="D2294" s="92" t="s">
        <v>1049</v>
      </c>
      <c r="E2294" s="93" t="s">
        <v>839</v>
      </c>
      <c r="F2294" s="93">
        <v>1</v>
      </c>
      <c r="G2294" s="93">
        <v>1.5</v>
      </c>
      <c r="H2294" s="93">
        <v>15.743751</v>
      </c>
      <c r="I2294" s="93">
        <v>1</v>
      </c>
    </row>
    <row r="2295" spans="1:9">
      <c r="A2295" s="90"/>
      <c r="B2295" s="91" t="s">
        <v>1007</v>
      </c>
      <c r="C2295" s="91" t="s">
        <v>1006</v>
      </c>
      <c r="D2295" s="92" t="s">
        <v>1008</v>
      </c>
      <c r="E2295" s="93" t="s">
        <v>839</v>
      </c>
      <c r="F2295" s="93">
        <v>10.495834</v>
      </c>
      <c r="G2295" s="93">
        <v>3.95</v>
      </c>
      <c r="H2295" s="93">
        <v>41.4585443</v>
      </c>
      <c r="I2295" s="93">
        <v>10.495834</v>
      </c>
    </row>
    <row r="2296" spans="1:9">
      <c r="A2296" s="90"/>
      <c r="B2296" s="91" t="s">
        <v>1248</v>
      </c>
      <c r="C2296" s="91" t="s">
        <v>1247</v>
      </c>
      <c r="D2296" s="92" t="s">
        <v>1249</v>
      </c>
      <c r="E2296" s="93" t="s">
        <v>839</v>
      </c>
      <c r="F2296" s="93">
        <v>2.1854758125</v>
      </c>
      <c r="G2296" s="93">
        <v>21.83</v>
      </c>
      <c r="H2296" s="93">
        <v>47.708936986875</v>
      </c>
      <c r="I2296" s="93">
        <v>2.1854758125</v>
      </c>
    </row>
    <row r="2297" spans="1:9">
      <c r="A2297" s="90"/>
      <c r="B2297" s="91" t="s">
        <v>1682</v>
      </c>
      <c r="C2297" s="91" t="s">
        <v>1681</v>
      </c>
      <c r="D2297" s="92" t="s">
        <v>1683</v>
      </c>
      <c r="E2297" s="93" t="s">
        <v>839</v>
      </c>
      <c r="F2297" s="93">
        <v>2.18738653125</v>
      </c>
      <c r="G2297" s="93">
        <v>33.46</v>
      </c>
      <c r="H2297" s="93">
        <v>73.189953335625</v>
      </c>
      <c r="I2297" s="93">
        <v>2.18738653125</v>
      </c>
    </row>
    <row r="2298" spans="1:9">
      <c r="A2298" s="90"/>
      <c r="B2298" s="91" t="s">
        <v>1108</v>
      </c>
      <c r="C2298" s="91" t="s">
        <v>1107</v>
      </c>
      <c r="D2298" s="92" t="s">
        <v>1109</v>
      </c>
      <c r="E2298" s="93" t="s">
        <v>839</v>
      </c>
      <c r="F2298" s="93">
        <v>1.93035617436</v>
      </c>
      <c r="G2298" s="93">
        <v>21.83</v>
      </c>
      <c r="H2298" s="93">
        <v>42.1396752862788</v>
      </c>
      <c r="I2298" s="93">
        <v>1.93035617436</v>
      </c>
    </row>
    <row r="2299" spans="1:9">
      <c r="A2299" s="90"/>
      <c r="B2299" s="91" t="s">
        <v>1007</v>
      </c>
      <c r="C2299" s="91" t="s">
        <v>1378</v>
      </c>
      <c r="D2299" s="92" t="s">
        <v>1379</v>
      </c>
      <c r="E2299" s="93" t="s">
        <v>839</v>
      </c>
      <c r="F2299" s="93">
        <v>10.495834</v>
      </c>
      <c r="G2299" s="93">
        <v>0.08</v>
      </c>
      <c r="H2299" s="93">
        <v>0.83966672</v>
      </c>
      <c r="I2299" s="93">
        <v>10.495834</v>
      </c>
    </row>
    <row r="2300" spans="1:9">
      <c r="A2300" s="90"/>
      <c r="B2300" s="91" t="s">
        <v>1020</v>
      </c>
      <c r="C2300" s="91" t="s">
        <v>1019</v>
      </c>
      <c r="D2300" s="92" t="s">
        <v>1021</v>
      </c>
      <c r="E2300" s="93" t="s">
        <v>839</v>
      </c>
      <c r="F2300" s="93">
        <v>4.3847775</v>
      </c>
      <c r="G2300" s="93">
        <v>14.49</v>
      </c>
      <c r="H2300" s="93">
        <v>63.535425975</v>
      </c>
      <c r="I2300" s="93">
        <v>4.3847775</v>
      </c>
    </row>
    <row r="2301" ht="38.25" spans="1:9">
      <c r="A2301" s="90"/>
      <c r="B2301" s="91" t="s">
        <v>1718</v>
      </c>
      <c r="C2301" s="91" t="s">
        <v>1728</v>
      </c>
      <c r="D2301" s="92" t="s">
        <v>1729</v>
      </c>
      <c r="E2301" s="93" t="s">
        <v>494</v>
      </c>
      <c r="F2301" s="93">
        <v>0.0001829652004</v>
      </c>
      <c r="G2301" s="93">
        <v>13815.56</v>
      </c>
      <c r="H2301" s="93">
        <v>2.52776670403822</v>
      </c>
      <c r="I2301" s="93">
        <v>0.0001829652004</v>
      </c>
    </row>
    <row r="2302" ht="25.5" spans="1:9">
      <c r="A2302" s="90"/>
      <c r="B2302" s="91" t="s">
        <v>1862</v>
      </c>
      <c r="C2302" s="91" t="s">
        <v>1861</v>
      </c>
      <c r="D2302" s="92" t="s">
        <v>1863</v>
      </c>
      <c r="E2302" s="93" t="s">
        <v>494</v>
      </c>
      <c r="F2302" s="93">
        <v>0.000154721872</v>
      </c>
      <c r="G2302" s="93">
        <v>411.72</v>
      </c>
      <c r="H2302" s="93">
        <v>0.06370208913984</v>
      </c>
      <c r="I2302" s="93">
        <v>0.000154721872</v>
      </c>
    </row>
    <row r="2303" ht="25.5" spans="1:9">
      <c r="A2303" s="90"/>
      <c r="B2303" s="91" t="s">
        <v>1111</v>
      </c>
      <c r="C2303" s="91" t="s">
        <v>1558</v>
      </c>
      <c r="D2303" s="92" t="s">
        <v>1559</v>
      </c>
      <c r="E2303" s="93" t="s">
        <v>839</v>
      </c>
      <c r="F2303" s="93">
        <v>4.29375</v>
      </c>
      <c r="G2303" s="93">
        <v>1.13</v>
      </c>
      <c r="H2303" s="93">
        <v>4.8519375</v>
      </c>
      <c r="I2303" s="93">
        <v>4.29375</v>
      </c>
    </row>
    <row r="2304" ht="25.5" spans="1:9">
      <c r="A2304" s="90"/>
      <c r="B2304" s="91" t="s">
        <v>1111</v>
      </c>
      <c r="C2304" s="91" t="s">
        <v>1287</v>
      </c>
      <c r="D2304" s="92" t="s">
        <v>1288</v>
      </c>
      <c r="E2304" s="93" t="s">
        <v>839</v>
      </c>
      <c r="F2304" s="93">
        <v>1.908334</v>
      </c>
      <c r="G2304" s="93">
        <v>0.89</v>
      </c>
      <c r="H2304" s="93">
        <v>1.69841726</v>
      </c>
      <c r="I2304" s="93">
        <v>1.908334</v>
      </c>
    </row>
    <row r="2305" ht="25.5" spans="1:9">
      <c r="A2305" s="90"/>
      <c r="B2305" s="91" t="s">
        <v>1111</v>
      </c>
      <c r="C2305" s="91" t="s">
        <v>1110</v>
      </c>
      <c r="D2305" s="92" t="s">
        <v>1112</v>
      </c>
      <c r="E2305" s="93" t="s">
        <v>839</v>
      </c>
      <c r="F2305" s="93">
        <v>4.29375</v>
      </c>
      <c r="G2305" s="93">
        <v>1.39</v>
      </c>
      <c r="H2305" s="93">
        <v>5.9683125</v>
      </c>
      <c r="I2305" s="93">
        <v>4.29375</v>
      </c>
    </row>
    <row r="2306" spans="1:9">
      <c r="A2306" s="90"/>
      <c r="B2306" s="91" t="s">
        <v>1007</v>
      </c>
      <c r="C2306" s="91" t="s">
        <v>1050</v>
      </c>
      <c r="D2306" s="92" t="s">
        <v>1051</v>
      </c>
      <c r="E2306" s="93" t="s">
        <v>839</v>
      </c>
      <c r="F2306" s="93">
        <v>10.495834</v>
      </c>
      <c r="G2306" s="93">
        <v>1.43</v>
      </c>
      <c r="H2306" s="93">
        <v>15.00904262</v>
      </c>
      <c r="I2306" s="93">
        <v>10.495834</v>
      </c>
    </row>
    <row r="2307" ht="25.5" spans="1:9">
      <c r="A2307" s="90"/>
      <c r="B2307" s="91" t="s">
        <v>1111</v>
      </c>
      <c r="C2307" s="91" t="s">
        <v>1674</v>
      </c>
      <c r="D2307" s="92" t="s">
        <v>1675</v>
      </c>
      <c r="E2307" s="93" t="s">
        <v>839</v>
      </c>
      <c r="F2307" s="93">
        <v>4.29375</v>
      </c>
      <c r="G2307" s="93">
        <v>0.31</v>
      </c>
      <c r="H2307" s="93">
        <v>1.3310625</v>
      </c>
      <c r="I2307" s="93">
        <v>4.29375</v>
      </c>
    </row>
    <row r="2308" ht="25.5" spans="1:9">
      <c r="A2308" s="90"/>
      <c r="B2308" s="91" t="s">
        <v>1111</v>
      </c>
      <c r="C2308" s="91" t="s">
        <v>1707</v>
      </c>
      <c r="D2308" s="92" t="s">
        <v>1708</v>
      </c>
      <c r="E2308" s="93" t="s">
        <v>839</v>
      </c>
      <c r="F2308" s="93">
        <v>1.908334</v>
      </c>
      <c r="G2308" s="93">
        <v>0.01</v>
      </c>
      <c r="H2308" s="93">
        <v>0.01908334</v>
      </c>
      <c r="I2308" s="93">
        <v>1.908334</v>
      </c>
    </row>
    <row r="2309" ht="25.5" spans="1:9">
      <c r="A2309" s="90"/>
      <c r="B2309" s="91" t="s">
        <v>1111</v>
      </c>
      <c r="C2309" s="91" t="s">
        <v>1195</v>
      </c>
      <c r="D2309" s="92" t="s">
        <v>1196</v>
      </c>
      <c r="E2309" s="93" t="s">
        <v>839</v>
      </c>
      <c r="F2309" s="93">
        <v>4.29375</v>
      </c>
      <c r="G2309" s="93">
        <v>0.61</v>
      </c>
      <c r="H2309" s="93">
        <v>2.6191875</v>
      </c>
      <c r="I2309" s="93">
        <v>4.29375</v>
      </c>
    </row>
    <row r="2310" spans="1:9">
      <c r="A2310" s="90"/>
      <c r="B2310" s="91" t="s">
        <v>985</v>
      </c>
      <c r="C2310" s="91" t="s">
        <v>1227</v>
      </c>
      <c r="D2310" s="92" t="s">
        <v>1228</v>
      </c>
      <c r="E2310" s="93" t="s">
        <v>215</v>
      </c>
      <c r="F2310" s="93">
        <v>2.71400185</v>
      </c>
      <c r="G2310" s="93">
        <v>5.96</v>
      </c>
      <c r="H2310" s="93">
        <v>16.175451026</v>
      </c>
      <c r="I2310" s="93">
        <v>2.71400185</v>
      </c>
    </row>
    <row r="2311" ht="25.5" spans="1:9">
      <c r="A2311" s="90"/>
      <c r="B2311" s="91" t="s">
        <v>1865</v>
      </c>
      <c r="C2311" s="91" t="s">
        <v>1864</v>
      </c>
      <c r="D2311" s="92" t="s">
        <v>1866</v>
      </c>
      <c r="E2311" s="93" t="s">
        <v>494</v>
      </c>
      <c r="F2311" s="93">
        <v>0.00012237471295</v>
      </c>
      <c r="G2311" s="93">
        <v>5400.9</v>
      </c>
      <c r="H2311" s="93">
        <v>0.660933587171655</v>
      </c>
      <c r="I2311" s="93">
        <v>0.00012237471295</v>
      </c>
    </row>
    <row r="2312" spans="1:9">
      <c r="A2312" s="90"/>
      <c r="B2312" s="91" t="s">
        <v>985</v>
      </c>
      <c r="C2312" s="91" t="s">
        <v>984</v>
      </c>
      <c r="D2312" s="92" t="s">
        <v>986</v>
      </c>
      <c r="E2312" s="93" t="s">
        <v>215</v>
      </c>
      <c r="F2312" s="93">
        <v>9.29892361</v>
      </c>
      <c r="G2312" s="93">
        <v>5.93</v>
      </c>
      <c r="H2312" s="93">
        <v>55.1426170073</v>
      </c>
      <c r="I2312" s="93">
        <v>9.29892361</v>
      </c>
    </row>
    <row r="2313" ht="51" spans="1:9">
      <c r="A2313" s="90"/>
      <c r="B2313" s="91" t="s">
        <v>1136</v>
      </c>
      <c r="C2313" s="91" t="s">
        <v>1135</v>
      </c>
      <c r="D2313" s="92" t="s">
        <v>1137</v>
      </c>
      <c r="E2313" s="93" t="s">
        <v>494</v>
      </c>
      <c r="F2313" s="93">
        <v>0.0001870267372</v>
      </c>
      <c r="G2313" s="93">
        <v>466463.38</v>
      </c>
      <c r="H2313" s="93">
        <v>87.2411239846837</v>
      </c>
      <c r="I2313" s="93">
        <v>0.0001870267372</v>
      </c>
    </row>
    <row r="2314" spans="1:9">
      <c r="A2314" s="85" t="s">
        <v>2517</v>
      </c>
      <c r="B2314" s="86"/>
      <c r="C2314" s="86"/>
      <c r="D2314" s="87" t="s">
        <v>962</v>
      </c>
      <c r="E2314" s="88"/>
      <c r="F2314" s="89">
        <v>0</v>
      </c>
      <c r="G2314" s="89">
        <v>0</v>
      </c>
      <c r="H2314" s="89">
        <v>0</v>
      </c>
      <c r="I2314" s="89">
        <v>0</v>
      </c>
    </row>
    <row r="2315" spans="1:9">
      <c r="A2315" s="85" t="s">
        <v>2518</v>
      </c>
      <c r="B2315" s="86"/>
      <c r="C2315" s="86"/>
      <c r="D2315" s="87" t="s">
        <v>963</v>
      </c>
      <c r="E2315" s="88"/>
      <c r="F2315" s="89">
        <v>0</v>
      </c>
      <c r="G2315" s="89">
        <v>0</v>
      </c>
      <c r="H2315" s="89">
        <v>0</v>
      </c>
      <c r="I2315" s="89">
        <v>0</v>
      </c>
    </row>
    <row r="2316" ht="38.25" spans="1:9">
      <c r="A2316" s="85" t="s">
        <v>2519</v>
      </c>
      <c r="B2316" s="85" t="s">
        <v>964</v>
      </c>
      <c r="C2316" s="85" t="s">
        <v>1027</v>
      </c>
      <c r="D2316" s="87" t="s">
        <v>965</v>
      </c>
      <c r="E2316" s="89" t="s">
        <v>598</v>
      </c>
      <c r="F2316" s="89">
        <v>45</v>
      </c>
      <c r="G2316" s="89">
        <v>1500</v>
      </c>
      <c r="H2316" s="89">
        <v>67500</v>
      </c>
      <c r="I2316" s="89">
        <v>45</v>
      </c>
    </row>
    <row r="2317" ht="25.5" spans="1:9">
      <c r="A2317" s="85" t="s">
        <v>2520</v>
      </c>
      <c r="B2317" s="85" t="s">
        <v>966</v>
      </c>
      <c r="C2317" s="85" t="s">
        <v>1016</v>
      </c>
      <c r="D2317" s="87" t="s">
        <v>967</v>
      </c>
      <c r="E2317" s="89" t="s">
        <v>598</v>
      </c>
      <c r="F2317" s="89">
        <v>81</v>
      </c>
      <c r="G2317" s="89">
        <v>1171.87</v>
      </c>
      <c r="H2317" s="89">
        <v>94921.47</v>
      </c>
      <c r="I2317" s="89">
        <v>81</v>
      </c>
    </row>
    <row r="2318" ht="38.25" spans="1:9">
      <c r="A2318" s="85" t="s">
        <v>2521</v>
      </c>
      <c r="B2318" s="85" t="s">
        <v>968</v>
      </c>
      <c r="C2318" s="85" t="s">
        <v>1028</v>
      </c>
      <c r="D2318" s="87" t="s">
        <v>969</v>
      </c>
      <c r="E2318" s="89" t="s">
        <v>598</v>
      </c>
      <c r="F2318" s="89">
        <v>36</v>
      </c>
      <c r="G2318" s="89">
        <v>1875</v>
      </c>
      <c r="H2318" s="89">
        <v>67500</v>
      </c>
      <c r="I2318" s="89">
        <v>36</v>
      </c>
    </row>
    <row r="2319" spans="1:9">
      <c r="A2319" s="85" t="s">
        <v>2522</v>
      </c>
      <c r="B2319" s="86"/>
      <c r="C2319" s="86"/>
      <c r="D2319" s="87" t="s">
        <v>970</v>
      </c>
      <c r="E2319" s="88"/>
      <c r="F2319" s="89">
        <v>0</v>
      </c>
      <c r="G2319" s="89">
        <v>0</v>
      </c>
      <c r="H2319" s="89">
        <v>0</v>
      </c>
      <c r="I2319" s="89">
        <v>0</v>
      </c>
    </row>
    <row r="2320" spans="1:9">
      <c r="A2320" s="85" t="s">
        <v>2523</v>
      </c>
      <c r="B2320" s="86"/>
      <c r="C2320" s="86"/>
      <c r="D2320" s="87" t="s">
        <v>971</v>
      </c>
      <c r="E2320" s="88"/>
      <c r="F2320" s="89">
        <v>0</v>
      </c>
      <c r="G2320" s="89">
        <v>0</v>
      </c>
      <c r="H2320" s="89">
        <v>0</v>
      </c>
      <c r="I2320" s="89">
        <v>0</v>
      </c>
    </row>
    <row r="2321" spans="1:9">
      <c r="A2321" s="85" t="s">
        <v>2524</v>
      </c>
      <c r="B2321" s="85" t="s">
        <v>1083</v>
      </c>
      <c r="C2321" s="85" t="s">
        <v>1082</v>
      </c>
      <c r="D2321" s="87" t="s">
        <v>972</v>
      </c>
      <c r="E2321" s="89" t="s">
        <v>973</v>
      </c>
      <c r="F2321" s="89">
        <v>18</v>
      </c>
      <c r="G2321" s="89">
        <v>1316.7</v>
      </c>
      <c r="H2321" s="89">
        <v>23700.6</v>
      </c>
      <c r="I2321" s="89">
        <v>18</v>
      </c>
    </row>
    <row r="2322" spans="1:9">
      <c r="A2322" s="85" t="s">
        <v>2525</v>
      </c>
      <c r="B2322" s="86"/>
      <c r="C2322" s="86"/>
      <c r="D2322" s="87" t="s">
        <v>974</v>
      </c>
      <c r="E2322" s="88"/>
      <c r="F2322" s="89">
        <v>0</v>
      </c>
      <c r="G2322" s="89">
        <v>0</v>
      </c>
      <c r="H2322" s="89">
        <v>0</v>
      </c>
      <c r="I2322" s="89">
        <v>0</v>
      </c>
    </row>
    <row r="2323" spans="1:9">
      <c r="A2323" s="85" t="s">
        <v>2526</v>
      </c>
      <c r="B2323" s="86"/>
      <c r="C2323" s="86"/>
      <c r="D2323" s="87" t="s">
        <v>963</v>
      </c>
      <c r="E2323" s="88"/>
      <c r="F2323" s="89">
        <v>0</v>
      </c>
      <c r="G2323" s="89">
        <v>0</v>
      </c>
      <c r="H2323" s="89">
        <v>0</v>
      </c>
      <c r="I2323" s="89">
        <v>0</v>
      </c>
    </row>
    <row r="2324" spans="1:9">
      <c r="A2324" s="85" t="s">
        <v>2527</v>
      </c>
      <c r="B2324" s="85" t="s">
        <v>975</v>
      </c>
      <c r="C2324" s="85" t="s">
        <v>2528</v>
      </c>
      <c r="D2324" s="87" t="s">
        <v>976</v>
      </c>
      <c r="E2324" s="89" t="s">
        <v>977</v>
      </c>
      <c r="F2324" s="89">
        <v>475.2</v>
      </c>
      <c r="G2324" s="89">
        <v>112.31</v>
      </c>
      <c r="H2324" s="89">
        <v>53369.71</v>
      </c>
      <c r="I2324" s="89">
        <v>475.2</v>
      </c>
    </row>
    <row r="2325" spans="1:9">
      <c r="A2325" s="90"/>
      <c r="B2325" s="91" t="s">
        <v>1238</v>
      </c>
      <c r="C2325" s="91" t="s">
        <v>1237</v>
      </c>
      <c r="D2325" s="92" t="s">
        <v>976</v>
      </c>
      <c r="E2325" s="93" t="s">
        <v>494</v>
      </c>
      <c r="F2325" s="93">
        <v>8.961e-5</v>
      </c>
      <c r="G2325" s="93">
        <v>121718.91</v>
      </c>
      <c r="H2325" s="93">
        <v>10.9072315251</v>
      </c>
      <c r="I2325" s="93">
        <v>0.042582672</v>
      </c>
    </row>
    <row r="2326" spans="1:9">
      <c r="A2326" s="90"/>
      <c r="B2326" s="91" t="s">
        <v>985</v>
      </c>
      <c r="C2326" s="91" t="s">
        <v>984</v>
      </c>
      <c r="D2326" s="92" t="s">
        <v>986</v>
      </c>
      <c r="E2326" s="93" t="s">
        <v>215</v>
      </c>
      <c r="F2326" s="93">
        <v>17.1</v>
      </c>
      <c r="G2326" s="93">
        <v>5.93</v>
      </c>
      <c r="H2326" s="93">
        <v>101.403</v>
      </c>
      <c r="I2326" s="93">
        <v>8125.92</v>
      </c>
    </row>
    <row r="2327" spans="1:9">
      <c r="A2327" s="85" t="s">
        <v>2529</v>
      </c>
      <c r="B2327" s="85" t="s">
        <v>978</v>
      </c>
      <c r="C2327" s="85" t="s">
        <v>2530</v>
      </c>
      <c r="D2327" s="87" t="s">
        <v>976</v>
      </c>
      <c r="E2327" s="89" t="s">
        <v>979</v>
      </c>
      <c r="F2327" s="89">
        <v>52.8</v>
      </c>
      <c r="G2327" s="89">
        <v>6.56</v>
      </c>
      <c r="H2327" s="89">
        <v>346.36</v>
      </c>
      <c r="I2327" s="89">
        <v>52.8</v>
      </c>
    </row>
    <row r="2328" spans="1:9">
      <c r="A2328" s="90"/>
      <c r="B2328" s="91" t="s">
        <v>1238</v>
      </c>
      <c r="C2328" s="91" t="s">
        <v>1237</v>
      </c>
      <c r="D2328" s="92" t="s">
        <v>976</v>
      </c>
      <c r="E2328" s="93" t="s">
        <v>494</v>
      </c>
      <c r="F2328" s="93">
        <v>5.396e-5</v>
      </c>
      <c r="G2328" s="93">
        <v>121718.91</v>
      </c>
      <c r="H2328" s="93">
        <v>6.5679523836</v>
      </c>
      <c r="I2328" s="93">
        <v>0.002849088</v>
      </c>
    </row>
  </sheetData>
  <autoFilter xmlns:etc="http://www.wps.cn/officeDocument/2017/etCustomData" ref="A1:I2328" etc:filterBottomFollowUsedRange="0">
    <extLst/>
  </autoFilter>
  <pageMargins left="0.393700787401575" right="0.393700787401575" top="0.393700787401575" bottom="0.393700787401575" header="0" footer="0"/>
  <pageSetup paperSize="9" scale="49" fitToHeight="0" orientation="portrait"/>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E9809"/>
  <sheetViews>
    <sheetView view="pageBreakPreview" zoomScaleNormal="100" topLeftCell="A124" workbookViewId="0">
      <selection activeCell="A130" sqref="A130"/>
    </sheetView>
  </sheetViews>
  <sheetFormatPr defaultColWidth="9" defaultRowHeight="15" outlineLevelCol="4"/>
  <cols>
    <col min="1" max="1" width="83.2190476190476" style="72" customWidth="1"/>
    <col min="2" max="2" width="21.8857142857143" style="73" customWidth="1"/>
    <col min="3" max="3" width="11.8857142857143" style="74" customWidth="1"/>
    <col min="4" max="4" width="14.3333333333333" style="74" customWidth="1"/>
    <col min="5" max="5" width="12.3333333333333" style="74" customWidth="1"/>
    <col min="6" max="16384" width="8.88571428571429" style="75"/>
  </cols>
  <sheetData>
    <row r="1" spans="1:5">
      <c r="A1" s="76"/>
      <c r="B1" s="77"/>
      <c r="C1" s="78"/>
      <c r="D1" s="78"/>
      <c r="E1" s="78"/>
    </row>
    <row r="2" spans="1:5">
      <c r="A2" s="76" t="s">
        <v>2531</v>
      </c>
      <c r="B2" s="77">
        <v>173003001001</v>
      </c>
      <c r="C2" s="78"/>
      <c r="D2" s="78"/>
      <c r="E2" s="78"/>
    </row>
    <row r="3" ht="25.5" spans="1:5">
      <c r="A3" s="76" t="s">
        <v>2532</v>
      </c>
      <c r="B3" s="77"/>
      <c r="C3" s="78"/>
      <c r="D3" s="78"/>
      <c r="E3" s="78"/>
    </row>
    <row r="4" spans="1:5">
      <c r="A4" s="76" t="s">
        <v>2533</v>
      </c>
      <c r="B4" s="77"/>
      <c r="C4" s="78"/>
      <c r="D4" s="78"/>
      <c r="E4" s="78"/>
    </row>
    <row r="5" spans="1:5">
      <c r="A5" s="76"/>
      <c r="B5" s="77"/>
      <c r="C5" s="78"/>
      <c r="D5" s="78"/>
      <c r="E5" s="78"/>
    </row>
    <row r="6" spans="1:5">
      <c r="A6" s="76" t="s">
        <v>280</v>
      </c>
      <c r="B6" s="77" t="s">
        <v>135</v>
      </c>
      <c r="C6" s="78" t="s">
        <v>136</v>
      </c>
      <c r="D6" s="78" t="s">
        <v>2534</v>
      </c>
      <c r="E6" s="78" t="s">
        <v>2535</v>
      </c>
    </row>
    <row r="7" spans="1:5">
      <c r="A7" s="76" t="s">
        <v>2536</v>
      </c>
      <c r="B7" s="77" t="s">
        <v>598</v>
      </c>
      <c r="C7" s="78">
        <v>1.04</v>
      </c>
      <c r="D7" s="78">
        <v>1518</v>
      </c>
      <c r="E7" s="78">
        <f>TRUNC(C7*D7,2)</f>
        <v>1578.72</v>
      </c>
    </row>
    <row r="8" spans="1:5">
      <c r="A8" s="76" t="s">
        <v>122</v>
      </c>
      <c r="B8" s="77"/>
      <c r="C8" s="78"/>
      <c r="D8" s="78"/>
      <c r="E8" s="78">
        <f>SUM(E7:E7)</f>
        <v>1578.72</v>
      </c>
    </row>
    <row r="9" spans="1:5">
      <c r="A9" s="76" t="s">
        <v>117</v>
      </c>
      <c r="B9" s="77"/>
      <c r="C9" s="78"/>
      <c r="D9" s="78"/>
      <c r="E9" s="78" t="str">
        <f>"0"</f>
        <v>0</v>
      </c>
    </row>
    <row r="10" spans="1:5">
      <c r="A10" s="76" t="s">
        <v>2537</v>
      </c>
      <c r="B10" s="77"/>
      <c r="C10" s="78"/>
      <c r="D10" s="78"/>
      <c r="E10" s="78">
        <f>E8+E9</f>
        <v>1578.72</v>
      </c>
    </row>
    <row r="11" spans="1:5">
      <c r="A11" s="76"/>
      <c r="B11" s="77"/>
      <c r="C11" s="78"/>
      <c r="D11" s="78"/>
      <c r="E11" s="78"/>
    </row>
    <row r="12" spans="1:5">
      <c r="A12" s="76" t="s">
        <v>2538</v>
      </c>
      <c r="B12" s="77"/>
      <c r="C12" s="78"/>
      <c r="D12" s="78"/>
      <c r="E12" s="78">
        <f>E10</f>
        <v>1578.72</v>
      </c>
    </row>
    <row r="13" spans="1:5">
      <c r="A13" s="76" t="s">
        <v>2539</v>
      </c>
      <c r="B13" s="77"/>
      <c r="C13" s="78"/>
      <c r="D13" s="78">
        <v>0</v>
      </c>
      <c r="E13" s="78">
        <f>TRUNC(D13*E12/100,2)</f>
        <v>0</v>
      </c>
    </row>
    <row r="14" spans="1:5">
      <c r="A14" s="76" t="s">
        <v>2540</v>
      </c>
      <c r="B14" s="77"/>
      <c r="C14" s="78"/>
      <c r="D14" s="78"/>
      <c r="E14" s="78">
        <f>E12+E13</f>
        <v>1578.72</v>
      </c>
    </row>
    <row r="15" spans="1:5">
      <c r="A15" s="76"/>
      <c r="B15" s="77"/>
      <c r="C15" s="78"/>
      <c r="D15" s="78"/>
      <c r="E15" s="78"/>
    </row>
    <row r="16" spans="1:5">
      <c r="A16" s="76" t="s">
        <v>2541</v>
      </c>
      <c r="B16" s="77">
        <v>1251003008004</v>
      </c>
      <c r="C16" s="78"/>
      <c r="D16" s="78"/>
      <c r="E16" s="78"/>
    </row>
    <row r="17" ht="76.5" spans="1:5">
      <c r="A17" s="76" t="s">
        <v>2542</v>
      </c>
      <c r="B17" s="77"/>
      <c r="C17" s="78"/>
      <c r="D17" s="78"/>
      <c r="E17" s="78"/>
    </row>
    <row r="18" spans="1:5">
      <c r="A18" s="76" t="s">
        <v>2533</v>
      </c>
      <c r="B18" s="77"/>
      <c r="C18" s="78"/>
      <c r="D18" s="78"/>
      <c r="E18" s="78"/>
    </row>
    <row r="19" spans="1:5">
      <c r="A19" s="76"/>
      <c r="B19" s="77"/>
      <c r="C19" s="78"/>
      <c r="D19" s="78"/>
      <c r="E19" s="78"/>
    </row>
    <row r="20" spans="1:5">
      <c r="A20" s="76" t="s">
        <v>2543</v>
      </c>
      <c r="B20" s="77" t="s">
        <v>135</v>
      </c>
      <c r="C20" s="78" t="s">
        <v>136</v>
      </c>
      <c r="D20" s="78" t="s">
        <v>2534</v>
      </c>
      <c r="E20" s="78" t="s">
        <v>2535</v>
      </c>
    </row>
    <row r="21" ht="25.5" spans="1:5">
      <c r="A21" s="76" t="s">
        <v>2544</v>
      </c>
      <c r="B21" s="77" t="s">
        <v>494</v>
      </c>
      <c r="C21" s="78">
        <v>0.01764166</v>
      </c>
      <c r="D21" s="78">
        <v>2704.81</v>
      </c>
      <c r="E21" s="78">
        <f t="shared" ref="E21:E26" si="0">TRUNC(C21*D21,2)</f>
        <v>47.71</v>
      </c>
    </row>
    <row r="22" spans="1:5">
      <c r="A22" s="76" t="s">
        <v>2545</v>
      </c>
      <c r="B22" s="77" t="s">
        <v>494</v>
      </c>
      <c r="C22" s="78">
        <v>0.12056666</v>
      </c>
      <c r="D22" s="78">
        <v>256.5</v>
      </c>
      <c r="E22" s="78">
        <f t="shared" si="0"/>
        <v>30.92</v>
      </c>
    </row>
    <row r="23" spans="1:5">
      <c r="A23" s="76" t="s">
        <v>2546</v>
      </c>
      <c r="B23" s="77" t="s">
        <v>494</v>
      </c>
      <c r="C23" s="78">
        <v>0.06028333</v>
      </c>
      <c r="D23" s="78">
        <v>262.2</v>
      </c>
      <c r="E23" s="78">
        <f t="shared" si="0"/>
        <v>15.8</v>
      </c>
    </row>
    <row r="24" ht="25.5" spans="1:5">
      <c r="A24" s="76" t="s">
        <v>2547</v>
      </c>
      <c r="B24" s="77" t="s">
        <v>494</v>
      </c>
      <c r="C24" s="78">
        <v>0.03638921</v>
      </c>
      <c r="D24" s="78">
        <v>6034.25</v>
      </c>
      <c r="E24" s="78">
        <f t="shared" si="0"/>
        <v>219.58</v>
      </c>
    </row>
    <row r="25" spans="1:5">
      <c r="A25" s="76" t="s">
        <v>2548</v>
      </c>
      <c r="B25" s="77" t="s">
        <v>598</v>
      </c>
      <c r="C25" s="78">
        <v>1</v>
      </c>
      <c r="D25" s="78">
        <v>159.9</v>
      </c>
      <c r="E25" s="78">
        <f t="shared" si="0"/>
        <v>159.9</v>
      </c>
    </row>
    <row r="26" spans="1:5">
      <c r="A26" s="76" t="s">
        <v>2549</v>
      </c>
      <c r="B26" s="77" t="s">
        <v>494</v>
      </c>
      <c r="C26" s="78">
        <v>0.03014166</v>
      </c>
      <c r="D26" s="78">
        <v>666.25</v>
      </c>
      <c r="E26" s="78">
        <f t="shared" si="0"/>
        <v>20.08</v>
      </c>
    </row>
    <row r="27" spans="1:5">
      <c r="A27" s="76" t="s">
        <v>122</v>
      </c>
      <c r="B27" s="77"/>
      <c r="C27" s="78"/>
      <c r="D27" s="78"/>
      <c r="E27" s="78">
        <f>SUM(E21:E26)</f>
        <v>493.99</v>
      </c>
    </row>
    <row r="28" spans="1:5">
      <c r="A28" s="76"/>
      <c r="B28" s="77"/>
      <c r="C28" s="78"/>
      <c r="D28" s="78"/>
      <c r="E28" s="78"/>
    </row>
    <row r="29" spans="1:5">
      <c r="A29" s="76" t="s">
        <v>2538</v>
      </c>
      <c r="B29" s="77"/>
      <c r="C29" s="78"/>
      <c r="D29" s="78"/>
      <c r="E29" s="78">
        <f>E27</f>
        <v>493.99</v>
      </c>
    </row>
    <row r="30" spans="1:5">
      <c r="A30" s="76" t="s">
        <v>2539</v>
      </c>
      <c r="B30" s="77"/>
      <c r="C30" s="78"/>
      <c r="D30" s="78">
        <v>0</v>
      </c>
      <c r="E30" s="78">
        <f>TRUNC(D30*E29/100,2)</f>
        <v>0</v>
      </c>
    </row>
    <row r="31" spans="1:5">
      <c r="A31" s="76" t="s">
        <v>2540</v>
      </c>
      <c r="B31" s="77"/>
      <c r="C31" s="78"/>
      <c r="D31" s="78"/>
      <c r="E31" s="78">
        <f>E29+E30</f>
        <v>493.99</v>
      </c>
    </row>
    <row r="32" spans="1:5">
      <c r="A32" s="76"/>
      <c r="B32" s="77"/>
      <c r="C32" s="78"/>
      <c r="D32" s="78"/>
      <c r="E32" s="78"/>
    </row>
    <row r="33" spans="1:5">
      <c r="A33" s="76" t="s">
        <v>2550</v>
      </c>
      <c r="B33" s="77">
        <v>173006009021</v>
      </c>
      <c r="C33" s="78"/>
      <c r="D33" s="78"/>
      <c r="E33" s="78"/>
    </row>
    <row r="34" ht="25.5" spans="1:5">
      <c r="A34" s="76" t="s">
        <v>2551</v>
      </c>
      <c r="B34" s="77"/>
      <c r="C34" s="78"/>
      <c r="D34" s="78"/>
      <c r="E34" s="78"/>
    </row>
    <row r="35" spans="1:5">
      <c r="A35" s="76" t="s">
        <v>2552</v>
      </c>
      <c r="B35" s="77"/>
      <c r="C35" s="78"/>
      <c r="D35" s="78"/>
      <c r="E35" s="78"/>
    </row>
    <row r="36" spans="1:5">
      <c r="A36" s="76"/>
      <c r="B36" s="77"/>
      <c r="C36" s="78"/>
      <c r="D36" s="78"/>
      <c r="E36" s="78"/>
    </row>
    <row r="37" spans="1:5">
      <c r="A37" s="76" t="s">
        <v>2543</v>
      </c>
      <c r="B37" s="77" t="s">
        <v>135</v>
      </c>
      <c r="C37" s="78" t="s">
        <v>136</v>
      </c>
      <c r="D37" s="78" t="s">
        <v>2534</v>
      </c>
      <c r="E37" s="78" t="s">
        <v>2535</v>
      </c>
    </row>
    <row r="38" spans="1:5">
      <c r="A38" s="76" t="s">
        <v>2553</v>
      </c>
      <c r="B38" s="77" t="s">
        <v>598</v>
      </c>
      <c r="C38" s="78">
        <v>9</v>
      </c>
      <c r="D38" s="78">
        <v>3566.01</v>
      </c>
      <c r="E38" s="78">
        <f t="shared" ref="E38:E45" si="1">TRUNC(C38*D38,2)</f>
        <v>32094.09</v>
      </c>
    </row>
    <row r="39" ht="25.5" spans="1:5">
      <c r="A39" s="76" t="s">
        <v>2554</v>
      </c>
      <c r="B39" s="77" t="s">
        <v>598</v>
      </c>
      <c r="C39" s="78">
        <v>9</v>
      </c>
      <c r="D39" s="78">
        <v>9323.6</v>
      </c>
      <c r="E39" s="78">
        <f t="shared" si="1"/>
        <v>83912.4</v>
      </c>
    </row>
    <row r="40" spans="1:5">
      <c r="A40" s="76" t="s">
        <v>2555</v>
      </c>
      <c r="B40" s="77" t="s">
        <v>839</v>
      </c>
      <c r="C40" s="78">
        <v>4590</v>
      </c>
      <c r="D40" s="78">
        <v>24.49</v>
      </c>
      <c r="E40" s="78">
        <f t="shared" si="1"/>
        <v>112409.1</v>
      </c>
    </row>
    <row r="41" spans="1:5">
      <c r="A41" s="76" t="s">
        <v>2556</v>
      </c>
      <c r="B41" s="77" t="s">
        <v>839</v>
      </c>
      <c r="C41" s="78">
        <v>1890</v>
      </c>
      <c r="D41" s="78">
        <v>30.26</v>
      </c>
      <c r="E41" s="78">
        <f t="shared" si="1"/>
        <v>57191.4</v>
      </c>
    </row>
    <row r="42" spans="1:5">
      <c r="A42" s="76" t="s">
        <v>2557</v>
      </c>
      <c r="B42" s="77" t="s">
        <v>598</v>
      </c>
      <c r="C42" s="78">
        <v>8</v>
      </c>
      <c r="D42" s="78">
        <v>6659.72</v>
      </c>
      <c r="E42" s="78">
        <f t="shared" si="1"/>
        <v>53277.76</v>
      </c>
    </row>
    <row r="43" ht="25.5" spans="1:5">
      <c r="A43" s="76" t="s">
        <v>2558</v>
      </c>
      <c r="B43" s="77" t="s">
        <v>598</v>
      </c>
      <c r="C43" s="78">
        <v>9</v>
      </c>
      <c r="D43" s="78">
        <v>4295.88</v>
      </c>
      <c r="E43" s="78">
        <f t="shared" si="1"/>
        <v>38662.92</v>
      </c>
    </row>
    <row r="44" ht="25.5" spans="1:5">
      <c r="A44" s="76" t="s">
        <v>2559</v>
      </c>
      <c r="B44" s="77" t="s">
        <v>598</v>
      </c>
      <c r="C44" s="78">
        <v>9</v>
      </c>
      <c r="D44" s="78">
        <v>4495.74</v>
      </c>
      <c r="E44" s="78">
        <f t="shared" si="1"/>
        <v>40461.66</v>
      </c>
    </row>
    <row r="45" ht="25.5" spans="1:5">
      <c r="A45" s="76" t="s">
        <v>2560</v>
      </c>
      <c r="B45" s="77" t="s">
        <v>598</v>
      </c>
      <c r="C45" s="78">
        <v>4.5</v>
      </c>
      <c r="D45" s="78">
        <v>26712.02</v>
      </c>
      <c r="E45" s="78">
        <f t="shared" si="1"/>
        <v>120204.09</v>
      </c>
    </row>
    <row r="46" spans="1:5">
      <c r="A46" s="76" t="s">
        <v>122</v>
      </c>
      <c r="B46" s="77"/>
      <c r="C46" s="78"/>
      <c r="D46" s="78"/>
      <c r="E46" s="78">
        <f>SUM(E38:E45)</f>
        <v>538213.42</v>
      </c>
    </row>
    <row r="47" spans="1:5">
      <c r="A47" s="76"/>
      <c r="B47" s="77"/>
      <c r="C47" s="78"/>
      <c r="D47" s="78"/>
      <c r="E47" s="78"/>
    </row>
    <row r="48" spans="1:5">
      <c r="A48" s="76" t="s">
        <v>2538</v>
      </c>
      <c r="B48" s="77"/>
      <c r="C48" s="78"/>
      <c r="D48" s="78"/>
      <c r="E48" s="78">
        <f>E46</f>
        <v>538213.42</v>
      </c>
    </row>
    <row r="49" spans="1:5">
      <c r="A49" s="76" t="s">
        <v>2539</v>
      </c>
      <c r="B49" s="77"/>
      <c r="C49" s="78"/>
      <c r="D49" s="78">
        <v>0</v>
      </c>
      <c r="E49" s="78">
        <f>TRUNC(D49*E48/100,2)</f>
        <v>0</v>
      </c>
    </row>
    <row r="50" spans="1:5">
      <c r="A50" s="76" t="s">
        <v>2540</v>
      </c>
      <c r="B50" s="77"/>
      <c r="C50" s="78"/>
      <c r="D50" s="78"/>
      <c r="E50" s="78">
        <f>E48+E49</f>
        <v>538213.42</v>
      </c>
    </row>
    <row r="51" spans="1:5">
      <c r="A51" s="76"/>
      <c r="B51" s="77"/>
      <c r="C51" s="78"/>
      <c r="D51" s="78"/>
      <c r="E51" s="78"/>
    </row>
    <row r="52" spans="1:5">
      <c r="A52" s="76" t="s">
        <v>2561</v>
      </c>
      <c r="B52" s="77" t="s">
        <v>730</v>
      </c>
      <c r="C52" s="78"/>
      <c r="D52" s="78"/>
      <c r="E52" s="78"/>
    </row>
    <row r="53" ht="38.25" spans="1:5">
      <c r="A53" s="76" t="s">
        <v>2562</v>
      </c>
      <c r="B53" s="77"/>
      <c r="C53" s="78"/>
      <c r="D53" s="78"/>
      <c r="E53" s="78"/>
    </row>
    <row r="54" spans="1:5">
      <c r="A54" s="76" t="s">
        <v>2563</v>
      </c>
      <c r="B54" s="77"/>
      <c r="C54" s="78"/>
      <c r="D54" s="78"/>
      <c r="E54" s="78"/>
    </row>
    <row r="55" spans="1:5">
      <c r="A55" s="76"/>
      <c r="B55" s="77"/>
      <c r="C55" s="78"/>
      <c r="D55" s="78"/>
      <c r="E55" s="78"/>
    </row>
    <row r="56" spans="1:5">
      <c r="A56" s="76" t="s">
        <v>2543</v>
      </c>
      <c r="B56" s="77" t="s">
        <v>135</v>
      </c>
      <c r="C56" s="78" t="s">
        <v>136</v>
      </c>
      <c r="D56" s="78" t="s">
        <v>2534</v>
      </c>
      <c r="E56" s="78" t="s">
        <v>2535</v>
      </c>
    </row>
    <row r="57" ht="25.5" spans="1:5">
      <c r="A57" s="76" t="s">
        <v>2564</v>
      </c>
      <c r="B57" s="77" t="s">
        <v>215</v>
      </c>
      <c r="C57" s="78">
        <v>0.08333</v>
      </c>
      <c r="D57" s="78">
        <v>92.22</v>
      </c>
      <c r="E57" s="78">
        <f t="shared" ref="E57:E66" si="2">TRUNC(C57*D57,2)</f>
        <v>7.68</v>
      </c>
    </row>
    <row r="58" ht="25.5" spans="1:5">
      <c r="A58" s="76" t="s">
        <v>2565</v>
      </c>
      <c r="B58" s="77" t="s">
        <v>112</v>
      </c>
      <c r="C58" s="78">
        <v>1e-5</v>
      </c>
      <c r="D58" s="78">
        <v>32.88</v>
      </c>
      <c r="E58" s="78">
        <f t="shared" si="2"/>
        <v>0</v>
      </c>
    </row>
    <row r="59" spans="1:5">
      <c r="A59" s="76" t="s">
        <v>2566</v>
      </c>
      <c r="B59" s="77" t="s">
        <v>839</v>
      </c>
      <c r="C59" s="78">
        <v>0.00695652</v>
      </c>
      <c r="D59" s="78">
        <v>24.4</v>
      </c>
      <c r="E59" s="78">
        <f t="shared" si="2"/>
        <v>0.16</v>
      </c>
    </row>
    <row r="60" spans="1:5">
      <c r="A60" s="76" t="s">
        <v>2567</v>
      </c>
      <c r="B60" s="77" t="s">
        <v>839</v>
      </c>
      <c r="C60" s="78">
        <v>0.00695652</v>
      </c>
      <c r="D60" s="78">
        <v>33.01</v>
      </c>
      <c r="E60" s="78">
        <f t="shared" si="2"/>
        <v>0.22</v>
      </c>
    </row>
    <row r="61" ht="25.5" spans="1:5">
      <c r="A61" s="76" t="s">
        <v>2568</v>
      </c>
      <c r="B61" s="77" t="s">
        <v>601</v>
      </c>
      <c r="C61" s="78">
        <v>0.00011</v>
      </c>
      <c r="D61" s="78">
        <v>33.98</v>
      </c>
      <c r="E61" s="78">
        <f t="shared" si="2"/>
        <v>0</v>
      </c>
    </row>
    <row r="62" spans="1:5">
      <c r="A62" s="76" t="s">
        <v>2569</v>
      </c>
      <c r="B62" s="77" t="s">
        <v>977</v>
      </c>
      <c r="C62" s="78">
        <v>0.00695652</v>
      </c>
      <c r="D62" s="78">
        <v>1.33</v>
      </c>
      <c r="E62" s="78">
        <f t="shared" si="2"/>
        <v>0</v>
      </c>
    </row>
    <row r="63" ht="25.5" spans="1:5">
      <c r="A63" s="76" t="s">
        <v>2570</v>
      </c>
      <c r="B63" s="77" t="s">
        <v>977</v>
      </c>
      <c r="C63" s="78">
        <v>0.00695652</v>
      </c>
      <c r="D63" s="78">
        <v>1.67</v>
      </c>
      <c r="E63" s="78">
        <f t="shared" si="2"/>
        <v>0.01</v>
      </c>
    </row>
    <row r="64" spans="1:5">
      <c r="A64" s="76" t="s">
        <v>2571</v>
      </c>
      <c r="B64" s="77" t="s">
        <v>977</v>
      </c>
      <c r="C64" s="78">
        <v>0.01391304</v>
      </c>
      <c r="D64" s="78">
        <v>1.1</v>
      </c>
      <c r="E64" s="78">
        <f t="shared" si="2"/>
        <v>0.01</v>
      </c>
    </row>
    <row r="65" ht="25.5" spans="1:5">
      <c r="A65" s="76" t="s">
        <v>2572</v>
      </c>
      <c r="B65" s="77" t="s">
        <v>977</v>
      </c>
      <c r="C65" s="78">
        <v>0.00695652</v>
      </c>
      <c r="D65" s="78">
        <v>0.49</v>
      </c>
      <c r="E65" s="78">
        <f t="shared" si="2"/>
        <v>0</v>
      </c>
    </row>
    <row r="66" spans="1:5">
      <c r="A66" s="76" t="s">
        <v>2573</v>
      </c>
      <c r="B66" s="77" t="s">
        <v>977</v>
      </c>
      <c r="C66" s="78">
        <v>0.00695652</v>
      </c>
      <c r="D66" s="78">
        <v>26.88</v>
      </c>
      <c r="E66" s="78">
        <f t="shared" si="2"/>
        <v>0.18</v>
      </c>
    </row>
    <row r="67" spans="1:5">
      <c r="A67" s="76" t="s">
        <v>122</v>
      </c>
      <c r="B67" s="77"/>
      <c r="C67" s="78"/>
      <c r="D67" s="78"/>
      <c r="E67" s="78">
        <f>SUM(E57:E66)</f>
        <v>8.26</v>
      </c>
    </row>
    <row r="68" spans="1:5">
      <c r="A68" s="76"/>
      <c r="B68" s="77"/>
      <c r="C68" s="78"/>
      <c r="D68" s="78"/>
      <c r="E68" s="78"/>
    </row>
    <row r="69" spans="1:5">
      <c r="A69" s="76" t="s">
        <v>2538</v>
      </c>
      <c r="B69" s="77"/>
      <c r="C69" s="78"/>
      <c r="D69" s="78"/>
      <c r="E69" s="78">
        <f>E67</f>
        <v>8.26</v>
      </c>
    </row>
    <row r="70" spans="1:5">
      <c r="A70" s="76" t="s">
        <v>2539</v>
      </c>
      <c r="B70" s="77"/>
      <c r="C70" s="78"/>
      <c r="D70" s="78">
        <v>0</v>
      </c>
      <c r="E70" s="78">
        <f>TRUNC(D70*E69/100,2)</f>
        <v>0</v>
      </c>
    </row>
    <row r="71" spans="1:5">
      <c r="A71" s="76" t="s">
        <v>2540</v>
      </c>
      <c r="B71" s="77"/>
      <c r="C71" s="78"/>
      <c r="D71" s="78"/>
      <c r="E71" s="78">
        <f>E69+E70</f>
        <v>8.26</v>
      </c>
    </row>
    <row r="72" spans="1:5">
      <c r="A72" s="76"/>
      <c r="B72" s="77"/>
      <c r="C72" s="78"/>
      <c r="D72" s="78"/>
      <c r="E72" s="78"/>
    </row>
    <row r="73" spans="1:5">
      <c r="A73" s="76" t="s">
        <v>2574</v>
      </c>
      <c r="B73" s="77" t="s">
        <v>734</v>
      </c>
      <c r="C73" s="78"/>
      <c r="D73" s="78"/>
      <c r="E73" s="78"/>
    </row>
    <row r="74" ht="25.5" spans="1:5">
      <c r="A74" s="76" t="s">
        <v>2575</v>
      </c>
      <c r="B74" s="77"/>
      <c r="C74" s="78"/>
      <c r="D74" s="78"/>
      <c r="E74" s="78"/>
    </row>
    <row r="75" spans="1:5">
      <c r="A75" s="76" t="s">
        <v>2552</v>
      </c>
      <c r="B75" s="77"/>
      <c r="C75" s="78"/>
      <c r="D75" s="78"/>
      <c r="E75" s="78"/>
    </row>
    <row r="76" spans="1:5">
      <c r="A76" s="76"/>
      <c r="B76" s="77"/>
      <c r="C76" s="78"/>
      <c r="D76" s="78"/>
      <c r="E76" s="78"/>
    </row>
    <row r="77" spans="1:5">
      <c r="A77" s="76" t="s">
        <v>2543</v>
      </c>
      <c r="B77" s="77" t="s">
        <v>135</v>
      </c>
      <c r="C77" s="78" t="s">
        <v>136</v>
      </c>
      <c r="D77" s="78" t="s">
        <v>2534</v>
      </c>
      <c r="E77" s="78" t="s">
        <v>2535</v>
      </c>
    </row>
    <row r="78" spans="1:5">
      <c r="A78" s="76" t="s">
        <v>2576</v>
      </c>
      <c r="B78" s="77" t="s">
        <v>839</v>
      </c>
      <c r="C78" s="78">
        <v>0.742</v>
      </c>
      <c r="D78" s="78">
        <v>24.4</v>
      </c>
      <c r="E78" s="78">
        <f>TRUNC(C78*D78,2)</f>
        <v>18.1</v>
      </c>
    </row>
    <row r="79" spans="1:5">
      <c r="A79" s="76" t="s">
        <v>2577</v>
      </c>
      <c r="B79" s="77" t="s">
        <v>839</v>
      </c>
      <c r="C79" s="78">
        <v>1.114</v>
      </c>
      <c r="D79" s="78">
        <v>30.91</v>
      </c>
      <c r="E79" s="78">
        <f>TRUNC(C79*D79,2)</f>
        <v>34.43</v>
      </c>
    </row>
    <row r="80" ht="38.25" spans="1:5">
      <c r="A80" s="76" t="s">
        <v>2578</v>
      </c>
      <c r="B80" s="77" t="s">
        <v>977</v>
      </c>
      <c r="C80" s="78">
        <v>0.1708</v>
      </c>
      <c r="D80" s="78">
        <v>276.11</v>
      </c>
      <c r="E80" s="78">
        <f>TRUNC(C80*D80,2)</f>
        <v>47.15</v>
      </c>
    </row>
    <row r="81" ht="38.25" spans="1:5">
      <c r="A81" s="76" t="s">
        <v>2579</v>
      </c>
      <c r="B81" s="77" t="s">
        <v>979</v>
      </c>
      <c r="C81" s="78">
        <v>0.4286</v>
      </c>
      <c r="D81" s="78">
        <v>72.89</v>
      </c>
      <c r="E81" s="78">
        <f>TRUNC(C81*D81,2)</f>
        <v>31.24</v>
      </c>
    </row>
    <row r="82" spans="1:5">
      <c r="A82" s="76" t="s">
        <v>122</v>
      </c>
      <c r="B82" s="77"/>
      <c r="C82" s="78"/>
      <c r="D82" s="78"/>
      <c r="E82" s="78">
        <f>SUM(E78:E81)</f>
        <v>130.92</v>
      </c>
    </row>
    <row r="83" spans="1:5">
      <c r="A83" s="76"/>
      <c r="B83" s="77"/>
      <c r="C83" s="78"/>
      <c r="D83" s="78"/>
      <c r="E83" s="78"/>
    </row>
    <row r="84" spans="1:5">
      <c r="A84" s="76" t="s">
        <v>2538</v>
      </c>
      <c r="B84" s="77"/>
      <c r="C84" s="78"/>
      <c r="D84" s="78"/>
      <c r="E84" s="78">
        <f>E82</f>
        <v>130.92</v>
      </c>
    </row>
    <row r="85" spans="1:5">
      <c r="A85" s="76" t="s">
        <v>2539</v>
      </c>
      <c r="B85" s="77"/>
      <c r="C85" s="78"/>
      <c r="D85" s="78">
        <v>0</v>
      </c>
      <c r="E85" s="78">
        <f>TRUNC(D85*E84/100,2)</f>
        <v>0</v>
      </c>
    </row>
    <row r="86" spans="1:5">
      <c r="A86" s="76" t="s">
        <v>2540</v>
      </c>
      <c r="B86" s="77"/>
      <c r="C86" s="78"/>
      <c r="D86" s="78"/>
      <c r="E86" s="78">
        <f>E84+E85</f>
        <v>130.92</v>
      </c>
    </row>
    <row r="87" spans="1:5">
      <c r="A87" s="76"/>
      <c r="B87" s="77"/>
      <c r="C87" s="78"/>
      <c r="D87" s="78"/>
      <c r="E87" s="78"/>
    </row>
    <row r="88" spans="1:5">
      <c r="A88" s="76" t="s">
        <v>2580</v>
      </c>
      <c r="B88" s="77" t="s">
        <v>479</v>
      </c>
      <c r="C88" s="78"/>
      <c r="D88" s="78"/>
      <c r="E88" s="78"/>
    </row>
    <row r="89" spans="1:5">
      <c r="A89" s="76" t="s">
        <v>2581</v>
      </c>
      <c r="B89" s="77"/>
      <c r="C89" s="78"/>
      <c r="D89" s="78"/>
      <c r="E89" s="78"/>
    </row>
    <row r="90" spans="1:5">
      <c r="A90" s="76" t="s">
        <v>2563</v>
      </c>
      <c r="B90" s="77"/>
      <c r="C90" s="78"/>
      <c r="D90" s="78"/>
      <c r="E90" s="78"/>
    </row>
    <row r="91" spans="1:5">
      <c r="A91" s="76"/>
      <c r="B91" s="77"/>
      <c r="C91" s="78"/>
      <c r="D91" s="78"/>
      <c r="E91" s="78"/>
    </row>
    <row r="92" spans="1:5">
      <c r="A92" s="76" t="s">
        <v>2543</v>
      </c>
      <c r="B92" s="77" t="s">
        <v>135</v>
      </c>
      <c r="C92" s="78" t="s">
        <v>136</v>
      </c>
      <c r="D92" s="78" t="s">
        <v>2534</v>
      </c>
      <c r="E92" s="78" t="s">
        <v>2535</v>
      </c>
    </row>
    <row r="93" ht="25.5" spans="1:5">
      <c r="A93" s="76" t="s">
        <v>2582</v>
      </c>
      <c r="B93" s="77" t="s">
        <v>112</v>
      </c>
      <c r="C93" s="78">
        <v>1.2273</v>
      </c>
      <c r="D93" s="78">
        <v>7.78</v>
      </c>
      <c r="E93" s="78">
        <f t="shared" ref="E93:E101" si="3">TRUNC(C93*D93,2)</f>
        <v>9.54</v>
      </c>
    </row>
    <row r="94" spans="1:5">
      <c r="A94" s="76" t="s">
        <v>2583</v>
      </c>
      <c r="B94" s="77" t="s">
        <v>463</v>
      </c>
      <c r="C94" s="78">
        <v>0.068</v>
      </c>
      <c r="D94" s="78">
        <v>18.4</v>
      </c>
      <c r="E94" s="78">
        <f t="shared" si="3"/>
        <v>1.25</v>
      </c>
    </row>
    <row r="95" ht="25.5" spans="1:5">
      <c r="A95" s="76" t="s">
        <v>2584</v>
      </c>
      <c r="B95" s="77" t="s">
        <v>112</v>
      </c>
      <c r="C95" s="78">
        <v>2</v>
      </c>
      <c r="D95" s="78">
        <v>5.55</v>
      </c>
      <c r="E95" s="78">
        <f t="shared" si="3"/>
        <v>11.1</v>
      </c>
    </row>
    <row r="96" ht="25.5" spans="1:5">
      <c r="A96" s="76" t="s">
        <v>2585</v>
      </c>
      <c r="B96" s="77" t="s">
        <v>466</v>
      </c>
      <c r="C96" s="78">
        <v>0.5853</v>
      </c>
      <c r="D96" s="78">
        <v>50.19</v>
      </c>
      <c r="E96" s="78">
        <f t="shared" si="3"/>
        <v>29.37</v>
      </c>
    </row>
    <row r="97" spans="1:5">
      <c r="A97" s="76" t="s">
        <v>2576</v>
      </c>
      <c r="B97" s="77" t="s">
        <v>839</v>
      </c>
      <c r="C97" s="78">
        <v>0.492</v>
      </c>
      <c r="D97" s="78">
        <v>24.4</v>
      </c>
      <c r="E97" s="78">
        <f t="shared" si="3"/>
        <v>12</v>
      </c>
    </row>
    <row r="98" spans="1:5">
      <c r="A98" s="76" t="s">
        <v>2577</v>
      </c>
      <c r="B98" s="77" t="s">
        <v>839</v>
      </c>
      <c r="C98" s="78">
        <v>0.735</v>
      </c>
      <c r="D98" s="78">
        <v>30.91</v>
      </c>
      <c r="E98" s="78">
        <f t="shared" si="3"/>
        <v>22.71</v>
      </c>
    </row>
    <row r="99" ht="25.5" spans="1:5">
      <c r="A99" s="76" t="s">
        <v>2586</v>
      </c>
      <c r="B99" s="77" t="s">
        <v>977</v>
      </c>
      <c r="C99" s="78">
        <v>0.0066</v>
      </c>
      <c r="D99" s="78">
        <v>27.22</v>
      </c>
      <c r="E99" s="78">
        <f t="shared" si="3"/>
        <v>0.17</v>
      </c>
    </row>
    <row r="100" ht="25.5" spans="1:5">
      <c r="A100" s="76" t="s">
        <v>2587</v>
      </c>
      <c r="B100" s="77" t="s">
        <v>979</v>
      </c>
      <c r="C100" s="78">
        <v>0.0264</v>
      </c>
      <c r="D100" s="78">
        <v>26.18</v>
      </c>
      <c r="E100" s="78">
        <f t="shared" si="3"/>
        <v>0.69</v>
      </c>
    </row>
    <row r="101" ht="25.5" spans="1:5">
      <c r="A101" s="76" t="s">
        <v>2588</v>
      </c>
      <c r="B101" s="77" t="s">
        <v>476</v>
      </c>
      <c r="C101" s="78">
        <v>0.0061</v>
      </c>
      <c r="D101" s="78">
        <v>584.46</v>
      </c>
      <c r="E101" s="78">
        <f t="shared" si="3"/>
        <v>3.56</v>
      </c>
    </row>
    <row r="102" spans="1:5">
      <c r="A102" s="76" t="s">
        <v>122</v>
      </c>
      <c r="B102" s="77"/>
      <c r="C102" s="78"/>
      <c r="D102" s="78"/>
      <c r="E102" s="78">
        <f>SUM(E93:E101)</f>
        <v>90.39</v>
      </c>
    </row>
    <row r="103" spans="1:5">
      <c r="A103" s="76"/>
      <c r="B103" s="77"/>
      <c r="C103" s="78"/>
      <c r="D103" s="78"/>
      <c r="E103" s="78"/>
    </row>
    <row r="104" spans="1:5">
      <c r="A104" s="76" t="s">
        <v>2538</v>
      </c>
      <c r="B104" s="77"/>
      <c r="C104" s="78"/>
      <c r="D104" s="78"/>
      <c r="E104" s="78">
        <f>E102</f>
        <v>90.39</v>
      </c>
    </row>
    <row r="105" spans="1:5">
      <c r="A105" s="76" t="s">
        <v>2539</v>
      </c>
      <c r="B105" s="77"/>
      <c r="C105" s="78"/>
      <c r="D105" s="78">
        <v>0</v>
      </c>
      <c r="E105" s="78">
        <f>TRUNC(D105*E104/100,2)</f>
        <v>0</v>
      </c>
    </row>
    <row r="106" spans="1:5">
      <c r="A106" s="76" t="s">
        <v>2540</v>
      </c>
      <c r="B106" s="77"/>
      <c r="C106" s="78"/>
      <c r="D106" s="78"/>
      <c r="E106" s="78">
        <f>E104+E105</f>
        <v>90.39</v>
      </c>
    </row>
    <row r="107" spans="1:5">
      <c r="A107" s="76"/>
      <c r="B107" s="77"/>
      <c r="C107" s="78"/>
      <c r="D107" s="78"/>
      <c r="E107" s="78"/>
    </row>
    <row r="108" spans="1:5">
      <c r="A108" s="76" t="s">
        <v>2589</v>
      </c>
      <c r="B108" s="77">
        <v>8001008020005</v>
      </c>
      <c r="C108" s="78"/>
      <c r="D108" s="78"/>
      <c r="E108" s="78"/>
    </row>
    <row r="109" spans="1:5">
      <c r="A109" s="76" t="s">
        <v>2590</v>
      </c>
      <c r="B109" s="77"/>
      <c r="C109" s="78"/>
      <c r="D109" s="78"/>
      <c r="E109" s="78"/>
    </row>
    <row r="110" spans="1:5">
      <c r="A110" s="76" t="s">
        <v>2591</v>
      </c>
      <c r="B110" s="77"/>
      <c r="C110" s="78"/>
      <c r="D110" s="78"/>
      <c r="E110" s="78"/>
    </row>
    <row r="111" spans="1:5">
      <c r="A111" s="76"/>
      <c r="B111" s="77"/>
      <c r="C111" s="78"/>
      <c r="D111" s="78"/>
      <c r="E111" s="78"/>
    </row>
    <row r="112" spans="1:5">
      <c r="A112" s="76" t="s">
        <v>279</v>
      </c>
      <c r="B112" s="77" t="s">
        <v>135</v>
      </c>
      <c r="C112" s="78" t="s">
        <v>136</v>
      </c>
      <c r="D112" s="78" t="s">
        <v>2534</v>
      </c>
      <c r="E112" s="78" t="s">
        <v>2535</v>
      </c>
    </row>
    <row r="113" ht="25.5" spans="1:5">
      <c r="A113" s="76" t="s">
        <v>2592</v>
      </c>
      <c r="B113" s="77" t="s">
        <v>839</v>
      </c>
      <c r="C113" s="78">
        <v>0.01</v>
      </c>
      <c r="D113" s="78">
        <v>2.36</v>
      </c>
      <c r="E113" s="78">
        <f>TRUNC(C113*D113,2)</f>
        <v>0.02</v>
      </c>
    </row>
    <row r="114" ht="25.5" spans="1:5">
      <c r="A114" s="76" t="s">
        <v>2593</v>
      </c>
      <c r="B114" s="77" t="s">
        <v>839</v>
      </c>
      <c r="C114" s="78">
        <v>0.01</v>
      </c>
      <c r="D114" s="78">
        <v>2.36</v>
      </c>
      <c r="E114" s="78">
        <f>TRUNC(C114*D114,2)</f>
        <v>0.02</v>
      </c>
    </row>
    <row r="115" spans="1:5">
      <c r="A115" s="76" t="s">
        <v>122</v>
      </c>
      <c r="B115" s="77"/>
      <c r="C115" s="78"/>
      <c r="D115" s="78"/>
      <c r="E115" s="78">
        <f>SUM(E113:E114)</f>
        <v>0.04</v>
      </c>
    </row>
    <row r="116" spans="1:5">
      <c r="A116" s="76"/>
      <c r="B116" s="77"/>
      <c r="C116" s="78"/>
      <c r="D116" s="78"/>
      <c r="E116" s="78"/>
    </row>
    <row r="117" spans="1:5">
      <c r="A117" s="76" t="s">
        <v>2543</v>
      </c>
      <c r="B117" s="77" t="s">
        <v>135</v>
      </c>
      <c r="C117" s="78" t="s">
        <v>136</v>
      </c>
      <c r="D117" s="78" t="s">
        <v>2534</v>
      </c>
      <c r="E117" s="78" t="s">
        <v>2535</v>
      </c>
    </row>
    <row r="118" spans="1:5">
      <c r="A118" s="76" t="s">
        <v>2594</v>
      </c>
      <c r="B118" s="77" t="s">
        <v>494</v>
      </c>
      <c r="C118" s="78">
        <v>0.48099</v>
      </c>
      <c r="D118" s="78">
        <v>1.6</v>
      </c>
      <c r="E118" s="78">
        <f t="shared" ref="E118:E123" si="4">TRUNC(C118*D118,2)</f>
        <v>0.76</v>
      </c>
    </row>
    <row r="119" ht="25.5" spans="1:5">
      <c r="A119" s="76" t="s">
        <v>2595</v>
      </c>
      <c r="B119" s="77" t="s">
        <v>977</v>
      </c>
      <c r="C119" s="78">
        <v>0.01</v>
      </c>
      <c r="D119" s="78">
        <v>47.62</v>
      </c>
      <c r="E119" s="78">
        <f t="shared" si="4"/>
        <v>0.47</v>
      </c>
    </row>
    <row r="120" spans="1:5">
      <c r="A120" s="76" t="s">
        <v>2596</v>
      </c>
      <c r="B120" s="77" t="s">
        <v>839</v>
      </c>
      <c r="C120" s="78">
        <v>0.04</v>
      </c>
      <c r="D120" s="78">
        <v>12.19</v>
      </c>
      <c r="E120" s="78">
        <f t="shared" si="4"/>
        <v>0.48</v>
      </c>
    </row>
    <row r="121" spans="1:5">
      <c r="A121" s="76" t="s">
        <v>2597</v>
      </c>
      <c r="B121" s="77" t="s">
        <v>839</v>
      </c>
      <c r="C121" s="78">
        <v>0.01</v>
      </c>
      <c r="D121" s="78">
        <v>17.77</v>
      </c>
      <c r="E121" s="78">
        <f t="shared" si="4"/>
        <v>0.17</v>
      </c>
    </row>
    <row r="122" spans="1:5">
      <c r="A122" s="76" t="s">
        <v>2598</v>
      </c>
      <c r="B122" s="77" t="s">
        <v>839</v>
      </c>
      <c r="C122" s="78">
        <v>0.0225</v>
      </c>
      <c r="D122" s="78">
        <v>18.34</v>
      </c>
      <c r="E122" s="78">
        <f t="shared" si="4"/>
        <v>0.41</v>
      </c>
    </row>
    <row r="123" spans="1:5">
      <c r="A123" s="76" t="s">
        <v>2599</v>
      </c>
      <c r="B123" s="77" t="s">
        <v>839</v>
      </c>
      <c r="C123" s="78">
        <v>0.01</v>
      </c>
      <c r="D123" s="78">
        <v>24.31</v>
      </c>
      <c r="E123" s="78">
        <f t="shared" si="4"/>
        <v>0.24</v>
      </c>
    </row>
    <row r="124" spans="1:5">
      <c r="A124" s="76" t="s">
        <v>122</v>
      </c>
      <c r="B124" s="77"/>
      <c r="C124" s="78"/>
      <c r="D124" s="78"/>
      <c r="E124" s="78">
        <f>SUM(E118:E123)</f>
        <v>2.53</v>
      </c>
    </row>
    <row r="125" spans="1:5">
      <c r="A125" s="76"/>
      <c r="B125" s="77"/>
      <c r="C125" s="78"/>
      <c r="D125" s="78"/>
      <c r="E125" s="78"/>
    </row>
    <row r="126" spans="1:5">
      <c r="A126" s="76" t="s">
        <v>2538</v>
      </c>
      <c r="B126" s="77"/>
      <c r="C126" s="78"/>
      <c r="D126" s="78"/>
      <c r="E126" s="78">
        <f>E115+E124</f>
        <v>2.57</v>
      </c>
    </row>
    <row r="127" spans="1:5">
      <c r="A127" s="76" t="s">
        <v>2539</v>
      </c>
      <c r="B127" s="77"/>
      <c r="C127" s="78"/>
      <c r="D127" s="78">
        <v>0</v>
      </c>
      <c r="E127" s="78">
        <f>TRUNC(D127*E126/100,2)</f>
        <v>0</v>
      </c>
    </row>
    <row r="128" spans="1:5">
      <c r="A128" s="76" t="s">
        <v>2540</v>
      </c>
      <c r="B128" s="77"/>
      <c r="C128" s="78"/>
      <c r="D128" s="78"/>
      <c r="E128" s="78">
        <f>E126+E127</f>
        <v>2.57</v>
      </c>
    </row>
    <row r="129" spans="1:5">
      <c r="A129" s="76"/>
      <c r="B129" s="77"/>
      <c r="C129" s="78"/>
      <c r="D129" s="78"/>
      <c r="E129" s="78"/>
    </row>
    <row r="130" spans="1:5">
      <c r="A130" s="76" t="s">
        <v>2600</v>
      </c>
      <c r="B130" s="77">
        <v>8001008020020</v>
      </c>
      <c r="C130" s="78"/>
      <c r="D130" s="78"/>
      <c r="E130" s="78"/>
    </row>
    <row r="131" ht="38.25" spans="1:5">
      <c r="A131" s="76" t="s">
        <v>2601</v>
      </c>
      <c r="B131" s="77"/>
      <c r="C131" s="78"/>
      <c r="D131" s="78"/>
      <c r="E131" s="78"/>
    </row>
    <row r="132" spans="1:5">
      <c r="A132" s="76" t="s">
        <v>2552</v>
      </c>
      <c r="B132" s="77"/>
      <c r="C132" s="78"/>
      <c r="D132" s="78"/>
      <c r="E132" s="78"/>
    </row>
    <row r="133" spans="1:5">
      <c r="A133" s="76"/>
      <c r="B133" s="77"/>
      <c r="C133" s="78"/>
      <c r="D133" s="78"/>
      <c r="E133" s="78"/>
    </row>
    <row r="134" spans="1:5">
      <c r="A134" s="76" t="s">
        <v>2543</v>
      </c>
      <c r="B134" s="77" t="s">
        <v>135</v>
      </c>
      <c r="C134" s="78" t="s">
        <v>136</v>
      </c>
      <c r="D134" s="78" t="s">
        <v>2534</v>
      </c>
      <c r="E134" s="78" t="s">
        <v>2535</v>
      </c>
    </row>
    <row r="135" spans="1:5">
      <c r="A135" s="76" t="s">
        <v>2602</v>
      </c>
      <c r="B135" s="77" t="s">
        <v>215</v>
      </c>
      <c r="C135" s="78">
        <v>0.52</v>
      </c>
      <c r="D135" s="78">
        <v>13.1</v>
      </c>
      <c r="E135" s="78">
        <f t="shared" ref="E135:E141" si="5">TRUNC(C135*D135,2)</f>
        <v>6.81</v>
      </c>
    </row>
    <row r="136" ht="25.5" spans="1:5">
      <c r="A136" s="76" t="s">
        <v>2603</v>
      </c>
      <c r="B136" s="77" t="s">
        <v>494</v>
      </c>
      <c r="C136" s="78">
        <v>1</v>
      </c>
      <c r="D136" s="78">
        <v>137.83</v>
      </c>
      <c r="E136" s="78">
        <f t="shared" si="5"/>
        <v>137.83</v>
      </c>
    </row>
    <row r="137" spans="1:5">
      <c r="A137" s="76" t="s">
        <v>2599</v>
      </c>
      <c r="B137" s="77" t="s">
        <v>839</v>
      </c>
      <c r="C137" s="78">
        <v>1</v>
      </c>
      <c r="D137" s="78">
        <v>24.31</v>
      </c>
      <c r="E137" s="78">
        <f t="shared" si="5"/>
        <v>24.31</v>
      </c>
    </row>
    <row r="138" spans="1:5">
      <c r="A138" s="76" t="s">
        <v>2604</v>
      </c>
      <c r="B138" s="77" t="s">
        <v>977</v>
      </c>
      <c r="C138" s="78">
        <v>0.125</v>
      </c>
      <c r="D138" s="78">
        <v>37.74</v>
      </c>
      <c r="E138" s="78">
        <f t="shared" si="5"/>
        <v>4.71</v>
      </c>
    </row>
    <row r="139" ht="25.5" spans="1:5">
      <c r="A139" s="76" t="s">
        <v>2605</v>
      </c>
      <c r="B139" s="77" t="s">
        <v>814</v>
      </c>
      <c r="C139" s="78">
        <v>1.2</v>
      </c>
      <c r="D139" s="78">
        <v>0.9</v>
      </c>
      <c r="E139" s="78">
        <f t="shared" si="5"/>
        <v>1.08</v>
      </c>
    </row>
    <row r="140" ht="25.5" spans="1:5">
      <c r="A140" s="76" t="s">
        <v>2606</v>
      </c>
      <c r="B140" s="77" t="s">
        <v>601</v>
      </c>
      <c r="C140" s="78">
        <v>0.04</v>
      </c>
      <c r="D140" s="78">
        <v>28.21</v>
      </c>
      <c r="E140" s="78">
        <f t="shared" si="5"/>
        <v>1.12</v>
      </c>
    </row>
    <row r="141" ht="25.5" spans="1:5">
      <c r="A141" s="76" t="s">
        <v>2607</v>
      </c>
      <c r="B141" s="77" t="s">
        <v>839</v>
      </c>
      <c r="C141" s="78">
        <v>4</v>
      </c>
      <c r="D141" s="78">
        <v>16.91</v>
      </c>
      <c r="E141" s="78">
        <f t="shared" si="5"/>
        <v>67.64</v>
      </c>
    </row>
    <row r="142" spans="1:5">
      <c r="A142" s="76" t="s">
        <v>122</v>
      </c>
      <c r="B142" s="77"/>
      <c r="C142" s="78"/>
      <c r="D142" s="78"/>
      <c r="E142" s="78">
        <f>SUM(E135:E141)</f>
        <v>243.5</v>
      </c>
    </row>
    <row r="143" spans="1:5">
      <c r="A143" s="76"/>
      <c r="B143" s="77"/>
      <c r="C143" s="78"/>
      <c r="D143" s="78"/>
      <c r="E143" s="78"/>
    </row>
    <row r="144" spans="1:5">
      <c r="A144" s="76" t="s">
        <v>2538</v>
      </c>
      <c r="B144" s="77"/>
      <c r="C144" s="78"/>
      <c r="D144" s="78"/>
      <c r="E144" s="78">
        <f>E142</f>
        <v>243.5</v>
      </c>
    </row>
    <row r="145" spans="1:5">
      <c r="A145" s="76" t="s">
        <v>2539</v>
      </c>
      <c r="B145" s="77"/>
      <c r="C145" s="78"/>
      <c r="D145" s="78">
        <v>0</v>
      </c>
      <c r="E145" s="78">
        <f>TRUNC(D145*E144/100,2)</f>
        <v>0</v>
      </c>
    </row>
    <row r="146" spans="1:5">
      <c r="A146" s="76" t="s">
        <v>2540</v>
      </c>
      <c r="B146" s="77"/>
      <c r="C146" s="78"/>
      <c r="D146" s="78"/>
      <c r="E146" s="78">
        <f>E144+E145</f>
        <v>243.5</v>
      </c>
    </row>
    <row r="147" spans="1:5">
      <c r="A147" s="76"/>
      <c r="B147" s="77"/>
      <c r="C147" s="78"/>
      <c r="D147" s="78"/>
      <c r="E147" s="78"/>
    </row>
    <row r="148" spans="1:5">
      <c r="A148" s="76" t="s">
        <v>2608</v>
      </c>
      <c r="B148" s="77" t="s">
        <v>574</v>
      </c>
      <c r="C148" s="78"/>
      <c r="D148" s="78"/>
      <c r="E148" s="78"/>
    </row>
    <row r="149" ht="25.5" spans="1:5">
      <c r="A149" s="76" t="s">
        <v>2609</v>
      </c>
      <c r="B149" s="77"/>
      <c r="C149" s="78"/>
      <c r="D149" s="78"/>
      <c r="E149" s="78"/>
    </row>
    <row r="150" spans="1:5">
      <c r="A150" s="76" t="s">
        <v>2591</v>
      </c>
      <c r="B150" s="77"/>
      <c r="C150" s="78"/>
      <c r="D150" s="78"/>
      <c r="E150" s="78"/>
    </row>
    <row r="151" spans="1:5">
      <c r="A151" s="76"/>
      <c r="B151" s="77"/>
      <c r="C151" s="78"/>
      <c r="D151" s="78"/>
      <c r="E151" s="78"/>
    </row>
    <row r="152" spans="1:5">
      <c r="A152" s="76" t="s">
        <v>2543</v>
      </c>
      <c r="B152" s="77" t="s">
        <v>135</v>
      </c>
      <c r="C152" s="78" t="s">
        <v>136</v>
      </c>
      <c r="D152" s="78" t="s">
        <v>2534</v>
      </c>
      <c r="E152" s="78" t="s">
        <v>2535</v>
      </c>
    </row>
    <row r="153" ht="25.5" spans="1:5">
      <c r="A153" s="76" t="s">
        <v>2610</v>
      </c>
      <c r="B153" s="77" t="s">
        <v>112</v>
      </c>
      <c r="C153" s="78">
        <v>0.4125</v>
      </c>
      <c r="D153" s="78">
        <v>25.42</v>
      </c>
      <c r="E153" s="78">
        <f t="shared" ref="E153:E162" si="6">TRUNC(C153*D153,2)</f>
        <v>10.48</v>
      </c>
    </row>
    <row r="154" spans="1:5">
      <c r="A154" s="76" t="s">
        <v>2611</v>
      </c>
      <c r="B154" s="77" t="s">
        <v>463</v>
      </c>
      <c r="C154" s="78">
        <v>0.111</v>
      </c>
      <c r="D154" s="78">
        <v>18.72</v>
      </c>
      <c r="E154" s="78">
        <f t="shared" si="6"/>
        <v>2.07</v>
      </c>
    </row>
    <row r="155" ht="38.25" spans="1:5">
      <c r="A155" s="76" t="s">
        <v>2612</v>
      </c>
      <c r="B155" s="77" t="s">
        <v>112</v>
      </c>
      <c r="C155" s="78">
        <v>0.7445</v>
      </c>
      <c r="D155" s="78">
        <v>7.07</v>
      </c>
      <c r="E155" s="78">
        <f t="shared" si="6"/>
        <v>5.26</v>
      </c>
    </row>
    <row r="156" ht="25.5" spans="1:5">
      <c r="A156" s="76" t="s">
        <v>2613</v>
      </c>
      <c r="B156" s="77" t="s">
        <v>112</v>
      </c>
      <c r="C156" s="78">
        <v>0.55</v>
      </c>
      <c r="D156" s="78">
        <v>8.79</v>
      </c>
      <c r="E156" s="78">
        <f t="shared" si="6"/>
        <v>4.83</v>
      </c>
    </row>
    <row r="157" spans="1:5">
      <c r="A157" s="76" t="s">
        <v>2614</v>
      </c>
      <c r="B157" s="77" t="s">
        <v>215</v>
      </c>
      <c r="C157" s="78">
        <v>0.0256</v>
      </c>
      <c r="D157" s="78">
        <v>31.4</v>
      </c>
      <c r="E157" s="78">
        <f t="shared" si="6"/>
        <v>0.8</v>
      </c>
    </row>
    <row r="158" spans="1:5">
      <c r="A158" s="76" t="s">
        <v>2576</v>
      </c>
      <c r="B158" s="77" t="s">
        <v>839</v>
      </c>
      <c r="C158" s="78">
        <v>0.7247</v>
      </c>
      <c r="D158" s="78">
        <v>24.4</v>
      </c>
      <c r="E158" s="78">
        <f t="shared" si="6"/>
        <v>17.68</v>
      </c>
    </row>
    <row r="159" spans="1:5">
      <c r="A159" s="76" t="s">
        <v>2577</v>
      </c>
      <c r="B159" s="77" t="s">
        <v>839</v>
      </c>
      <c r="C159" s="78">
        <v>0.7247</v>
      </c>
      <c r="D159" s="78">
        <v>30.91</v>
      </c>
      <c r="E159" s="78">
        <f t="shared" si="6"/>
        <v>22.4</v>
      </c>
    </row>
    <row r="160" ht="25.5" spans="1:5">
      <c r="A160" s="76" t="s">
        <v>2586</v>
      </c>
      <c r="B160" s="77" t="s">
        <v>977</v>
      </c>
      <c r="C160" s="78">
        <v>0.007</v>
      </c>
      <c r="D160" s="78">
        <v>27.22</v>
      </c>
      <c r="E160" s="78">
        <f t="shared" si="6"/>
        <v>0.19</v>
      </c>
    </row>
    <row r="161" ht="25.5" spans="1:5">
      <c r="A161" s="76" t="s">
        <v>2587</v>
      </c>
      <c r="B161" s="77" t="s">
        <v>979</v>
      </c>
      <c r="C161" s="78">
        <v>0.028</v>
      </c>
      <c r="D161" s="78">
        <v>26.18</v>
      </c>
      <c r="E161" s="78">
        <f t="shared" si="6"/>
        <v>0.73</v>
      </c>
    </row>
    <row r="162" ht="25.5" spans="1:5">
      <c r="A162" s="76" t="s">
        <v>2588</v>
      </c>
      <c r="B162" s="77" t="s">
        <v>476</v>
      </c>
      <c r="C162" s="78">
        <v>0.004</v>
      </c>
      <c r="D162" s="78">
        <v>584.46</v>
      </c>
      <c r="E162" s="78">
        <f t="shared" si="6"/>
        <v>2.33</v>
      </c>
    </row>
    <row r="163" spans="1:5">
      <c r="A163" s="76" t="s">
        <v>122</v>
      </c>
      <c r="B163" s="77"/>
      <c r="C163" s="78"/>
      <c r="D163" s="78"/>
      <c r="E163" s="78">
        <f>SUM(E153:E162)</f>
        <v>66.77</v>
      </c>
    </row>
    <row r="164" spans="1:5">
      <c r="A164" s="76"/>
      <c r="B164" s="77"/>
      <c r="C164" s="78"/>
      <c r="D164" s="78"/>
      <c r="E164" s="78"/>
    </row>
    <row r="165" spans="1:5">
      <c r="A165" s="76" t="s">
        <v>2538</v>
      </c>
      <c r="B165" s="77"/>
      <c r="C165" s="78"/>
      <c r="D165" s="78"/>
      <c r="E165" s="78">
        <f>E163</f>
        <v>66.77</v>
      </c>
    </row>
    <row r="166" spans="1:5">
      <c r="A166" s="76" t="s">
        <v>2539</v>
      </c>
      <c r="B166" s="77"/>
      <c r="C166" s="78"/>
      <c r="D166" s="78">
        <v>0</v>
      </c>
      <c r="E166" s="78">
        <f>TRUNC(D166*E165/100,2)</f>
        <v>0</v>
      </c>
    </row>
    <row r="167" spans="1:5">
      <c r="A167" s="76" t="s">
        <v>2540</v>
      </c>
      <c r="B167" s="77"/>
      <c r="C167" s="78"/>
      <c r="D167" s="78"/>
      <c r="E167" s="78">
        <f>E165+E166</f>
        <v>66.77</v>
      </c>
    </row>
    <row r="168" spans="1:5">
      <c r="A168" s="76"/>
      <c r="B168" s="77"/>
      <c r="C168" s="78"/>
      <c r="D168" s="78"/>
      <c r="E168" s="78"/>
    </row>
    <row r="169" spans="1:5">
      <c r="A169" s="76" t="s">
        <v>2615</v>
      </c>
      <c r="B169" s="77">
        <v>8001008010002</v>
      </c>
      <c r="C169" s="78"/>
      <c r="D169" s="78"/>
      <c r="E169" s="78"/>
    </row>
    <row r="170" ht="25.5" spans="1:5">
      <c r="A170" s="76" t="s">
        <v>2616</v>
      </c>
      <c r="B170" s="77"/>
      <c r="C170" s="78"/>
      <c r="D170" s="78"/>
      <c r="E170" s="78"/>
    </row>
    <row r="171" spans="1:5">
      <c r="A171" s="76" t="s">
        <v>2591</v>
      </c>
      <c r="B171" s="77"/>
      <c r="C171" s="78"/>
      <c r="D171" s="78"/>
      <c r="E171" s="78"/>
    </row>
    <row r="172" spans="1:5">
      <c r="A172" s="76"/>
      <c r="B172" s="77"/>
      <c r="C172" s="78"/>
      <c r="D172" s="78"/>
      <c r="E172" s="78"/>
    </row>
    <row r="173" spans="1:5">
      <c r="A173" s="76" t="s">
        <v>279</v>
      </c>
      <c r="B173" s="77" t="s">
        <v>135</v>
      </c>
      <c r="C173" s="78" t="s">
        <v>136</v>
      </c>
      <c r="D173" s="78" t="s">
        <v>2534</v>
      </c>
      <c r="E173" s="78" t="s">
        <v>2535</v>
      </c>
    </row>
    <row r="174" ht="25.5" spans="1:5">
      <c r="A174" s="76" t="s">
        <v>2592</v>
      </c>
      <c r="B174" s="77" t="s">
        <v>839</v>
      </c>
      <c r="C174" s="78">
        <v>0.0105</v>
      </c>
      <c r="D174" s="78">
        <v>2.36</v>
      </c>
      <c r="E174" s="78">
        <f>TRUNC(C174*D174,2)</f>
        <v>0.02</v>
      </c>
    </row>
    <row r="175" ht="25.5" spans="1:5">
      <c r="A175" s="76" t="s">
        <v>2593</v>
      </c>
      <c r="B175" s="77" t="s">
        <v>839</v>
      </c>
      <c r="C175" s="78">
        <v>0.0105</v>
      </c>
      <c r="D175" s="78">
        <v>2.36</v>
      </c>
      <c r="E175" s="78">
        <f>TRUNC(C175*D175,2)</f>
        <v>0.02</v>
      </c>
    </row>
    <row r="176" spans="1:5">
      <c r="A176" s="76" t="s">
        <v>122</v>
      </c>
      <c r="B176" s="77"/>
      <c r="C176" s="78"/>
      <c r="D176" s="78"/>
      <c r="E176" s="78">
        <f>SUM(E174:E175)</f>
        <v>0.04</v>
      </c>
    </row>
    <row r="177" spans="1:5">
      <c r="A177" s="76"/>
      <c r="B177" s="77"/>
      <c r="C177" s="78"/>
      <c r="D177" s="78"/>
      <c r="E177" s="78"/>
    </row>
    <row r="178" spans="1:5">
      <c r="A178" s="76" t="s">
        <v>2543</v>
      </c>
      <c r="B178" s="77" t="s">
        <v>135</v>
      </c>
      <c r="C178" s="78" t="s">
        <v>136</v>
      </c>
      <c r="D178" s="78" t="s">
        <v>2534</v>
      </c>
      <c r="E178" s="78" t="s">
        <v>2535</v>
      </c>
    </row>
    <row r="179" ht="25.5" spans="1:5">
      <c r="A179" s="76" t="s">
        <v>2595</v>
      </c>
      <c r="B179" s="77" t="s">
        <v>977</v>
      </c>
      <c r="C179" s="78">
        <v>0.0105</v>
      </c>
      <c r="D179" s="78">
        <v>47.62</v>
      </c>
      <c r="E179" s="78">
        <f>TRUNC(C179*D179,2)</f>
        <v>0.5</v>
      </c>
    </row>
    <row r="180" spans="1:5">
      <c r="A180" s="76" t="s">
        <v>2596</v>
      </c>
      <c r="B180" s="77" t="s">
        <v>839</v>
      </c>
      <c r="C180" s="78">
        <v>0.042</v>
      </c>
      <c r="D180" s="78">
        <v>12.19</v>
      </c>
      <c r="E180" s="78">
        <f>TRUNC(C180*D180,2)</f>
        <v>0.51</v>
      </c>
    </row>
    <row r="181" spans="1:5">
      <c r="A181" s="76" t="s">
        <v>2597</v>
      </c>
      <c r="B181" s="77" t="s">
        <v>839</v>
      </c>
      <c r="C181" s="78">
        <v>0.0105</v>
      </c>
      <c r="D181" s="78">
        <v>17.77</v>
      </c>
      <c r="E181" s="78">
        <f>TRUNC(C181*D181,2)</f>
        <v>0.18</v>
      </c>
    </row>
    <row r="182" spans="1:5">
      <c r="A182" s="76" t="s">
        <v>2599</v>
      </c>
      <c r="B182" s="77" t="s">
        <v>839</v>
      </c>
      <c r="C182" s="78">
        <v>0.0105</v>
      </c>
      <c r="D182" s="78">
        <v>24.31</v>
      </c>
      <c r="E182" s="78">
        <f>TRUNC(C182*D182,2)</f>
        <v>0.25</v>
      </c>
    </row>
    <row r="183" spans="1:5">
      <c r="A183" s="76" t="s">
        <v>122</v>
      </c>
      <c r="B183" s="77"/>
      <c r="C183" s="78"/>
      <c r="D183" s="78"/>
      <c r="E183" s="78">
        <f>SUM(E179:E182)</f>
        <v>1.44</v>
      </c>
    </row>
    <row r="184" spans="1:5">
      <c r="A184" s="76"/>
      <c r="B184" s="77"/>
      <c r="C184" s="78"/>
      <c r="D184" s="78"/>
      <c r="E184" s="78"/>
    </row>
    <row r="185" spans="1:5">
      <c r="A185" s="76" t="s">
        <v>2538</v>
      </c>
      <c r="B185" s="77"/>
      <c r="C185" s="78"/>
      <c r="D185" s="78"/>
      <c r="E185" s="78">
        <f>E176+E183</f>
        <v>1.48</v>
      </c>
    </row>
    <row r="186" spans="1:5">
      <c r="A186" s="76" t="s">
        <v>2539</v>
      </c>
      <c r="B186" s="77"/>
      <c r="C186" s="78"/>
      <c r="D186" s="78">
        <v>0</v>
      </c>
      <c r="E186" s="78">
        <f>TRUNC(D186*E185/100,2)</f>
        <v>0</v>
      </c>
    </row>
    <row r="187" spans="1:5">
      <c r="A187" s="76" t="s">
        <v>2540</v>
      </c>
      <c r="B187" s="77"/>
      <c r="C187" s="78"/>
      <c r="D187" s="78"/>
      <c r="E187" s="78">
        <f>E185+E186</f>
        <v>1.48</v>
      </c>
    </row>
    <row r="188" spans="1:5">
      <c r="A188" s="76"/>
      <c r="B188" s="77"/>
      <c r="C188" s="78"/>
      <c r="D188" s="78"/>
      <c r="E188" s="78"/>
    </row>
    <row r="189" spans="1:5">
      <c r="A189" s="76" t="s">
        <v>2617</v>
      </c>
      <c r="B189" s="77" t="s">
        <v>740</v>
      </c>
      <c r="C189" s="78"/>
      <c r="D189" s="78"/>
      <c r="E189" s="78"/>
    </row>
    <row r="190" spans="1:5">
      <c r="A190" s="76" t="s">
        <v>2618</v>
      </c>
      <c r="B190" s="77"/>
      <c r="C190" s="78"/>
      <c r="D190" s="78"/>
      <c r="E190" s="78"/>
    </row>
    <row r="191" spans="1:5">
      <c r="A191" s="76" t="s">
        <v>2619</v>
      </c>
      <c r="B191" s="77"/>
      <c r="C191" s="78"/>
      <c r="D191" s="78"/>
      <c r="E191" s="78"/>
    </row>
    <row r="192" spans="1:5">
      <c r="A192" s="76"/>
      <c r="B192" s="77"/>
      <c r="C192" s="78"/>
      <c r="D192" s="78"/>
      <c r="E192" s="78"/>
    </row>
    <row r="193" spans="1:5">
      <c r="A193" s="76" t="s">
        <v>2543</v>
      </c>
      <c r="B193" s="77" t="s">
        <v>135</v>
      </c>
      <c r="C193" s="78" t="s">
        <v>136</v>
      </c>
      <c r="D193" s="78" t="s">
        <v>2534</v>
      </c>
      <c r="E193" s="78" t="s">
        <v>2535</v>
      </c>
    </row>
    <row r="194" spans="1:5">
      <c r="A194" s="76" t="s">
        <v>2620</v>
      </c>
      <c r="B194" s="77" t="s">
        <v>494</v>
      </c>
      <c r="C194" s="78">
        <v>0.66667</v>
      </c>
      <c r="D194" s="78">
        <v>421.37</v>
      </c>
      <c r="E194" s="78">
        <f t="shared" ref="E194:E200" si="7">TRUNC(C194*D194,2)</f>
        <v>280.91</v>
      </c>
    </row>
    <row r="195" spans="1:5">
      <c r="A195" s="76" t="s">
        <v>2621</v>
      </c>
      <c r="B195" s="77" t="s">
        <v>839</v>
      </c>
      <c r="C195" s="78">
        <v>1.32613247</v>
      </c>
      <c r="D195" s="78">
        <v>23.75</v>
      </c>
      <c r="E195" s="78">
        <f t="shared" si="7"/>
        <v>31.49</v>
      </c>
    </row>
    <row r="196" ht="25.5" spans="1:5">
      <c r="A196" s="76" t="s">
        <v>2622</v>
      </c>
      <c r="B196" s="77" t="s">
        <v>977</v>
      </c>
      <c r="C196" s="78">
        <v>1.32613247</v>
      </c>
      <c r="D196" s="78">
        <v>0.56</v>
      </c>
      <c r="E196" s="78">
        <f t="shared" si="7"/>
        <v>0.74</v>
      </c>
    </row>
    <row r="197" ht="25.5" spans="1:5">
      <c r="A197" s="76" t="s">
        <v>2623</v>
      </c>
      <c r="B197" s="77" t="s">
        <v>977</v>
      </c>
      <c r="C197" s="78">
        <v>4.7582794</v>
      </c>
      <c r="D197" s="78">
        <v>30.71</v>
      </c>
      <c r="E197" s="78">
        <f t="shared" si="7"/>
        <v>146.12</v>
      </c>
    </row>
    <row r="198" spans="1:5">
      <c r="A198" s="76" t="s">
        <v>2624</v>
      </c>
      <c r="B198" s="77" t="s">
        <v>977</v>
      </c>
      <c r="C198" s="78">
        <v>1.58609313</v>
      </c>
      <c r="D198" s="78">
        <v>127.21</v>
      </c>
      <c r="E198" s="78">
        <f t="shared" si="7"/>
        <v>201.76</v>
      </c>
    </row>
    <row r="199" spans="1:5">
      <c r="A199" s="76" t="s">
        <v>2625</v>
      </c>
      <c r="B199" s="77" t="s">
        <v>2626</v>
      </c>
      <c r="C199" s="78">
        <v>80</v>
      </c>
      <c r="D199" s="78">
        <v>0.19</v>
      </c>
      <c r="E199" s="78">
        <f t="shared" si="7"/>
        <v>15.2</v>
      </c>
    </row>
    <row r="200" ht="25.5" spans="1:5">
      <c r="A200" s="76" t="s">
        <v>2627</v>
      </c>
      <c r="B200" s="77" t="s">
        <v>601</v>
      </c>
      <c r="C200" s="78">
        <v>2.5</v>
      </c>
      <c r="D200" s="78">
        <v>35.27</v>
      </c>
      <c r="E200" s="78">
        <f t="shared" si="7"/>
        <v>88.17</v>
      </c>
    </row>
    <row r="201" spans="1:5">
      <c r="A201" s="76" t="s">
        <v>122</v>
      </c>
      <c r="B201" s="77"/>
      <c r="C201" s="78"/>
      <c r="D201" s="78"/>
      <c r="E201" s="78">
        <f>SUM(E194:E200)</f>
        <v>764.39</v>
      </c>
    </row>
    <row r="202" spans="1:5">
      <c r="A202" s="76"/>
      <c r="B202" s="77"/>
      <c r="C202" s="78"/>
      <c r="D202" s="78"/>
      <c r="E202" s="78"/>
    </row>
    <row r="203" spans="1:5">
      <c r="A203" s="76" t="s">
        <v>2538</v>
      </c>
      <c r="B203" s="77"/>
      <c r="C203" s="78"/>
      <c r="D203" s="78"/>
      <c r="E203" s="78">
        <f>E201</f>
        <v>764.39</v>
      </c>
    </row>
    <row r="204" spans="1:5">
      <c r="A204" s="76" t="s">
        <v>2539</v>
      </c>
      <c r="B204" s="77"/>
      <c r="C204" s="78"/>
      <c r="D204" s="78">
        <v>0</v>
      </c>
      <c r="E204" s="78">
        <f>TRUNC(D204*E203/100,2)</f>
        <v>0</v>
      </c>
    </row>
    <row r="205" spans="1:5">
      <c r="A205" s="76" t="s">
        <v>2540</v>
      </c>
      <c r="B205" s="77"/>
      <c r="C205" s="78"/>
      <c r="D205" s="78"/>
      <c r="E205" s="78">
        <f>E203+E204</f>
        <v>764.39</v>
      </c>
    </row>
    <row r="206" spans="1:5">
      <c r="A206" s="76"/>
      <c r="B206" s="77"/>
      <c r="C206" s="78"/>
      <c r="D206" s="78"/>
      <c r="E206" s="78"/>
    </row>
    <row r="207" spans="1:5">
      <c r="A207" s="76" t="s">
        <v>2628</v>
      </c>
      <c r="B207" s="77" t="s">
        <v>742</v>
      </c>
      <c r="C207" s="78"/>
      <c r="D207" s="78"/>
      <c r="E207" s="78"/>
    </row>
    <row r="208" ht="25.5" spans="1:5">
      <c r="A208" s="76" t="s">
        <v>2629</v>
      </c>
      <c r="B208" s="77"/>
      <c r="C208" s="78"/>
      <c r="D208" s="78"/>
      <c r="E208" s="78"/>
    </row>
    <row r="209" spans="1:5">
      <c r="A209" s="76" t="s">
        <v>2619</v>
      </c>
      <c r="B209" s="77"/>
      <c r="C209" s="78"/>
      <c r="D209" s="78"/>
      <c r="E209" s="78"/>
    </row>
    <row r="210" spans="1:5">
      <c r="A210" s="76"/>
      <c r="B210" s="77"/>
      <c r="C210" s="78"/>
      <c r="D210" s="78"/>
      <c r="E210" s="78"/>
    </row>
    <row r="211" spans="1:5">
      <c r="A211" s="76" t="s">
        <v>2543</v>
      </c>
      <c r="B211" s="77" t="s">
        <v>135</v>
      </c>
      <c r="C211" s="78" t="s">
        <v>136</v>
      </c>
      <c r="D211" s="78" t="s">
        <v>2534</v>
      </c>
      <c r="E211" s="78" t="s">
        <v>2535</v>
      </c>
    </row>
    <row r="212" spans="1:5">
      <c r="A212" s="76" t="s">
        <v>2621</v>
      </c>
      <c r="B212" s="77" t="s">
        <v>839</v>
      </c>
      <c r="C212" s="78">
        <v>7.7265</v>
      </c>
      <c r="D212" s="78">
        <v>23.75</v>
      </c>
      <c r="E212" s="78">
        <f>TRUNC(C212*D212,2)</f>
        <v>183.5</v>
      </c>
    </row>
    <row r="213" spans="1:5">
      <c r="A213" s="76" t="s">
        <v>2630</v>
      </c>
      <c r="B213" s="77" t="s">
        <v>839</v>
      </c>
      <c r="C213" s="78">
        <v>1.2462</v>
      </c>
      <c r="D213" s="78">
        <v>31.34</v>
      </c>
      <c r="E213" s="78">
        <f>TRUNC(C213*D213,2)</f>
        <v>39.05</v>
      </c>
    </row>
    <row r="214" spans="1:5">
      <c r="A214" s="76" t="s">
        <v>122</v>
      </c>
      <c r="B214" s="77"/>
      <c r="C214" s="78"/>
      <c r="D214" s="78"/>
      <c r="E214" s="78">
        <f>SUM(E212:E213)</f>
        <v>222.55</v>
      </c>
    </row>
    <row r="215" spans="1:5">
      <c r="A215" s="76"/>
      <c r="B215" s="77"/>
      <c r="C215" s="78"/>
      <c r="D215" s="78"/>
      <c r="E215" s="78"/>
    </row>
    <row r="216" spans="1:5">
      <c r="A216" s="76" t="s">
        <v>2538</v>
      </c>
      <c r="B216" s="77"/>
      <c r="C216" s="78"/>
      <c r="D216" s="78"/>
      <c r="E216" s="78">
        <f>E214</f>
        <v>222.55</v>
      </c>
    </row>
    <row r="217" spans="1:5">
      <c r="A217" s="76" t="s">
        <v>2539</v>
      </c>
      <c r="B217" s="77"/>
      <c r="C217" s="78"/>
      <c r="D217" s="78">
        <v>0</v>
      </c>
      <c r="E217" s="78">
        <f>TRUNC(D217*E216/100,2)</f>
        <v>0</v>
      </c>
    </row>
    <row r="218" spans="1:5">
      <c r="A218" s="76" t="s">
        <v>2540</v>
      </c>
      <c r="B218" s="77"/>
      <c r="C218" s="78"/>
      <c r="D218" s="78"/>
      <c r="E218" s="78">
        <f>E216+E217</f>
        <v>222.55</v>
      </c>
    </row>
    <row r="219" spans="1:5">
      <c r="A219" s="76"/>
      <c r="B219" s="77"/>
      <c r="C219" s="78"/>
      <c r="D219" s="78"/>
      <c r="E219" s="78"/>
    </row>
    <row r="220" spans="1:5">
      <c r="A220" s="76" t="s">
        <v>2631</v>
      </c>
      <c r="B220" s="77" t="s">
        <v>744</v>
      </c>
      <c r="C220" s="78"/>
      <c r="D220" s="78"/>
      <c r="E220" s="78"/>
    </row>
    <row r="221" ht="38.25" spans="1:5">
      <c r="A221" s="76" t="s">
        <v>2632</v>
      </c>
      <c r="B221" s="77"/>
      <c r="C221" s="78"/>
      <c r="D221" s="78"/>
      <c r="E221" s="78"/>
    </row>
    <row r="222" spans="1:5">
      <c r="A222" s="76" t="s">
        <v>2563</v>
      </c>
      <c r="B222" s="77"/>
      <c r="C222" s="78"/>
      <c r="D222" s="78"/>
      <c r="E222" s="78"/>
    </row>
    <row r="223" spans="1:5">
      <c r="A223" s="76"/>
      <c r="B223" s="77"/>
      <c r="C223" s="78"/>
      <c r="D223" s="78"/>
      <c r="E223" s="78"/>
    </row>
    <row r="224" spans="1:5">
      <c r="A224" s="76" t="s">
        <v>2543</v>
      </c>
      <c r="B224" s="77" t="s">
        <v>135</v>
      </c>
      <c r="C224" s="78" t="s">
        <v>136</v>
      </c>
      <c r="D224" s="78" t="s">
        <v>2534</v>
      </c>
      <c r="E224" s="78" t="s">
        <v>2535</v>
      </c>
    </row>
    <row r="225" ht="25.5" spans="1:5">
      <c r="A225" s="76" t="s">
        <v>2582</v>
      </c>
      <c r="B225" s="77" t="s">
        <v>112</v>
      </c>
      <c r="C225" s="78">
        <v>0.06</v>
      </c>
      <c r="D225" s="78">
        <v>7.78</v>
      </c>
      <c r="E225" s="78">
        <f t="shared" ref="E225:E230" si="8">TRUNC(C225*D225,2)</f>
        <v>0.46</v>
      </c>
    </row>
    <row r="226" spans="1:5">
      <c r="A226" s="76" t="s">
        <v>2583</v>
      </c>
      <c r="B226" s="77" t="s">
        <v>463</v>
      </c>
      <c r="C226" s="78">
        <v>0.01</v>
      </c>
      <c r="D226" s="78">
        <v>18.4</v>
      </c>
      <c r="E226" s="78">
        <f t="shared" si="8"/>
        <v>0.18</v>
      </c>
    </row>
    <row r="227" ht="25.5" spans="1:5">
      <c r="A227" s="76" t="s">
        <v>2633</v>
      </c>
      <c r="B227" s="77" t="s">
        <v>112</v>
      </c>
      <c r="C227" s="78">
        <v>0.2</v>
      </c>
      <c r="D227" s="78">
        <v>3.94</v>
      </c>
      <c r="E227" s="78">
        <f t="shared" si="8"/>
        <v>0.78</v>
      </c>
    </row>
    <row r="228" ht="25.5" spans="1:5">
      <c r="A228" s="76" t="s">
        <v>2634</v>
      </c>
      <c r="B228" s="77" t="s">
        <v>112</v>
      </c>
      <c r="C228" s="78">
        <v>1.1</v>
      </c>
      <c r="D228" s="78">
        <v>2.67</v>
      </c>
      <c r="E228" s="78">
        <f t="shared" si="8"/>
        <v>2.93</v>
      </c>
    </row>
    <row r="229" spans="1:5">
      <c r="A229" s="76" t="s">
        <v>2576</v>
      </c>
      <c r="B229" s="77" t="s">
        <v>839</v>
      </c>
      <c r="C229" s="78">
        <v>0.53</v>
      </c>
      <c r="D229" s="78">
        <v>24.4</v>
      </c>
      <c r="E229" s="78">
        <f t="shared" si="8"/>
        <v>12.93</v>
      </c>
    </row>
    <row r="230" spans="1:5">
      <c r="A230" s="76" t="s">
        <v>2577</v>
      </c>
      <c r="B230" s="77" t="s">
        <v>839</v>
      </c>
      <c r="C230" s="78">
        <v>0.44</v>
      </c>
      <c r="D230" s="78">
        <v>30.91</v>
      </c>
      <c r="E230" s="78">
        <f t="shared" si="8"/>
        <v>13.6</v>
      </c>
    </row>
    <row r="231" spans="1:5">
      <c r="A231" s="76" t="s">
        <v>122</v>
      </c>
      <c r="B231" s="77"/>
      <c r="C231" s="78"/>
      <c r="D231" s="78"/>
      <c r="E231" s="78">
        <f>SUM(E225:E230)</f>
        <v>30.88</v>
      </c>
    </row>
    <row r="232" spans="1:5">
      <c r="A232" s="76"/>
      <c r="B232" s="77"/>
      <c r="C232" s="78"/>
      <c r="D232" s="78"/>
      <c r="E232" s="78"/>
    </row>
    <row r="233" spans="1:5">
      <c r="A233" s="76" t="s">
        <v>2538</v>
      </c>
      <c r="B233" s="77"/>
      <c r="C233" s="78"/>
      <c r="D233" s="78"/>
      <c r="E233" s="78">
        <f>E231</f>
        <v>30.88</v>
      </c>
    </row>
    <row r="234" spans="1:5">
      <c r="A234" s="76" t="s">
        <v>2539</v>
      </c>
      <c r="B234" s="77"/>
      <c r="C234" s="78"/>
      <c r="D234" s="78">
        <v>0</v>
      </c>
      <c r="E234" s="78">
        <f>TRUNC(D234*E233/100,2)</f>
        <v>0</v>
      </c>
    </row>
    <row r="235" spans="1:5">
      <c r="A235" s="76" t="s">
        <v>2540</v>
      </c>
      <c r="B235" s="77"/>
      <c r="C235" s="78"/>
      <c r="D235" s="78"/>
      <c r="E235" s="78">
        <f>E233+E234</f>
        <v>30.88</v>
      </c>
    </row>
    <row r="236" spans="1:5">
      <c r="A236" s="76"/>
      <c r="B236" s="77"/>
      <c r="C236" s="78"/>
      <c r="D236" s="78"/>
      <c r="E236" s="78"/>
    </row>
    <row r="237" spans="1:5">
      <c r="A237" s="76" t="s">
        <v>2635</v>
      </c>
      <c r="B237" s="77">
        <v>8001508020021</v>
      </c>
      <c r="C237" s="78"/>
      <c r="D237" s="78"/>
      <c r="E237" s="78"/>
    </row>
    <row r="238" spans="1:5">
      <c r="A238" s="76" t="s">
        <v>2636</v>
      </c>
      <c r="B238" s="77"/>
      <c r="C238" s="78"/>
      <c r="D238" s="78"/>
      <c r="E238" s="78"/>
    </row>
    <row r="239" spans="1:5">
      <c r="A239" s="76" t="s">
        <v>2563</v>
      </c>
      <c r="B239" s="77"/>
      <c r="C239" s="78"/>
      <c r="D239" s="78"/>
      <c r="E239" s="78"/>
    </row>
    <row r="240" spans="1:5">
      <c r="A240" s="76"/>
      <c r="B240" s="77"/>
      <c r="C240" s="78"/>
      <c r="D240" s="78"/>
      <c r="E240" s="78"/>
    </row>
    <row r="241" spans="1:5">
      <c r="A241" s="76" t="s">
        <v>2543</v>
      </c>
      <c r="B241" s="77" t="s">
        <v>135</v>
      </c>
      <c r="C241" s="78" t="s">
        <v>136</v>
      </c>
      <c r="D241" s="78" t="s">
        <v>2534</v>
      </c>
      <c r="E241" s="78" t="s">
        <v>2535</v>
      </c>
    </row>
    <row r="242" ht="25.5" spans="1:5">
      <c r="A242" s="76" t="s">
        <v>2582</v>
      </c>
      <c r="B242" s="77" t="s">
        <v>112</v>
      </c>
      <c r="C242" s="78">
        <v>0.9333</v>
      </c>
      <c r="D242" s="78">
        <v>7.78</v>
      </c>
      <c r="E242" s="78">
        <f>TRUNC(C242*D242,2)</f>
        <v>7.26</v>
      </c>
    </row>
    <row r="243" spans="1:5">
      <c r="A243" s="76" t="s">
        <v>2583</v>
      </c>
      <c r="B243" s="77" t="s">
        <v>463</v>
      </c>
      <c r="C243" s="78">
        <v>0.5</v>
      </c>
      <c r="D243" s="78">
        <v>18.4</v>
      </c>
      <c r="E243" s="78">
        <f>TRUNC(C243*D243,2)</f>
        <v>9.2</v>
      </c>
    </row>
    <row r="244" ht="25.5" spans="1:5">
      <c r="A244" s="76" t="s">
        <v>2637</v>
      </c>
      <c r="B244" s="77" t="s">
        <v>112</v>
      </c>
      <c r="C244" s="78">
        <v>1.5</v>
      </c>
      <c r="D244" s="78">
        <v>26.81</v>
      </c>
      <c r="E244" s="78">
        <f>TRUNC(C244*D244,2)</f>
        <v>40.21</v>
      </c>
    </row>
    <row r="245" spans="1:5">
      <c r="A245" s="76" t="s">
        <v>2621</v>
      </c>
      <c r="B245" s="77" t="s">
        <v>839</v>
      </c>
      <c r="C245" s="78">
        <v>0.2</v>
      </c>
      <c r="D245" s="78">
        <v>23.75</v>
      </c>
      <c r="E245" s="78">
        <f>TRUNC(C245*D245,2)</f>
        <v>4.75</v>
      </c>
    </row>
    <row r="246" spans="1:5">
      <c r="A246" s="76" t="s">
        <v>2577</v>
      </c>
      <c r="B246" s="77" t="s">
        <v>839</v>
      </c>
      <c r="C246" s="78">
        <v>0.8</v>
      </c>
      <c r="D246" s="78">
        <v>30.91</v>
      </c>
      <c r="E246" s="78">
        <f>TRUNC(C246*D246,2)</f>
        <v>24.72</v>
      </c>
    </row>
    <row r="247" spans="1:5">
      <c r="A247" s="76" t="s">
        <v>122</v>
      </c>
      <c r="B247" s="77"/>
      <c r="C247" s="78"/>
      <c r="D247" s="78"/>
      <c r="E247" s="78">
        <f>SUM(E242:E246)</f>
        <v>86.14</v>
      </c>
    </row>
    <row r="248" spans="1:5">
      <c r="A248" s="76"/>
      <c r="B248" s="77"/>
      <c r="C248" s="78"/>
      <c r="D248" s="78"/>
      <c r="E248" s="78"/>
    </row>
    <row r="249" spans="1:5">
      <c r="A249" s="76" t="s">
        <v>2538</v>
      </c>
      <c r="B249" s="77"/>
      <c r="C249" s="78"/>
      <c r="D249" s="78"/>
      <c r="E249" s="78">
        <f>E247</f>
        <v>86.14</v>
      </c>
    </row>
    <row r="250" spans="1:5">
      <c r="A250" s="76" t="s">
        <v>2539</v>
      </c>
      <c r="B250" s="77"/>
      <c r="C250" s="78"/>
      <c r="D250" s="78">
        <v>0</v>
      </c>
      <c r="E250" s="78">
        <f>TRUNC(D250*E249/100,2)</f>
        <v>0</v>
      </c>
    </row>
    <row r="251" spans="1:5">
      <c r="A251" s="76" t="s">
        <v>2540</v>
      </c>
      <c r="B251" s="77"/>
      <c r="C251" s="78"/>
      <c r="D251" s="78"/>
      <c r="E251" s="78">
        <f>E249+E250</f>
        <v>86.14</v>
      </c>
    </row>
    <row r="252" spans="1:5">
      <c r="A252" s="76"/>
      <c r="B252" s="77"/>
      <c r="C252" s="78"/>
      <c r="D252" s="78"/>
      <c r="E252" s="78"/>
    </row>
    <row r="253" spans="1:5">
      <c r="A253" s="76" t="s">
        <v>2638</v>
      </c>
      <c r="B253" s="77">
        <v>8001508040044</v>
      </c>
      <c r="C253" s="78"/>
      <c r="D253" s="78"/>
      <c r="E253" s="78"/>
    </row>
    <row r="254" spans="1:5">
      <c r="A254" s="76" t="s">
        <v>2639</v>
      </c>
      <c r="B254" s="77"/>
      <c r="C254" s="78"/>
      <c r="D254" s="78"/>
      <c r="E254" s="78"/>
    </row>
    <row r="255" spans="1:5">
      <c r="A255" s="76" t="s">
        <v>2591</v>
      </c>
      <c r="B255" s="77"/>
      <c r="C255" s="78"/>
      <c r="D255" s="78"/>
      <c r="E255" s="78"/>
    </row>
    <row r="256" spans="1:5">
      <c r="A256" s="76"/>
      <c r="B256" s="77"/>
      <c r="C256" s="78"/>
      <c r="D256" s="78"/>
      <c r="E256" s="78"/>
    </row>
    <row r="257" spans="1:5">
      <c r="A257" s="76" t="s">
        <v>2543</v>
      </c>
      <c r="B257" s="77" t="s">
        <v>135</v>
      </c>
      <c r="C257" s="78" t="s">
        <v>136</v>
      </c>
      <c r="D257" s="78" t="s">
        <v>2534</v>
      </c>
      <c r="E257" s="78" t="s">
        <v>2535</v>
      </c>
    </row>
    <row r="258" spans="1:5">
      <c r="A258" s="76" t="s">
        <v>2621</v>
      </c>
      <c r="B258" s="77" t="s">
        <v>839</v>
      </c>
      <c r="C258" s="78">
        <v>0.5</v>
      </c>
      <c r="D258" s="78">
        <v>23.75</v>
      </c>
      <c r="E258" s="78">
        <f>TRUNC(C258*D258,2)</f>
        <v>11.87</v>
      </c>
    </row>
    <row r="259" spans="1:5">
      <c r="A259" s="76" t="s">
        <v>122</v>
      </c>
      <c r="B259" s="77"/>
      <c r="C259" s="78"/>
      <c r="D259" s="78"/>
      <c r="E259" s="78">
        <f>SUM(E258:E258)</f>
        <v>11.87</v>
      </c>
    </row>
    <row r="260" spans="1:5">
      <c r="A260" s="76"/>
      <c r="B260" s="77"/>
      <c r="C260" s="78"/>
      <c r="D260" s="78"/>
      <c r="E260" s="78"/>
    </row>
    <row r="261" spans="1:5">
      <c r="A261" s="76" t="s">
        <v>2538</v>
      </c>
      <c r="B261" s="77"/>
      <c r="C261" s="78"/>
      <c r="D261" s="78"/>
      <c r="E261" s="78">
        <f>E259</f>
        <v>11.87</v>
      </c>
    </row>
    <row r="262" spans="1:5">
      <c r="A262" s="76" t="s">
        <v>2539</v>
      </c>
      <c r="B262" s="77"/>
      <c r="C262" s="78"/>
      <c r="D262" s="78">
        <v>0</v>
      </c>
      <c r="E262" s="78">
        <f>TRUNC(D262*E261/100,2)</f>
        <v>0</v>
      </c>
    </row>
    <row r="263" spans="1:5">
      <c r="A263" s="76" t="s">
        <v>2540</v>
      </c>
      <c r="B263" s="77"/>
      <c r="C263" s="78"/>
      <c r="D263" s="78"/>
      <c r="E263" s="78">
        <f>E261+E262</f>
        <v>11.87</v>
      </c>
    </row>
    <row r="264" spans="1:5">
      <c r="A264" s="76"/>
      <c r="B264" s="77"/>
      <c r="C264" s="78"/>
      <c r="D264" s="78"/>
      <c r="E264" s="78"/>
    </row>
    <row r="265" spans="1:5">
      <c r="A265" s="76" t="s">
        <v>2640</v>
      </c>
      <c r="B265" s="77" t="s">
        <v>749</v>
      </c>
      <c r="C265" s="78"/>
      <c r="D265" s="78"/>
      <c r="E265" s="78"/>
    </row>
    <row r="266" ht="38.25" spans="1:5">
      <c r="A266" s="76" t="s">
        <v>2641</v>
      </c>
      <c r="B266" s="77"/>
      <c r="C266" s="78"/>
      <c r="D266" s="78"/>
      <c r="E266" s="78"/>
    </row>
    <row r="267" spans="1:5">
      <c r="A267" s="76" t="s">
        <v>2619</v>
      </c>
      <c r="B267" s="77"/>
      <c r="C267" s="78"/>
      <c r="D267" s="78"/>
      <c r="E267" s="78"/>
    </row>
    <row r="268" spans="1:5">
      <c r="A268" s="76"/>
      <c r="B268" s="77"/>
      <c r="C268" s="78"/>
      <c r="D268" s="78"/>
      <c r="E268" s="78"/>
    </row>
    <row r="269" spans="1:5">
      <c r="A269" s="76" t="s">
        <v>2543</v>
      </c>
      <c r="B269" s="77" t="s">
        <v>135</v>
      </c>
      <c r="C269" s="78" t="s">
        <v>136</v>
      </c>
      <c r="D269" s="78" t="s">
        <v>2534</v>
      </c>
      <c r="E269" s="78" t="s">
        <v>2535</v>
      </c>
    </row>
    <row r="270" ht="25.5" spans="1:5">
      <c r="A270" s="76" t="s">
        <v>2642</v>
      </c>
      <c r="B270" s="77" t="s">
        <v>476</v>
      </c>
      <c r="C270" s="78">
        <v>1.3889</v>
      </c>
      <c r="D270" s="78">
        <v>102.5</v>
      </c>
      <c r="E270" s="78">
        <f t="shared" ref="E270:E276" si="9">TRUNC(C270*D270,2)</f>
        <v>142.36</v>
      </c>
    </row>
    <row r="271" spans="1:5">
      <c r="A271" s="76" t="s">
        <v>2621</v>
      </c>
      <c r="B271" s="77" t="s">
        <v>839</v>
      </c>
      <c r="C271" s="78">
        <v>0.0379</v>
      </c>
      <c r="D271" s="78">
        <v>23.75</v>
      </c>
      <c r="E271" s="78">
        <f t="shared" si="9"/>
        <v>0.9</v>
      </c>
    </row>
    <row r="272" ht="25.5" spans="1:5">
      <c r="A272" s="76" t="s">
        <v>2643</v>
      </c>
      <c r="B272" s="77" t="s">
        <v>977</v>
      </c>
      <c r="C272" s="78">
        <v>0.0278</v>
      </c>
      <c r="D272" s="78">
        <v>213.48</v>
      </c>
      <c r="E272" s="78">
        <f t="shared" si="9"/>
        <v>5.93</v>
      </c>
    </row>
    <row r="273" ht="38.25" spans="1:5">
      <c r="A273" s="76" t="s">
        <v>2644</v>
      </c>
      <c r="B273" s="77" t="s">
        <v>977</v>
      </c>
      <c r="C273" s="78">
        <v>0.0054</v>
      </c>
      <c r="D273" s="78">
        <v>317.85</v>
      </c>
      <c r="E273" s="78">
        <f t="shared" si="9"/>
        <v>1.71</v>
      </c>
    </row>
    <row r="274" ht="25.5" spans="1:5">
      <c r="A274" s="76" t="s">
        <v>2645</v>
      </c>
      <c r="B274" s="77" t="s">
        <v>977</v>
      </c>
      <c r="C274" s="78">
        <v>0.1252</v>
      </c>
      <c r="D274" s="78">
        <v>34.3</v>
      </c>
      <c r="E274" s="78">
        <f t="shared" si="9"/>
        <v>4.29</v>
      </c>
    </row>
    <row r="275" ht="25.5" spans="1:5">
      <c r="A275" s="76" t="s">
        <v>2646</v>
      </c>
      <c r="B275" s="77" t="s">
        <v>979</v>
      </c>
      <c r="C275" s="78">
        <v>0.0402</v>
      </c>
      <c r="D275" s="78">
        <v>90.12</v>
      </c>
      <c r="E275" s="78">
        <f t="shared" si="9"/>
        <v>3.62</v>
      </c>
    </row>
    <row r="276" ht="38.25" spans="1:5">
      <c r="A276" s="76" t="s">
        <v>2647</v>
      </c>
      <c r="B276" s="77" t="s">
        <v>979</v>
      </c>
      <c r="C276" s="78">
        <v>0.0006</v>
      </c>
      <c r="D276" s="78">
        <v>75.08</v>
      </c>
      <c r="E276" s="78">
        <f t="shared" si="9"/>
        <v>0.04</v>
      </c>
    </row>
    <row r="277" spans="1:5">
      <c r="A277" s="76" t="s">
        <v>122</v>
      </c>
      <c r="B277" s="77"/>
      <c r="C277" s="78"/>
      <c r="D277" s="78"/>
      <c r="E277" s="78">
        <f>SUM(E270:E276)</f>
        <v>158.85</v>
      </c>
    </row>
    <row r="278" spans="1:5">
      <c r="A278" s="76"/>
      <c r="B278" s="77"/>
      <c r="C278" s="78"/>
      <c r="D278" s="78"/>
      <c r="E278" s="78"/>
    </row>
    <row r="279" spans="1:5">
      <c r="A279" s="76" t="s">
        <v>2538</v>
      </c>
      <c r="B279" s="77"/>
      <c r="C279" s="78"/>
      <c r="D279" s="78"/>
      <c r="E279" s="78">
        <f>E277</f>
        <v>158.85</v>
      </c>
    </row>
    <row r="280" spans="1:5">
      <c r="A280" s="76" t="s">
        <v>2539</v>
      </c>
      <c r="B280" s="77"/>
      <c r="C280" s="78"/>
      <c r="D280" s="78">
        <v>0</v>
      </c>
      <c r="E280" s="78">
        <f>TRUNC(D280*E279/100,2)</f>
        <v>0</v>
      </c>
    </row>
    <row r="281" spans="1:5">
      <c r="A281" s="76" t="s">
        <v>2540</v>
      </c>
      <c r="B281" s="77"/>
      <c r="C281" s="78"/>
      <c r="D281" s="78"/>
      <c r="E281" s="78">
        <f>E279+E280</f>
        <v>158.85</v>
      </c>
    </row>
    <row r="282" spans="1:5">
      <c r="A282" s="76"/>
      <c r="B282" s="77"/>
      <c r="C282" s="78"/>
      <c r="D282" s="78"/>
      <c r="E282" s="78"/>
    </row>
    <row r="283" spans="1:5">
      <c r="A283" s="76" t="s">
        <v>2648</v>
      </c>
      <c r="B283" s="77" t="s">
        <v>751</v>
      </c>
      <c r="C283" s="78"/>
      <c r="D283" s="78"/>
      <c r="E283" s="78"/>
    </row>
    <row r="284" ht="38.25" spans="1:5">
      <c r="A284" s="76" t="s">
        <v>2649</v>
      </c>
      <c r="B284" s="77"/>
      <c r="C284" s="78"/>
      <c r="D284" s="78"/>
      <c r="E284" s="78"/>
    </row>
    <row r="285" spans="1:5">
      <c r="A285" s="76" t="s">
        <v>2619</v>
      </c>
      <c r="B285" s="77"/>
      <c r="C285" s="78"/>
      <c r="D285" s="78"/>
      <c r="E285" s="78"/>
    </row>
    <row r="286" spans="1:5">
      <c r="A286" s="76"/>
      <c r="B286" s="77"/>
      <c r="C286" s="78"/>
      <c r="D286" s="78"/>
      <c r="E286" s="78"/>
    </row>
    <row r="287" spans="1:5">
      <c r="A287" s="76" t="s">
        <v>2543</v>
      </c>
      <c r="B287" s="77" t="s">
        <v>135</v>
      </c>
      <c r="C287" s="78" t="s">
        <v>136</v>
      </c>
      <c r="D287" s="78" t="s">
        <v>2534</v>
      </c>
      <c r="E287" s="78" t="s">
        <v>2535</v>
      </c>
    </row>
    <row r="288" ht="25.5" spans="1:5">
      <c r="A288" s="76" t="s">
        <v>2642</v>
      </c>
      <c r="B288" s="77" t="s">
        <v>476</v>
      </c>
      <c r="C288" s="78">
        <v>1.3889</v>
      </c>
      <c r="D288" s="78">
        <v>102.5</v>
      </c>
      <c r="E288" s="78">
        <f t="shared" ref="E288:E294" si="10">TRUNC(C288*D288,2)</f>
        <v>142.36</v>
      </c>
    </row>
    <row r="289" spans="1:5">
      <c r="A289" s="76" t="s">
        <v>2621</v>
      </c>
      <c r="B289" s="77" t="s">
        <v>839</v>
      </c>
      <c r="C289" s="78">
        <v>0.0273</v>
      </c>
      <c r="D289" s="78">
        <v>23.75</v>
      </c>
      <c r="E289" s="78">
        <f t="shared" si="10"/>
        <v>0.64</v>
      </c>
    </row>
    <row r="290" ht="25.5" spans="1:5">
      <c r="A290" s="76" t="s">
        <v>2643</v>
      </c>
      <c r="B290" s="77" t="s">
        <v>977</v>
      </c>
      <c r="C290" s="78">
        <v>0.02</v>
      </c>
      <c r="D290" s="78">
        <v>213.48</v>
      </c>
      <c r="E290" s="78">
        <f t="shared" si="10"/>
        <v>4.26</v>
      </c>
    </row>
    <row r="291" ht="38.25" spans="1:5">
      <c r="A291" s="76" t="s">
        <v>2644</v>
      </c>
      <c r="B291" s="77" t="s">
        <v>977</v>
      </c>
      <c r="C291" s="78">
        <v>0.0054</v>
      </c>
      <c r="D291" s="78">
        <v>317.85</v>
      </c>
      <c r="E291" s="78">
        <f t="shared" si="10"/>
        <v>1.71</v>
      </c>
    </row>
    <row r="292" ht="25.5" spans="1:5">
      <c r="A292" s="76" t="s">
        <v>2645</v>
      </c>
      <c r="B292" s="77" t="s">
        <v>977</v>
      </c>
      <c r="C292" s="78">
        <v>0.1243</v>
      </c>
      <c r="D292" s="78">
        <v>34.3</v>
      </c>
      <c r="E292" s="78">
        <f t="shared" si="10"/>
        <v>4.26</v>
      </c>
    </row>
    <row r="293" ht="25.5" spans="1:5">
      <c r="A293" s="76" t="s">
        <v>2646</v>
      </c>
      <c r="B293" s="77" t="s">
        <v>979</v>
      </c>
      <c r="C293" s="78">
        <v>0.0289</v>
      </c>
      <c r="D293" s="78">
        <v>90.12</v>
      </c>
      <c r="E293" s="78">
        <f t="shared" si="10"/>
        <v>2.6</v>
      </c>
    </row>
    <row r="294" ht="38.25" spans="1:5">
      <c r="A294" s="76" t="s">
        <v>2647</v>
      </c>
      <c r="B294" s="77" t="s">
        <v>979</v>
      </c>
      <c r="C294" s="78">
        <v>0.0006</v>
      </c>
      <c r="D294" s="78">
        <v>75.08</v>
      </c>
      <c r="E294" s="78">
        <f t="shared" si="10"/>
        <v>0.04</v>
      </c>
    </row>
    <row r="295" spans="1:5">
      <c r="A295" s="76" t="s">
        <v>122</v>
      </c>
      <c r="B295" s="77"/>
      <c r="C295" s="78"/>
      <c r="D295" s="78"/>
      <c r="E295" s="78">
        <f>SUM(E288:E294)</f>
        <v>155.87</v>
      </c>
    </row>
    <row r="296" spans="1:5">
      <c r="A296" s="76"/>
      <c r="B296" s="77"/>
      <c r="C296" s="78"/>
      <c r="D296" s="78"/>
      <c r="E296" s="78"/>
    </row>
    <row r="297" spans="1:5">
      <c r="A297" s="76" t="s">
        <v>2538</v>
      </c>
      <c r="B297" s="77"/>
      <c r="C297" s="78"/>
      <c r="D297" s="78"/>
      <c r="E297" s="78">
        <f>E295</f>
        <v>155.87</v>
      </c>
    </row>
    <row r="298" spans="1:5">
      <c r="A298" s="76" t="s">
        <v>2539</v>
      </c>
      <c r="B298" s="77"/>
      <c r="C298" s="78"/>
      <c r="D298" s="78">
        <v>0</v>
      </c>
      <c r="E298" s="78">
        <f>TRUNC(D298*E297/100,2)</f>
        <v>0</v>
      </c>
    </row>
    <row r="299" spans="1:5">
      <c r="A299" s="76" t="s">
        <v>2540</v>
      </c>
      <c r="B299" s="77"/>
      <c r="C299" s="78"/>
      <c r="D299" s="78"/>
      <c r="E299" s="78">
        <f>E297+E298</f>
        <v>155.87</v>
      </c>
    </row>
    <row r="300" spans="1:5">
      <c r="A300" s="76"/>
      <c r="B300" s="77"/>
      <c r="C300" s="78"/>
      <c r="D300" s="78"/>
      <c r="E300" s="78"/>
    </row>
    <row r="301" spans="1:5">
      <c r="A301" s="76" t="s">
        <v>2650</v>
      </c>
      <c r="B301" s="77" t="s">
        <v>753</v>
      </c>
      <c r="C301" s="78"/>
      <c r="D301" s="78"/>
      <c r="E301" s="78"/>
    </row>
    <row r="302" ht="38.25" spans="1:5">
      <c r="A302" s="76" t="s">
        <v>2651</v>
      </c>
      <c r="B302" s="77"/>
      <c r="C302" s="78"/>
      <c r="D302" s="78"/>
      <c r="E302" s="78"/>
    </row>
    <row r="303" spans="1:5">
      <c r="A303" s="76" t="s">
        <v>2619</v>
      </c>
      <c r="B303" s="77"/>
      <c r="C303" s="78"/>
      <c r="D303" s="78"/>
      <c r="E303" s="78"/>
    </row>
    <row r="304" spans="1:5">
      <c r="A304" s="76"/>
      <c r="B304" s="77"/>
      <c r="C304" s="78"/>
      <c r="D304" s="78"/>
      <c r="E304" s="78"/>
    </row>
    <row r="305" spans="1:5">
      <c r="A305" s="76" t="s">
        <v>2543</v>
      </c>
      <c r="B305" s="77" t="s">
        <v>135</v>
      </c>
      <c r="C305" s="78" t="s">
        <v>136</v>
      </c>
      <c r="D305" s="78" t="s">
        <v>2534</v>
      </c>
      <c r="E305" s="78" t="s">
        <v>2535</v>
      </c>
    </row>
    <row r="306" ht="25.5" spans="1:5">
      <c r="A306" s="76" t="s">
        <v>2652</v>
      </c>
      <c r="B306" s="77" t="s">
        <v>476</v>
      </c>
      <c r="C306" s="78">
        <v>1.3889</v>
      </c>
      <c r="D306" s="78">
        <v>37.35</v>
      </c>
      <c r="E306" s="78">
        <f t="shared" ref="E306:E312" si="11">TRUNC(C306*D306,2)</f>
        <v>51.87</v>
      </c>
    </row>
    <row r="307" spans="1:5">
      <c r="A307" s="76" t="s">
        <v>2621</v>
      </c>
      <c r="B307" s="77" t="s">
        <v>839</v>
      </c>
      <c r="C307" s="78">
        <v>0.0273</v>
      </c>
      <c r="D307" s="78">
        <v>23.75</v>
      </c>
      <c r="E307" s="78">
        <f t="shared" si="11"/>
        <v>0.64</v>
      </c>
    </row>
    <row r="308" ht="25.5" spans="1:5">
      <c r="A308" s="76" t="s">
        <v>2643</v>
      </c>
      <c r="B308" s="77" t="s">
        <v>977</v>
      </c>
      <c r="C308" s="78">
        <v>0.02</v>
      </c>
      <c r="D308" s="78">
        <v>213.48</v>
      </c>
      <c r="E308" s="78">
        <f t="shared" si="11"/>
        <v>4.26</v>
      </c>
    </row>
    <row r="309" ht="38.25" spans="1:5">
      <c r="A309" s="76" t="s">
        <v>2644</v>
      </c>
      <c r="B309" s="77" t="s">
        <v>977</v>
      </c>
      <c r="C309" s="78">
        <v>0.0054</v>
      </c>
      <c r="D309" s="78">
        <v>317.85</v>
      </c>
      <c r="E309" s="78">
        <f t="shared" si="11"/>
        <v>1.71</v>
      </c>
    </row>
    <row r="310" ht="25.5" spans="1:5">
      <c r="A310" s="76" t="s">
        <v>2645</v>
      </c>
      <c r="B310" s="77" t="s">
        <v>977</v>
      </c>
      <c r="C310" s="78">
        <v>0.1243</v>
      </c>
      <c r="D310" s="78">
        <v>34.3</v>
      </c>
      <c r="E310" s="78">
        <f t="shared" si="11"/>
        <v>4.26</v>
      </c>
    </row>
    <row r="311" ht="25.5" spans="1:5">
      <c r="A311" s="76" t="s">
        <v>2646</v>
      </c>
      <c r="B311" s="77" t="s">
        <v>979</v>
      </c>
      <c r="C311" s="78">
        <v>0.0289</v>
      </c>
      <c r="D311" s="78">
        <v>90.12</v>
      </c>
      <c r="E311" s="78">
        <f t="shared" si="11"/>
        <v>2.6</v>
      </c>
    </row>
    <row r="312" ht="38.25" spans="1:5">
      <c r="A312" s="76" t="s">
        <v>2647</v>
      </c>
      <c r="B312" s="77" t="s">
        <v>979</v>
      </c>
      <c r="C312" s="78">
        <v>0.0006</v>
      </c>
      <c r="D312" s="78">
        <v>75.08</v>
      </c>
      <c r="E312" s="78">
        <f t="shared" si="11"/>
        <v>0.04</v>
      </c>
    </row>
    <row r="313" spans="1:5">
      <c r="A313" s="76" t="s">
        <v>122</v>
      </c>
      <c r="B313" s="77"/>
      <c r="C313" s="78"/>
      <c r="D313" s="78"/>
      <c r="E313" s="78">
        <f>SUM(E306:E312)</f>
        <v>65.38</v>
      </c>
    </row>
    <row r="314" spans="1:5">
      <c r="A314" s="76"/>
      <c r="B314" s="77"/>
      <c r="C314" s="78"/>
      <c r="D314" s="78"/>
      <c r="E314" s="78"/>
    </row>
    <row r="315" spans="1:5">
      <c r="A315" s="76" t="s">
        <v>2538</v>
      </c>
      <c r="B315" s="77"/>
      <c r="C315" s="78"/>
      <c r="D315" s="78"/>
      <c r="E315" s="78">
        <f>E313</f>
        <v>65.38</v>
      </c>
    </row>
    <row r="316" spans="1:5">
      <c r="A316" s="76" t="s">
        <v>2539</v>
      </c>
      <c r="B316" s="77"/>
      <c r="C316" s="78"/>
      <c r="D316" s="78">
        <v>0</v>
      </c>
      <c r="E316" s="78">
        <f>TRUNC(D316*E315/100,2)</f>
        <v>0</v>
      </c>
    </row>
    <row r="317" spans="1:5">
      <c r="A317" s="76" t="s">
        <v>2540</v>
      </c>
      <c r="B317" s="77"/>
      <c r="C317" s="78"/>
      <c r="D317" s="78"/>
      <c r="E317" s="78">
        <f>E315+E316</f>
        <v>65.38</v>
      </c>
    </row>
    <row r="318" spans="1:5">
      <c r="A318" s="76"/>
      <c r="B318" s="77"/>
      <c r="C318" s="78"/>
      <c r="D318" s="78"/>
      <c r="E318" s="78"/>
    </row>
    <row r="319" spans="1:5">
      <c r="A319" s="76" t="s">
        <v>2653</v>
      </c>
      <c r="B319" s="77" t="s">
        <v>755</v>
      </c>
      <c r="C319" s="78"/>
      <c r="D319" s="78"/>
      <c r="E319" s="78"/>
    </row>
    <row r="320" ht="25.5" spans="1:5">
      <c r="A320" s="76" t="s">
        <v>2654</v>
      </c>
      <c r="B320" s="77"/>
      <c r="C320" s="78"/>
      <c r="D320" s="78"/>
      <c r="E320" s="78"/>
    </row>
    <row r="321" spans="1:5">
      <c r="A321" s="76" t="s">
        <v>2655</v>
      </c>
      <c r="B321" s="77"/>
      <c r="C321" s="78"/>
      <c r="D321" s="78"/>
      <c r="E321" s="78"/>
    </row>
    <row r="322" spans="1:5">
      <c r="A322" s="76"/>
      <c r="B322" s="77"/>
      <c r="C322" s="78"/>
      <c r="D322" s="78"/>
      <c r="E322" s="78"/>
    </row>
    <row r="323" spans="1:5">
      <c r="A323" s="76" t="s">
        <v>2543</v>
      </c>
      <c r="B323" s="77" t="s">
        <v>135</v>
      </c>
      <c r="C323" s="78" t="s">
        <v>136</v>
      </c>
      <c r="D323" s="78" t="s">
        <v>2534</v>
      </c>
      <c r="E323" s="78" t="s">
        <v>2535</v>
      </c>
    </row>
    <row r="324" ht="38.25" spans="1:5">
      <c r="A324" s="76" t="s">
        <v>2656</v>
      </c>
      <c r="B324" s="77" t="s">
        <v>977</v>
      </c>
      <c r="C324" s="78">
        <v>0.0178</v>
      </c>
      <c r="D324" s="78">
        <v>369</v>
      </c>
      <c r="E324" s="78">
        <f>TRUNC(C324*D324,2)</f>
        <v>6.56</v>
      </c>
    </row>
    <row r="325" ht="38.25" spans="1:5">
      <c r="A325" s="76" t="s">
        <v>2657</v>
      </c>
      <c r="B325" s="77" t="s">
        <v>979</v>
      </c>
      <c r="C325" s="78">
        <v>0.0096</v>
      </c>
      <c r="D325" s="78">
        <v>94.52</v>
      </c>
      <c r="E325" s="78">
        <f>TRUNC(C325*D325,2)</f>
        <v>0.9</v>
      </c>
    </row>
    <row r="326" spans="1:5">
      <c r="A326" s="76" t="s">
        <v>122</v>
      </c>
      <c r="B326" s="77"/>
      <c r="C326" s="78"/>
      <c r="D326" s="78"/>
      <c r="E326" s="78">
        <f>SUM(E324:E325)</f>
        <v>7.46</v>
      </c>
    </row>
    <row r="327" spans="1:5">
      <c r="A327" s="76"/>
      <c r="B327" s="77"/>
      <c r="C327" s="78"/>
      <c r="D327" s="78"/>
      <c r="E327" s="78"/>
    </row>
    <row r="328" spans="1:5">
      <c r="A328" s="76" t="s">
        <v>2538</v>
      </c>
      <c r="B328" s="77"/>
      <c r="C328" s="78"/>
      <c r="D328" s="78"/>
      <c r="E328" s="78">
        <f>E326</f>
        <v>7.46</v>
      </c>
    </row>
    <row r="329" spans="1:5">
      <c r="A329" s="76" t="s">
        <v>2539</v>
      </c>
      <c r="B329" s="77"/>
      <c r="C329" s="78"/>
      <c r="D329" s="78">
        <v>0</v>
      </c>
      <c r="E329" s="78">
        <f>TRUNC(D329*E328/100,2)</f>
        <v>0</v>
      </c>
    </row>
    <row r="330" spans="1:5">
      <c r="A330" s="76" t="s">
        <v>2540</v>
      </c>
      <c r="B330" s="77"/>
      <c r="C330" s="78"/>
      <c r="D330" s="78"/>
      <c r="E330" s="78">
        <f>E328+E329</f>
        <v>7.46</v>
      </c>
    </row>
    <row r="331" spans="1:5">
      <c r="A331" s="76"/>
      <c r="B331" s="77"/>
      <c r="C331" s="78"/>
      <c r="D331" s="78"/>
      <c r="E331" s="78"/>
    </row>
    <row r="332" spans="1:5">
      <c r="A332" s="76" t="s">
        <v>2658</v>
      </c>
      <c r="B332" s="77" t="s">
        <v>757</v>
      </c>
      <c r="C332" s="78"/>
      <c r="D332" s="78"/>
      <c r="E332" s="78"/>
    </row>
    <row r="333" ht="38.25" spans="1:5">
      <c r="A333" s="76" t="s">
        <v>2659</v>
      </c>
      <c r="B333" s="77"/>
      <c r="C333" s="78"/>
      <c r="D333" s="78"/>
      <c r="E333" s="78"/>
    </row>
    <row r="334" spans="1:5">
      <c r="A334" s="76" t="s">
        <v>2619</v>
      </c>
      <c r="B334" s="77"/>
      <c r="C334" s="78"/>
      <c r="D334" s="78"/>
      <c r="E334" s="78"/>
    </row>
    <row r="335" spans="1:5">
      <c r="A335" s="76"/>
      <c r="B335" s="77"/>
      <c r="C335" s="78"/>
      <c r="D335" s="78"/>
      <c r="E335" s="78"/>
    </row>
    <row r="336" spans="1:5">
      <c r="A336" s="76" t="s">
        <v>2543</v>
      </c>
      <c r="B336" s="77" t="s">
        <v>135</v>
      </c>
      <c r="C336" s="78" t="s">
        <v>136</v>
      </c>
      <c r="D336" s="78" t="s">
        <v>2534</v>
      </c>
      <c r="E336" s="78" t="s">
        <v>2535</v>
      </c>
    </row>
    <row r="337" ht="25.5" spans="1:5">
      <c r="A337" s="76" t="s">
        <v>2643</v>
      </c>
      <c r="B337" s="77" t="s">
        <v>977</v>
      </c>
      <c r="C337" s="78">
        <v>0.0083</v>
      </c>
      <c r="D337" s="78">
        <v>213.48</v>
      </c>
      <c r="E337" s="78">
        <f>TRUNC(C337*D337,2)</f>
        <v>1.77</v>
      </c>
    </row>
    <row r="338" ht="38.25" spans="1:5">
      <c r="A338" s="76" t="s">
        <v>2660</v>
      </c>
      <c r="B338" s="77" t="s">
        <v>977</v>
      </c>
      <c r="C338" s="78">
        <v>0.0169</v>
      </c>
      <c r="D338" s="78">
        <v>334.12</v>
      </c>
      <c r="E338" s="78">
        <f>TRUNC(C338*D338,2)</f>
        <v>5.64</v>
      </c>
    </row>
    <row r="339" ht="25.5" spans="1:5">
      <c r="A339" s="76" t="s">
        <v>2646</v>
      </c>
      <c r="B339" s="77" t="s">
        <v>979</v>
      </c>
      <c r="C339" s="78">
        <v>0.0085</v>
      </c>
      <c r="D339" s="78">
        <v>90.12</v>
      </c>
      <c r="E339" s="78">
        <f>TRUNC(C339*D339,2)</f>
        <v>0.76</v>
      </c>
    </row>
    <row r="340" ht="38.25" spans="1:5">
      <c r="A340" s="76" t="s">
        <v>2661</v>
      </c>
      <c r="B340" s="77" t="s">
        <v>979</v>
      </c>
      <c r="C340" s="78">
        <v>0.011</v>
      </c>
      <c r="D340" s="78">
        <v>90.65</v>
      </c>
      <c r="E340" s="78">
        <f>TRUNC(C340*D340,2)</f>
        <v>0.99</v>
      </c>
    </row>
    <row r="341" spans="1:5">
      <c r="A341" s="76" t="s">
        <v>122</v>
      </c>
      <c r="B341" s="77"/>
      <c r="C341" s="78"/>
      <c r="D341" s="78"/>
      <c r="E341" s="78">
        <f>SUM(E337:E340)</f>
        <v>9.16</v>
      </c>
    </row>
    <row r="342" spans="1:5">
      <c r="A342" s="76"/>
      <c r="B342" s="77"/>
      <c r="C342" s="78"/>
      <c r="D342" s="78"/>
      <c r="E342" s="78"/>
    </row>
    <row r="343" spans="1:5">
      <c r="A343" s="76" t="s">
        <v>2538</v>
      </c>
      <c r="B343" s="77"/>
      <c r="C343" s="78"/>
      <c r="D343" s="78"/>
      <c r="E343" s="78">
        <f>E341</f>
        <v>9.16</v>
      </c>
    </row>
    <row r="344" spans="1:5">
      <c r="A344" s="76" t="s">
        <v>2539</v>
      </c>
      <c r="B344" s="77"/>
      <c r="C344" s="78"/>
      <c r="D344" s="78">
        <v>0</v>
      </c>
      <c r="E344" s="78">
        <f>TRUNC(D344*E343/100,2)</f>
        <v>0</v>
      </c>
    </row>
    <row r="345" spans="1:5">
      <c r="A345" s="76" t="s">
        <v>2540</v>
      </c>
      <c r="B345" s="77"/>
      <c r="C345" s="78"/>
      <c r="D345" s="78"/>
      <c r="E345" s="78">
        <f>E343+E344</f>
        <v>9.16</v>
      </c>
    </row>
    <row r="346" spans="1:5">
      <c r="A346" s="76"/>
      <c r="B346" s="77"/>
      <c r="C346" s="78"/>
      <c r="D346" s="78"/>
      <c r="E346" s="78"/>
    </row>
    <row r="347" spans="1:5">
      <c r="A347" s="76" t="s">
        <v>2662</v>
      </c>
      <c r="B347" s="77" t="s">
        <v>759</v>
      </c>
      <c r="C347" s="78"/>
      <c r="D347" s="78"/>
      <c r="E347" s="78"/>
    </row>
    <row r="348" ht="38.25" spans="1:5">
      <c r="A348" s="76" t="s">
        <v>2663</v>
      </c>
      <c r="B348" s="77"/>
      <c r="C348" s="78"/>
      <c r="D348" s="78"/>
      <c r="E348" s="78"/>
    </row>
    <row r="349" spans="1:5">
      <c r="A349" s="76" t="s">
        <v>2619</v>
      </c>
      <c r="B349" s="77"/>
      <c r="C349" s="78"/>
      <c r="D349" s="78"/>
      <c r="E349" s="78"/>
    </row>
    <row r="350" spans="1:5">
      <c r="A350" s="76"/>
      <c r="B350" s="77"/>
      <c r="C350" s="78"/>
      <c r="D350" s="78"/>
      <c r="E350" s="78"/>
    </row>
    <row r="351" spans="1:5">
      <c r="A351" s="76" t="s">
        <v>2543</v>
      </c>
      <c r="B351" s="77" t="s">
        <v>135</v>
      </c>
      <c r="C351" s="78" t="s">
        <v>136</v>
      </c>
      <c r="D351" s="78" t="s">
        <v>2534</v>
      </c>
      <c r="E351" s="78" t="s">
        <v>2535</v>
      </c>
    </row>
    <row r="352" ht="25.5" spans="1:5">
      <c r="A352" s="76" t="s">
        <v>2643</v>
      </c>
      <c r="B352" s="77" t="s">
        <v>977</v>
      </c>
      <c r="C352" s="78">
        <v>0.0083</v>
      </c>
      <c r="D352" s="78">
        <v>213.48</v>
      </c>
      <c r="E352" s="78">
        <f>TRUNC(C352*D352,2)</f>
        <v>1.77</v>
      </c>
    </row>
    <row r="353" ht="38.25" spans="1:5">
      <c r="A353" s="76" t="s">
        <v>2664</v>
      </c>
      <c r="B353" s="77" t="s">
        <v>977</v>
      </c>
      <c r="C353" s="78">
        <v>0.0267</v>
      </c>
      <c r="D353" s="78">
        <v>188.84</v>
      </c>
      <c r="E353" s="78">
        <f>TRUNC(C353*D353,2)</f>
        <v>5.04</v>
      </c>
    </row>
    <row r="354" ht="25.5" spans="1:5">
      <c r="A354" s="76" t="s">
        <v>2646</v>
      </c>
      <c r="B354" s="77" t="s">
        <v>979</v>
      </c>
      <c r="C354" s="78">
        <v>0.0151</v>
      </c>
      <c r="D354" s="78">
        <v>90.12</v>
      </c>
      <c r="E354" s="78">
        <f>TRUNC(C354*D354,2)</f>
        <v>1.36</v>
      </c>
    </row>
    <row r="355" ht="38.25" spans="1:5">
      <c r="A355" s="76" t="s">
        <v>2665</v>
      </c>
      <c r="B355" s="77" t="s">
        <v>979</v>
      </c>
      <c r="C355" s="78">
        <v>0.0203</v>
      </c>
      <c r="D355" s="78">
        <v>66.32</v>
      </c>
      <c r="E355" s="78">
        <f>TRUNC(C355*D355,2)</f>
        <v>1.34</v>
      </c>
    </row>
    <row r="356" spans="1:5">
      <c r="A356" s="76" t="s">
        <v>122</v>
      </c>
      <c r="B356" s="77"/>
      <c r="C356" s="78"/>
      <c r="D356" s="78"/>
      <c r="E356" s="78">
        <f>SUM(E352:E355)</f>
        <v>9.51</v>
      </c>
    </row>
    <row r="357" spans="1:5">
      <c r="A357" s="76"/>
      <c r="B357" s="77"/>
      <c r="C357" s="78"/>
      <c r="D357" s="78"/>
      <c r="E357" s="78"/>
    </row>
    <row r="358" spans="1:5">
      <c r="A358" s="76" t="s">
        <v>2538</v>
      </c>
      <c r="B358" s="77"/>
      <c r="C358" s="78"/>
      <c r="D358" s="78"/>
      <c r="E358" s="78">
        <f>E356</f>
        <v>9.51</v>
      </c>
    </row>
    <row r="359" spans="1:5">
      <c r="A359" s="76" t="s">
        <v>2539</v>
      </c>
      <c r="B359" s="77"/>
      <c r="C359" s="78"/>
      <c r="D359" s="78">
        <v>0</v>
      </c>
      <c r="E359" s="78">
        <f>TRUNC(D359*E358/100,2)</f>
        <v>0</v>
      </c>
    </row>
    <row r="360" spans="1:5">
      <c r="A360" s="76" t="s">
        <v>2540</v>
      </c>
      <c r="B360" s="77"/>
      <c r="C360" s="78"/>
      <c r="D360" s="78"/>
      <c r="E360" s="78">
        <f>E358+E359</f>
        <v>9.51</v>
      </c>
    </row>
    <row r="361" spans="1:5">
      <c r="A361" s="76"/>
      <c r="B361" s="77"/>
      <c r="C361" s="78"/>
      <c r="D361" s="78"/>
      <c r="E361" s="78"/>
    </row>
    <row r="362" spans="1:5">
      <c r="A362" s="76" t="s">
        <v>2666</v>
      </c>
      <c r="B362" s="77" t="s">
        <v>761</v>
      </c>
      <c r="C362" s="78"/>
      <c r="D362" s="78"/>
      <c r="E362" s="78"/>
    </row>
    <row r="363" ht="38.25" spans="1:5">
      <c r="A363" s="76" t="s">
        <v>2667</v>
      </c>
      <c r="B363" s="77"/>
      <c r="C363" s="78"/>
      <c r="D363" s="78"/>
      <c r="E363" s="78"/>
    </row>
    <row r="364" spans="1:5">
      <c r="A364" s="76" t="s">
        <v>2655</v>
      </c>
      <c r="B364" s="77"/>
      <c r="C364" s="78"/>
      <c r="D364" s="78"/>
      <c r="E364" s="78"/>
    </row>
    <row r="365" spans="1:5">
      <c r="A365" s="76"/>
      <c r="B365" s="77"/>
      <c r="C365" s="78"/>
      <c r="D365" s="78"/>
      <c r="E365" s="78"/>
    </row>
    <row r="366" spans="1:5">
      <c r="A366" s="76" t="s">
        <v>2543</v>
      </c>
      <c r="B366" s="77" t="s">
        <v>135</v>
      </c>
      <c r="C366" s="78" t="s">
        <v>136</v>
      </c>
      <c r="D366" s="78" t="s">
        <v>2534</v>
      </c>
      <c r="E366" s="78" t="s">
        <v>2535</v>
      </c>
    </row>
    <row r="367" ht="25.5" spans="1:5">
      <c r="A367" s="76" t="s">
        <v>2643</v>
      </c>
      <c r="B367" s="77" t="s">
        <v>977</v>
      </c>
      <c r="C367" s="78">
        <v>0.0056</v>
      </c>
      <c r="D367" s="78">
        <v>213.48</v>
      </c>
      <c r="E367" s="78">
        <f>TRUNC(C367*D367,2)</f>
        <v>1.19</v>
      </c>
    </row>
    <row r="368" ht="38.25" spans="1:5">
      <c r="A368" s="76" t="s">
        <v>2664</v>
      </c>
      <c r="B368" s="77" t="s">
        <v>977</v>
      </c>
      <c r="C368" s="78">
        <v>0.0178</v>
      </c>
      <c r="D368" s="78">
        <v>188.84</v>
      </c>
      <c r="E368" s="78">
        <f>TRUNC(C368*D368,2)</f>
        <v>3.36</v>
      </c>
    </row>
    <row r="369" ht="25.5" spans="1:5">
      <c r="A369" s="76" t="s">
        <v>2646</v>
      </c>
      <c r="B369" s="77" t="s">
        <v>979</v>
      </c>
      <c r="C369" s="78">
        <v>0.0101</v>
      </c>
      <c r="D369" s="78">
        <v>90.12</v>
      </c>
      <c r="E369" s="78">
        <f>TRUNC(C369*D369,2)</f>
        <v>0.91</v>
      </c>
    </row>
    <row r="370" ht="38.25" spans="1:5">
      <c r="A370" s="76" t="s">
        <v>2665</v>
      </c>
      <c r="B370" s="77" t="s">
        <v>979</v>
      </c>
      <c r="C370" s="78">
        <v>0.0135</v>
      </c>
      <c r="D370" s="78">
        <v>66.32</v>
      </c>
      <c r="E370" s="78">
        <f>TRUNC(C370*D370,2)</f>
        <v>0.89</v>
      </c>
    </row>
    <row r="371" spans="1:5">
      <c r="A371" s="76" t="s">
        <v>122</v>
      </c>
      <c r="B371" s="77"/>
      <c r="C371" s="78"/>
      <c r="D371" s="78"/>
      <c r="E371" s="78">
        <f>SUM(E367:E370)</f>
        <v>6.35</v>
      </c>
    </row>
    <row r="372" spans="1:5">
      <c r="A372" s="76"/>
      <c r="B372" s="77"/>
      <c r="C372" s="78"/>
      <c r="D372" s="78"/>
      <c r="E372" s="78"/>
    </row>
    <row r="373" spans="1:5">
      <c r="A373" s="76" t="s">
        <v>2538</v>
      </c>
      <c r="B373" s="77"/>
      <c r="C373" s="78"/>
      <c r="D373" s="78"/>
      <c r="E373" s="78">
        <f>E371</f>
        <v>6.35</v>
      </c>
    </row>
    <row r="374" spans="1:5">
      <c r="A374" s="76" t="s">
        <v>2539</v>
      </c>
      <c r="B374" s="77"/>
      <c r="C374" s="78"/>
      <c r="D374" s="78">
        <v>0</v>
      </c>
      <c r="E374" s="78">
        <f>TRUNC(D374*E373/100,2)</f>
        <v>0</v>
      </c>
    </row>
    <row r="375" spans="1:5">
      <c r="A375" s="76" t="s">
        <v>2540</v>
      </c>
      <c r="B375" s="77"/>
      <c r="C375" s="78"/>
      <c r="D375" s="78"/>
      <c r="E375" s="78">
        <f>E373+E374</f>
        <v>6.35</v>
      </c>
    </row>
    <row r="376" spans="1:5">
      <c r="A376" s="76"/>
      <c r="B376" s="77"/>
      <c r="C376" s="78"/>
      <c r="D376" s="78"/>
      <c r="E376" s="78"/>
    </row>
    <row r="377" spans="1:5">
      <c r="A377" s="76" t="s">
        <v>2668</v>
      </c>
      <c r="B377" s="77" t="s">
        <v>763</v>
      </c>
      <c r="C377" s="78"/>
      <c r="D377" s="78"/>
      <c r="E377" s="78"/>
    </row>
    <row r="378" ht="38.25" spans="1:5">
      <c r="A378" s="76" t="s">
        <v>2669</v>
      </c>
      <c r="B378" s="77"/>
      <c r="C378" s="78"/>
      <c r="D378" s="78"/>
      <c r="E378" s="78"/>
    </row>
    <row r="379" spans="1:5">
      <c r="A379" s="76" t="s">
        <v>2619</v>
      </c>
      <c r="B379" s="77"/>
      <c r="C379" s="78"/>
      <c r="D379" s="78"/>
      <c r="E379" s="78"/>
    </row>
    <row r="380" spans="1:5">
      <c r="A380" s="76"/>
      <c r="B380" s="77"/>
      <c r="C380" s="78"/>
      <c r="D380" s="78"/>
      <c r="E380" s="78"/>
    </row>
    <row r="381" spans="1:5">
      <c r="A381" s="76" t="s">
        <v>2543</v>
      </c>
      <c r="B381" s="77" t="s">
        <v>135</v>
      </c>
      <c r="C381" s="78" t="s">
        <v>136</v>
      </c>
      <c r="D381" s="78" t="s">
        <v>2534</v>
      </c>
      <c r="E381" s="78" t="s">
        <v>2535</v>
      </c>
    </row>
    <row r="382" ht="25.5" spans="1:5">
      <c r="A382" s="76" t="s">
        <v>2670</v>
      </c>
      <c r="B382" s="77" t="s">
        <v>977</v>
      </c>
      <c r="C382" s="78">
        <v>0.0042</v>
      </c>
      <c r="D382" s="78">
        <v>254.47</v>
      </c>
      <c r="E382" s="78">
        <f>TRUNC(C382*D382,2)</f>
        <v>1.06</v>
      </c>
    </row>
    <row r="383" ht="38.25" spans="1:5">
      <c r="A383" s="76" t="s">
        <v>2660</v>
      </c>
      <c r="B383" s="77" t="s">
        <v>977</v>
      </c>
      <c r="C383" s="78">
        <v>0.0127</v>
      </c>
      <c r="D383" s="78">
        <v>334.12</v>
      </c>
      <c r="E383" s="78">
        <f>TRUNC(C383*D383,2)</f>
        <v>4.24</v>
      </c>
    </row>
    <row r="384" ht="25.5" spans="1:5">
      <c r="A384" s="76" t="s">
        <v>2671</v>
      </c>
      <c r="B384" s="77" t="s">
        <v>979</v>
      </c>
      <c r="C384" s="78">
        <v>0.0067</v>
      </c>
      <c r="D384" s="78">
        <v>98.03</v>
      </c>
      <c r="E384" s="78">
        <f>TRUNC(C384*D384,2)</f>
        <v>0.65</v>
      </c>
    </row>
    <row r="385" ht="38.25" spans="1:5">
      <c r="A385" s="76" t="s">
        <v>2661</v>
      </c>
      <c r="B385" s="77" t="s">
        <v>979</v>
      </c>
      <c r="C385" s="78">
        <v>0.0093</v>
      </c>
      <c r="D385" s="78">
        <v>90.65</v>
      </c>
      <c r="E385" s="78">
        <f>TRUNC(C385*D385,2)</f>
        <v>0.84</v>
      </c>
    </row>
    <row r="386" spans="1:5">
      <c r="A386" s="76" t="s">
        <v>122</v>
      </c>
      <c r="B386" s="77"/>
      <c r="C386" s="78"/>
      <c r="D386" s="78"/>
      <c r="E386" s="78">
        <f>SUM(E382:E385)</f>
        <v>6.79</v>
      </c>
    </row>
    <row r="387" spans="1:5">
      <c r="A387" s="76"/>
      <c r="B387" s="77"/>
      <c r="C387" s="78"/>
      <c r="D387" s="78"/>
      <c r="E387" s="78"/>
    </row>
    <row r="388" spans="1:5">
      <c r="A388" s="76" t="s">
        <v>2538</v>
      </c>
      <c r="B388" s="77"/>
      <c r="C388" s="78"/>
      <c r="D388" s="78"/>
      <c r="E388" s="78">
        <f>E386</f>
        <v>6.79</v>
      </c>
    </row>
    <row r="389" spans="1:5">
      <c r="A389" s="76" t="s">
        <v>2539</v>
      </c>
      <c r="B389" s="77"/>
      <c r="C389" s="78"/>
      <c r="D389" s="78">
        <v>0</v>
      </c>
      <c r="E389" s="78">
        <f>TRUNC(D389*E388/100,2)</f>
        <v>0</v>
      </c>
    </row>
    <row r="390" spans="1:5">
      <c r="A390" s="76" t="s">
        <v>2540</v>
      </c>
      <c r="B390" s="77"/>
      <c r="C390" s="78"/>
      <c r="D390" s="78"/>
      <c r="E390" s="78">
        <f>E388+E389</f>
        <v>6.79</v>
      </c>
    </row>
    <row r="391" spans="1:5">
      <c r="A391" s="76"/>
      <c r="B391" s="77"/>
      <c r="C391" s="78"/>
      <c r="D391" s="78"/>
      <c r="E391" s="78"/>
    </row>
    <row r="392" spans="1:5">
      <c r="A392" s="76" t="s">
        <v>2672</v>
      </c>
      <c r="B392" s="77" t="s">
        <v>765</v>
      </c>
      <c r="C392" s="78"/>
      <c r="D392" s="78"/>
      <c r="E392" s="78"/>
    </row>
    <row r="393" ht="25.5" spans="1:5">
      <c r="A393" s="76" t="s">
        <v>2673</v>
      </c>
      <c r="B393" s="77"/>
      <c r="C393" s="78"/>
      <c r="D393" s="78"/>
      <c r="E393" s="78"/>
    </row>
    <row r="394" spans="1:5">
      <c r="A394" s="76" t="s">
        <v>2655</v>
      </c>
      <c r="B394" s="77"/>
      <c r="C394" s="78"/>
      <c r="D394" s="78"/>
      <c r="E394" s="78"/>
    </row>
    <row r="395" spans="1:5">
      <c r="A395" s="76"/>
      <c r="B395" s="77"/>
      <c r="C395" s="78"/>
      <c r="D395" s="78"/>
      <c r="E395" s="78"/>
    </row>
    <row r="396" spans="1:5">
      <c r="A396" s="76" t="s">
        <v>2543</v>
      </c>
      <c r="B396" s="77" t="s">
        <v>135</v>
      </c>
      <c r="C396" s="78" t="s">
        <v>136</v>
      </c>
      <c r="D396" s="78" t="s">
        <v>2534</v>
      </c>
      <c r="E396" s="78" t="s">
        <v>2535</v>
      </c>
    </row>
    <row r="397" spans="1:5">
      <c r="A397" s="76" t="s">
        <v>2621</v>
      </c>
      <c r="B397" s="77" t="s">
        <v>839</v>
      </c>
      <c r="C397" s="78">
        <v>0.1529</v>
      </c>
      <c r="D397" s="78">
        <v>23.75</v>
      </c>
      <c r="E397" s="78">
        <f>TRUNC(C397*D397,2)</f>
        <v>3.63</v>
      </c>
    </row>
    <row r="398" ht="38.25" spans="1:5">
      <c r="A398" s="76" t="s">
        <v>2578</v>
      </c>
      <c r="B398" s="77" t="s">
        <v>977</v>
      </c>
      <c r="C398" s="78">
        <v>0.0535</v>
      </c>
      <c r="D398" s="78">
        <v>276.11</v>
      </c>
      <c r="E398" s="78">
        <f>TRUNC(C398*D398,2)</f>
        <v>14.77</v>
      </c>
    </row>
    <row r="399" ht="38.25" spans="1:5">
      <c r="A399" s="76" t="s">
        <v>2579</v>
      </c>
      <c r="B399" s="77" t="s">
        <v>979</v>
      </c>
      <c r="C399" s="78">
        <v>0.0229</v>
      </c>
      <c r="D399" s="78">
        <v>72.89</v>
      </c>
      <c r="E399" s="78">
        <f>TRUNC(C399*D399,2)</f>
        <v>1.66</v>
      </c>
    </row>
    <row r="400" spans="1:5">
      <c r="A400" s="76" t="s">
        <v>122</v>
      </c>
      <c r="B400" s="77"/>
      <c r="C400" s="78"/>
      <c r="D400" s="78"/>
      <c r="E400" s="78">
        <f>SUM(E397:E399)</f>
        <v>20.06</v>
      </c>
    </row>
    <row r="401" spans="1:5">
      <c r="A401" s="76"/>
      <c r="B401" s="77"/>
      <c r="C401" s="78"/>
      <c r="D401" s="78"/>
      <c r="E401" s="78"/>
    </row>
    <row r="402" spans="1:5">
      <c r="A402" s="76" t="s">
        <v>2538</v>
      </c>
      <c r="B402" s="77"/>
      <c r="C402" s="78"/>
      <c r="D402" s="78"/>
      <c r="E402" s="78">
        <f>E400</f>
        <v>20.06</v>
      </c>
    </row>
    <row r="403" spans="1:5">
      <c r="A403" s="76" t="s">
        <v>2539</v>
      </c>
      <c r="B403" s="77"/>
      <c r="C403" s="78"/>
      <c r="D403" s="78">
        <v>0</v>
      </c>
      <c r="E403" s="78">
        <f>TRUNC(D403*E402/100,2)</f>
        <v>0</v>
      </c>
    </row>
    <row r="404" spans="1:5">
      <c r="A404" s="76" t="s">
        <v>2540</v>
      </c>
      <c r="B404" s="77"/>
      <c r="C404" s="78"/>
      <c r="D404" s="78"/>
      <c r="E404" s="78">
        <f>E402+E403</f>
        <v>20.06</v>
      </c>
    </row>
    <row r="405" spans="1:5">
      <c r="A405" s="76"/>
      <c r="B405" s="77"/>
      <c r="C405" s="78"/>
      <c r="D405" s="78"/>
      <c r="E405" s="78"/>
    </row>
    <row r="406" spans="1:5">
      <c r="A406" s="76" t="s">
        <v>2674</v>
      </c>
      <c r="B406" s="77" t="s">
        <v>767</v>
      </c>
      <c r="C406" s="78"/>
      <c r="D406" s="78"/>
      <c r="E406" s="78"/>
    </row>
    <row r="407" spans="1:5">
      <c r="A407" s="76" t="s">
        <v>2675</v>
      </c>
      <c r="B407" s="77"/>
      <c r="C407" s="78"/>
      <c r="D407" s="78"/>
      <c r="E407" s="78"/>
    </row>
    <row r="408" spans="1:5">
      <c r="A408" s="76" t="s">
        <v>2563</v>
      </c>
      <c r="B408" s="77"/>
      <c r="C408" s="78"/>
      <c r="D408" s="78"/>
      <c r="E408" s="78"/>
    </row>
    <row r="409" spans="1:5">
      <c r="A409" s="76"/>
      <c r="B409" s="77"/>
      <c r="C409" s="78"/>
      <c r="D409" s="78"/>
      <c r="E409" s="78"/>
    </row>
    <row r="410" spans="1:5">
      <c r="A410" s="76" t="s">
        <v>2543</v>
      </c>
      <c r="B410" s="77" t="s">
        <v>135</v>
      </c>
      <c r="C410" s="78" t="s">
        <v>136</v>
      </c>
      <c r="D410" s="78" t="s">
        <v>2534</v>
      </c>
      <c r="E410" s="78" t="s">
        <v>2535</v>
      </c>
    </row>
    <row r="411" ht="38.25" spans="1:5">
      <c r="A411" s="76" t="s">
        <v>2676</v>
      </c>
      <c r="B411" s="77" t="s">
        <v>977</v>
      </c>
      <c r="C411" s="78">
        <v>0.0413</v>
      </c>
      <c r="D411" s="78">
        <v>171.22</v>
      </c>
      <c r="E411" s="78">
        <f>TRUNC(C411*D411,2)</f>
        <v>7.07</v>
      </c>
    </row>
    <row r="412" ht="38.25" spans="1:5">
      <c r="A412" s="76" t="s">
        <v>2677</v>
      </c>
      <c r="B412" s="77" t="s">
        <v>979</v>
      </c>
      <c r="C412" s="78">
        <v>0.0214</v>
      </c>
      <c r="D412" s="78">
        <v>70.62</v>
      </c>
      <c r="E412" s="78">
        <f>TRUNC(C412*D412,2)</f>
        <v>1.51</v>
      </c>
    </row>
    <row r="413" spans="1:5">
      <c r="A413" s="76" t="s">
        <v>122</v>
      </c>
      <c r="B413" s="77"/>
      <c r="C413" s="78"/>
      <c r="D413" s="78"/>
      <c r="E413" s="78">
        <f>SUM(E411:E412)</f>
        <v>8.58</v>
      </c>
    </row>
    <row r="414" spans="1:5">
      <c r="A414" s="76"/>
      <c r="B414" s="77"/>
      <c r="C414" s="78"/>
      <c r="D414" s="78"/>
      <c r="E414" s="78"/>
    </row>
    <row r="415" spans="1:5">
      <c r="A415" s="76" t="s">
        <v>2538</v>
      </c>
      <c r="B415" s="77"/>
      <c r="C415" s="78"/>
      <c r="D415" s="78"/>
      <c r="E415" s="78">
        <f>E413</f>
        <v>8.58</v>
      </c>
    </row>
    <row r="416" spans="1:5">
      <c r="A416" s="76" t="s">
        <v>2539</v>
      </c>
      <c r="B416" s="77"/>
      <c r="C416" s="78"/>
      <c r="D416" s="78">
        <v>0</v>
      </c>
      <c r="E416" s="78">
        <f>TRUNC(D416*E415/100,2)</f>
        <v>0</v>
      </c>
    </row>
    <row r="417" spans="1:5">
      <c r="A417" s="76" t="s">
        <v>2540</v>
      </c>
      <c r="B417" s="77"/>
      <c r="C417" s="78"/>
      <c r="D417" s="78"/>
      <c r="E417" s="78">
        <f>E415+E416</f>
        <v>8.58</v>
      </c>
    </row>
    <row r="418" spans="1:5">
      <c r="A418" s="76"/>
      <c r="B418" s="77"/>
      <c r="C418" s="78"/>
      <c r="D418" s="78"/>
      <c r="E418" s="78"/>
    </row>
    <row r="419" spans="1:5">
      <c r="A419" s="76" t="s">
        <v>2678</v>
      </c>
      <c r="B419" s="77" t="s">
        <v>769</v>
      </c>
      <c r="C419" s="78"/>
      <c r="D419" s="78"/>
      <c r="E419" s="78"/>
    </row>
    <row r="420" ht="25.5" spans="1:5">
      <c r="A420" s="76" t="s">
        <v>2679</v>
      </c>
      <c r="B420" s="77"/>
      <c r="C420" s="78"/>
      <c r="D420" s="78"/>
      <c r="E420" s="78"/>
    </row>
    <row r="421" spans="1:5">
      <c r="A421" s="76" t="s">
        <v>2619</v>
      </c>
      <c r="B421" s="77"/>
      <c r="C421" s="78"/>
      <c r="D421" s="78"/>
      <c r="E421" s="78"/>
    </row>
    <row r="422" spans="1:5">
      <c r="A422" s="76"/>
      <c r="B422" s="77"/>
      <c r="C422" s="78"/>
      <c r="D422" s="78"/>
      <c r="E422" s="78"/>
    </row>
    <row r="423" spans="1:5">
      <c r="A423" s="76" t="s">
        <v>2543</v>
      </c>
      <c r="B423" s="77" t="s">
        <v>135</v>
      </c>
      <c r="C423" s="78" t="s">
        <v>136</v>
      </c>
      <c r="D423" s="78" t="s">
        <v>2534</v>
      </c>
      <c r="E423" s="78" t="s">
        <v>2535</v>
      </c>
    </row>
    <row r="424" ht="25.5" spans="1:5">
      <c r="A424" s="76" t="s">
        <v>2680</v>
      </c>
      <c r="B424" s="77" t="s">
        <v>977</v>
      </c>
      <c r="C424" s="78">
        <v>1.3422</v>
      </c>
      <c r="D424" s="78">
        <v>29.92</v>
      </c>
      <c r="E424" s="78">
        <f>TRUNC(C424*D424,2)</f>
        <v>40.15</v>
      </c>
    </row>
    <row r="425" ht="38.25" spans="1:5">
      <c r="A425" s="76" t="s">
        <v>2681</v>
      </c>
      <c r="B425" s="77" t="s">
        <v>977</v>
      </c>
      <c r="C425" s="78">
        <v>1.3422</v>
      </c>
      <c r="D425" s="78">
        <v>59.94</v>
      </c>
      <c r="E425" s="78">
        <f>TRUNC(C425*D425,2)</f>
        <v>80.45</v>
      </c>
    </row>
    <row r="426" ht="25.5" spans="1:5">
      <c r="A426" s="76" t="s">
        <v>2682</v>
      </c>
      <c r="B426" s="77" t="s">
        <v>979</v>
      </c>
      <c r="C426" s="78">
        <v>1.1698</v>
      </c>
      <c r="D426" s="78">
        <v>27.94</v>
      </c>
      <c r="E426" s="78">
        <f>TRUNC(C426*D426,2)</f>
        <v>32.68</v>
      </c>
    </row>
    <row r="427" ht="38.25" spans="1:5">
      <c r="A427" s="76" t="s">
        <v>2683</v>
      </c>
      <c r="B427" s="77" t="s">
        <v>979</v>
      </c>
      <c r="C427" s="78">
        <v>1.1698</v>
      </c>
      <c r="D427" s="78">
        <v>6.65</v>
      </c>
      <c r="E427" s="78">
        <f>TRUNC(C427*D427,2)</f>
        <v>7.77</v>
      </c>
    </row>
    <row r="428" spans="1:5">
      <c r="A428" s="76" t="s">
        <v>122</v>
      </c>
      <c r="B428" s="77"/>
      <c r="C428" s="78"/>
      <c r="D428" s="78"/>
      <c r="E428" s="78">
        <f>SUM(E424:E427)</f>
        <v>161.05</v>
      </c>
    </row>
    <row r="429" spans="1:5">
      <c r="A429" s="76"/>
      <c r="B429" s="77"/>
      <c r="C429" s="78"/>
      <c r="D429" s="78"/>
      <c r="E429" s="78"/>
    </row>
    <row r="430" spans="1:5">
      <c r="A430" s="76" t="s">
        <v>2538</v>
      </c>
      <c r="B430" s="77"/>
      <c r="C430" s="78"/>
      <c r="D430" s="78"/>
      <c r="E430" s="78">
        <f>E428</f>
        <v>161.05</v>
      </c>
    </row>
    <row r="431" spans="1:5">
      <c r="A431" s="76" t="s">
        <v>2539</v>
      </c>
      <c r="B431" s="77"/>
      <c r="C431" s="78"/>
      <c r="D431" s="78">
        <v>0</v>
      </c>
      <c r="E431" s="78">
        <f>TRUNC(D431*E430/100,2)</f>
        <v>0</v>
      </c>
    </row>
    <row r="432" spans="1:5">
      <c r="A432" s="76" t="s">
        <v>2540</v>
      </c>
      <c r="B432" s="77"/>
      <c r="C432" s="78"/>
      <c r="D432" s="78"/>
      <c r="E432" s="78">
        <f>E430+E431</f>
        <v>161.05</v>
      </c>
    </row>
    <row r="433" spans="1:5">
      <c r="A433" s="76"/>
      <c r="B433" s="77"/>
      <c r="C433" s="78"/>
      <c r="D433" s="78"/>
      <c r="E433" s="78"/>
    </row>
    <row r="434" spans="1:5">
      <c r="A434" s="76" t="s">
        <v>2684</v>
      </c>
      <c r="B434" s="77">
        <v>8002008020011</v>
      </c>
      <c r="C434" s="78"/>
      <c r="D434" s="78"/>
      <c r="E434" s="78"/>
    </row>
    <row r="435" ht="25.5" spans="1:5">
      <c r="A435" s="76" t="s">
        <v>2685</v>
      </c>
      <c r="B435" s="77"/>
      <c r="C435" s="78"/>
      <c r="D435" s="78"/>
      <c r="E435" s="78"/>
    </row>
    <row r="436" spans="1:5">
      <c r="A436" s="76" t="s">
        <v>2619</v>
      </c>
      <c r="B436" s="77"/>
      <c r="C436" s="78"/>
      <c r="D436" s="78"/>
      <c r="E436" s="78"/>
    </row>
    <row r="437" spans="1:5">
      <c r="A437" s="76"/>
      <c r="B437" s="77"/>
      <c r="C437" s="78"/>
      <c r="D437" s="78"/>
      <c r="E437" s="78"/>
    </row>
    <row r="438" spans="1:5">
      <c r="A438" s="76" t="s">
        <v>2543</v>
      </c>
      <c r="B438" s="77" t="s">
        <v>135</v>
      </c>
      <c r="C438" s="78" t="s">
        <v>136</v>
      </c>
      <c r="D438" s="78" t="s">
        <v>2534</v>
      </c>
      <c r="E438" s="78" t="s">
        <v>2535</v>
      </c>
    </row>
    <row r="439" spans="1:5">
      <c r="A439" s="76" t="s">
        <v>2621</v>
      </c>
      <c r="B439" s="77" t="s">
        <v>839</v>
      </c>
      <c r="C439" s="78">
        <v>6.25</v>
      </c>
      <c r="D439" s="78">
        <v>23.75</v>
      </c>
      <c r="E439" s="78">
        <f>TRUNC(C439*D439,2)</f>
        <v>148.43</v>
      </c>
    </row>
    <row r="440" spans="1:5">
      <c r="A440" s="76" t="s">
        <v>122</v>
      </c>
      <c r="B440" s="77"/>
      <c r="C440" s="78"/>
      <c r="D440" s="78"/>
      <c r="E440" s="78">
        <f>SUM(E439:E439)</f>
        <v>148.43</v>
      </c>
    </row>
    <row r="441" spans="1:5">
      <c r="A441" s="76"/>
      <c r="B441" s="77"/>
      <c r="C441" s="78"/>
      <c r="D441" s="78"/>
      <c r="E441" s="78"/>
    </row>
    <row r="442" spans="1:5">
      <c r="A442" s="76" t="s">
        <v>2538</v>
      </c>
      <c r="B442" s="77"/>
      <c r="C442" s="78"/>
      <c r="D442" s="78"/>
      <c r="E442" s="78">
        <f>E440</f>
        <v>148.43</v>
      </c>
    </row>
    <row r="443" spans="1:5">
      <c r="A443" s="76" t="s">
        <v>2539</v>
      </c>
      <c r="B443" s="77"/>
      <c r="C443" s="78"/>
      <c r="D443" s="78">
        <v>0</v>
      </c>
      <c r="E443" s="78">
        <f>TRUNC(D443*E442/100,2)</f>
        <v>0</v>
      </c>
    </row>
    <row r="444" spans="1:5">
      <c r="A444" s="76" t="s">
        <v>2540</v>
      </c>
      <c r="B444" s="77"/>
      <c r="C444" s="78"/>
      <c r="D444" s="78"/>
      <c r="E444" s="78">
        <f>E442+E443</f>
        <v>148.43</v>
      </c>
    </row>
    <row r="445" spans="1:5">
      <c r="A445" s="76"/>
      <c r="B445" s="77"/>
      <c r="C445" s="78"/>
      <c r="D445" s="78"/>
      <c r="E445" s="78"/>
    </row>
    <row r="446" spans="1:5">
      <c r="A446" s="76" t="s">
        <v>2686</v>
      </c>
      <c r="B446" s="77">
        <v>8002008020009</v>
      </c>
      <c r="C446" s="78"/>
      <c r="D446" s="78"/>
      <c r="E446" s="78"/>
    </row>
    <row r="447" spans="1:5">
      <c r="A447" s="76" t="s">
        <v>2687</v>
      </c>
      <c r="B447" s="77"/>
      <c r="C447" s="78"/>
      <c r="D447" s="78"/>
      <c r="E447" s="78"/>
    </row>
    <row r="448" spans="1:5">
      <c r="A448" s="76" t="s">
        <v>2619</v>
      </c>
      <c r="B448" s="77"/>
      <c r="C448" s="78"/>
      <c r="D448" s="78"/>
      <c r="E448" s="78"/>
    </row>
    <row r="449" spans="1:5">
      <c r="A449" s="76"/>
      <c r="B449" s="77"/>
      <c r="C449" s="78"/>
      <c r="D449" s="78"/>
      <c r="E449" s="78"/>
    </row>
    <row r="450" spans="1:5">
      <c r="A450" s="76" t="s">
        <v>2543</v>
      </c>
      <c r="B450" s="77" t="s">
        <v>135</v>
      </c>
      <c r="C450" s="78" t="s">
        <v>136</v>
      </c>
      <c r="D450" s="78" t="s">
        <v>2534</v>
      </c>
      <c r="E450" s="78" t="s">
        <v>2535</v>
      </c>
    </row>
    <row r="451" spans="1:5">
      <c r="A451" s="76" t="s">
        <v>2621</v>
      </c>
      <c r="B451" s="77" t="s">
        <v>839</v>
      </c>
      <c r="C451" s="78">
        <v>3.75</v>
      </c>
      <c r="D451" s="78">
        <v>23.75</v>
      </c>
      <c r="E451" s="78">
        <f>TRUNC(C451*D451,2)</f>
        <v>89.06</v>
      </c>
    </row>
    <row r="452" spans="1:5">
      <c r="A452" s="76" t="s">
        <v>122</v>
      </c>
      <c r="B452" s="77"/>
      <c r="C452" s="78"/>
      <c r="D452" s="78"/>
      <c r="E452" s="78">
        <f>SUM(E451:E451)</f>
        <v>89.06</v>
      </c>
    </row>
    <row r="453" spans="1:5">
      <c r="A453" s="76"/>
      <c r="B453" s="77"/>
      <c r="C453" s="78"/>
      <c r="D453" s="78"/>
      <c r="E453" s="78"/>
    </row>
    <row r="454" spans="1:5">
      <c r="A454" s="76" t="s">
        <v>2538</v>
      </c>
      <c r="B454" s="77"/>
      <c r="C454" s="78"/>
      <c r="D454" s="78"/>
      <c r="E454" s="78">
        <f>E452</f>
        <v>89.06</v>
      </c>
    </row>
    <row r="455" spans="1:5">
      <c r="A455" s="76" t="s">
        <v>2539</v>
      </c>
      <c r="B455" s="77"/>
      <c r="C455" s="78"/>
      <c r="D455" s="78">
        <v>0</v>
      </c>
      <c r="E455" s="78">
        <f>TRUNC(D455*E454/100,2)</f>
        <v>0</v>
      </c>
    </row>
    <row r="456" spans="1:5">
      <c r="A456" s="76" t="s">
        <v>2540</v>
      </c>
      <c r="B456" s="77"/>
      <c r="C456" s="78"/>
      <c r="D456" s="78"/>
      <c r="E456" s="78">
        <f>E454+E455</f>
        <v>89.06</v>
      </c>
    </row>
    <row r="457" spans="1:5">
      <c r="A457" s="76"/>
      <c r="B457" s="77"/>
      <c r="C457" s="78"/>
      <c r="D457" s="78"/>
      <c r="E457" s="78"/>
    </row>
    <row r="458" spans="1:5">
      <c r="A458" s="76" t="s">
        <v>2688</v>
      </c>
      <c r="B458" s="77">
        <v>8002008020010</v>
      </c>
      <c r="C458" s="78"/>
      <c r="D458" s="78"/>
      <c r="E458" s="78"/>
    </row>
    <row r="459" ht="25.5" spans="1:5">
      <c r="A459" s="76" t="s">
        <v>2689</v>
      </c>
      <c r="B459" s="77"/>
      <c r="C459" s="78"/>
      <c r="D459" s="78"/>
      <c r="E459" s="78"/>
    </row>
    <row r="460" spans="1:5">
      <c r="A460" s="76" t="s">
        <v>2619</v>
      </c>
      <c r="B460" s="77"/>
      <c r="C460" s="78"/>
      <c r="D460" s="78"/>
      <c r="E460" s="78"/>
    </row>
    <row r="461" spans="1:5">
      <c r="A461" s="76"/>
      <c r="B461" s="77"/>
      <c r="C461" s="78"/>
      <c r="D461" s="78"/>
      <c r="E461" s="78"/>
    </row>
    <row r="462" spans="1:5">
      <c r="A462" s="76" t="s">
        <v>2543</v>
      </c>
      <c r="B462" s="77" t="s">
        <v>135</v>
      </c>
      <c r="C462" s="78" t="s">
        <v>136</v>
      </c>
      <c r="D462" s="78" t="s">
        <v>2534</v>
      </c>
      <c r="E462" s="78" t="s">
        <v>2535</v>
      </c>
    </row>
    <row r="463" spans="1:5">
      <c r="A463" s="76" t="s">
        <v>2621</v>
      </c>
      <c r="B463" s="77" t="s">
        <v>839</v>
      </c>
      <c r="C463" s="78">
        <v>5</v>
      </c>
      <c r="D463" s="78">
        <v>23.75</v>
      </c>
      <c r="E463" s="78">
        <f>TRUNC(C463*D463,2)</f>
        <v>118.75</v>
      </c>
    </row>
    <row r="464" spans="1:5">
      <c r="A464" s="76" t="s">
        <v>122</v>
      </c>
      <c r="B464" s="77"/>
      <c r="C464" s="78"/>
      <c r="D464" s="78"/>
      <c r="E464" s="78">
        <f>SUM(E463:E463)</f>
        <v>118.75</v>
      </c>
    </row>
    <row r="465" spans="1:5">
      <c r="A465" s="76"/>
      <c r="B465" s="77"/>
      <c r="C465" s="78"/>
      <c r="D465" s="78"/>
      <c r="E465" s="78"/>
    </row>
    <row r="466" spans="1:5">
      <c r="A466" s="76" t="s">
        <v>2538</v>
      </c>
      <c r="B466" s="77"/>
      <c r="C466" s="78"/>
      <c r="D466" s="78"/>
      <c r="E466" s="78">
        <f>E464</f>
        <v>118.75</v>
      </c>
    </row>
    <row r="467" spans="1:5">
      <c r="A467" s="76" t="s">
        <v>2539</v>
      </c>
      <c r="B467" s="77"/>
      <c r="C467" s="78"/>
      <c r="D467" s="78">
        <v>0</v>
      </c>
      <c r="E467" s="78">
        <f>TRUNC(D467*E466/100,2)</f>
        <v>0</v>
      </c>
    </row>
    <row r="468" spans="1:5">
      <c r="A468" s="76" t="s">
        <v>2540</v>
      </c>
      <c r="B468" s="77"/>
      <c r="C468" s="78"/>
      <c r="D468" s="78"/>
      <c r="E468" s="78">
        <f>E466+E467</f>
        <v>118.75</v>
      </c>
    </row>
    <row r="469" spans="1:5">
      <c r="A469" s="76"/>
      <c r="B469" s="77"/>
      <c r="C469" s="78"/>
      <c r="D469" s="78"/>
      <c r="E469" s="78"/>
    </row>
    <row r="470" spans="1:5">
      <c r="A470" s="76" t="s">
        <v>2690</v>
      </c>
      <c r="B470" s="77" t="s">
        <v>774</v>
      </c>
      <c r="C470" s="78"/>
      <c r="D470" s="78"/>
      <c r="E470" s="78"/>
    </row>
    <row r="471" ht="51" spans="1:5">
      <c r="A471" s="76" t="s">
        <v>2691</v>
      </c>
      <c r="B471" s="77"/>
      <c r="C471" s="78"/>
      <c r="D471" s="78"/>
      <c r="E471" s="78"/>
    </row>
    <row r="472" spans="1:5">
      <c r="A472" s="76" t="s">
        <v>2619</v>
      </c>
      <c r="B472" s="77"/>
      <c r="C472" s="78"/>
      <c r="D472" s="78"/>
      <c r="E472" s="78"/>
    </row>
    <row r="473" spans="1:5">
      <c r="A473" s="76"/>
      <c r="B473" s="77"/>
      <c r="C473" s="78"/>
      <c r="D473" s="78"/>
      <c r="E473" s="78"/>
    </row>
    <row r="474" spans="1:5">
      <c r="A474" s="76" t="s">
        <v>2543</v>
      </c>
      <c r="B474" s="77" t="s">
        <v>135</v>
      </c>
      <c r="C474" s="78" t="s">
        <v>136</v>
      </c>
      <c r="D474" s="78" t="s">
        <v>2534</v>
      </c>
      <c r="E474" s="78" t="s">
        <v>2535</v>
      </c>
    </row>
    <row r="475" spans="1:5">
      <c r="A475" s="76" t="s">
        <v>2621</v>
      </c>
      <c r="B475" s="77" t="s">
        <v>839</v>
      </c>
      <c r="C475" s="78">
        <v>0.0332693</v>
      </c>
      <c r="D475" s="78">
        <v>23.75</v>
      </c>
      <c r="E475" s="78">
        <f>TRUNC(C475*D475,2)</f>
        <v>0.79</v>
      </c>
    </row>
    <row r="476" ht="25.5" spans="1:5">
      <c r="A476" s="76" t="s">
        <v>2643</v>
      </c>
      <c r="B476" s="77" t="s">
        <v>977</v>
      </c>
      <c r="C476" s="78">
        <v>0.01861</v>
      </c>
      <c r="D476" s="78">
        <v>213.48</v>
      </c>
      <c r="E476" s="78">
        <f>TRUNC(C476*D476,2)</f>
        <v>3.97</v>
      </c>
    </row>
    <row r="477" ht="25.5" spans="1:5">
      <c r="A477" s="76" t="s">
        <v>2646</v>
      </c>
      <c r="B477" s="77" t="s">
        <v>979</v>
      </c>
      <c r="C477" s="78">
        <v>0.0146593</v>
      </c>
      <c r="D477" s="78">
        <v>90.12</v>
      </c>
      <c r="E477" s="78">
        <f>TRUNC(C477*D477,2)</f>
        <v>1.32</v>
      </c>
    </row>
    <row r="478" spans="1:5">
      <c r="A478" s="76" t="s">
        <v>122</v>
      </c>
      <c r="B478" s="77"/>
      <c r="C478" s="78"/>
      <c r="D478" s="78"/>
      <c r="E478" s="78">
        <f>SUM(E475:E477)</f>
        <v>6.08</v>
      </c>
    </row>
    <row r="479" spans="1:5">
      <c r="A479" s="76"/>
      <c r="B479" s="77"/>
      <c r="C479" s="78"/>
      <c r="D479" s="78"/>
      <c r="E479" s="78"/>
    </row>
    <row r="480" spans="1:5">
      <c r="A480" s="76" t="s">
        <v>2538</v>
      </c>
      <c r="B480" s="77"/>
      <c r="C480" s="78"/>
      <c r="D480" s="78"/>
      <c r="E480" s="78">
        <f>E478</f>
        <v>6.08</v>
      </c>
    </row>
    <row r="481" spans="1:5">
      <c r="A481" s="76" t="s">
        <v>2539</v>
      </c>
      <c r="B481" s="77"/>
      <c r="C481" s="78"/>
      <c r="D481" s="78">
        <v>0</v>
      </c>
      <c r="E481" s="78">
        <f>TRUNC(D481*E480/100,2)</f>
        <v>0</v>
      </c>
    </row>
    <row r="482" spans="1:5">
      <c r="A482" s="76" t="s">
        <v>2540</v>
      </c>
      <c r="B482" s="77"/>
      <c r="C482" s="78"/>
      <c r="D482" s="78"/>
      <c r="E482" s="78">
        <f>E480+E481</f>
        <v>6.08</v>
      </c>
    </row>
    <row r="483" spans="1:5">
      <c r="A483" s="76"/>
      <c r="B483" s="77"/>
      <c r="C483" s="78"/>
      <c r="D483" s="78"/>
      <c r="E483" s="78"/>
    </row>
    <row r="484" spans="1:5">
      <c r="A484" s="76" t="s">
        <v>2692</v>
      </c>
      <c r="B484" s="77" t="s">
        <v>776</v>
      </c>
      <c r="C484" s="78"/>
      <c r="D484" s="78"/>
      <c r="E484" s="78"/>
    </row>
    <row r="485" ht="51" spans="1:5">
      <c r="A485" s="76" t="s">
        <v>2693</v>
      </c>
      <c r="B485" s="77"/>
      <c r="C485" s="78"/>
      <c r="D485" s="78"/>
      <c r="E485" s="78"/>
    </row>
    <row r="486" spans="1:5">
      <c r="A486" s="76" t="s">
        <v>2619</v>
      </c>
      <c r="B486" s="77"/>
      <c r="C486" s="78"/>
      <c r="D486" s="78"/>
      <c r="E486" s="78"/>
    </row>
    <row r="487" spans="1:5">
      <c r="A487" s="76"/>
      <c r="B487" s="77"/>
      <c r="C487" s="78"/>
      <c r="D487" s="78"/>
      <c r="E487" s="78"/>
    </row>
    <row r="488" spans="1:5">
      <c r="A488" s="76" t="s">
        <v>2543</v>
      </c>
      <c r="B488" s="77" t="s">
        <v>135</v>
      </c>
      <c r="C488" s="78" t="s">
        <v>136</v>
      </c>
      <c r="D488" s="78" t="s">
        <v>2534</v>
      </c>
      <c r="E488" s="78" t="s">
        <v>2535</v>
      </c>
    </row>
    <row r="489" spans="1:5">
      <c r="A489" s="76" t="s">
        <v>2621</v>
      </c>
      <c r="B489" s="77" t="s">
        <v>839</v>
      </c>
      <c r="C489" s="78">
        <v>0.0415866</v>
      </c>
      <c r="D489" s="78">
        <v>23.75</v>
      </c>
      <c r="E489" s="78">
        <f>TRUNC(C489*D489,2)</f>
        <v>0.98</v>
      </c>
    </row>
    <row r="490" ht="25.5" spans="1:5">
      <c r="A490" s="76" t="s">
        <v>2643</v>
      </c>
      <c r="B490" s="77" t="s">
        <v>977</v>
      </c>
      <c r="C490" s="78">
        <v>0.0232625</v>
      </c>
      <c r="D490" s="78">
        <v>213.48</v>
      </c>
      <c r="E490" s="78">
        <f>TRUNC(C490*D490,2)</f>
        <v>4.96</v>
      </c>
    </row>
    <row r="491" ht="25.5" spans="1:5">
      <c r="A491" s="76" t="s">
        <v>2646</v>
      </c>
      <c r="B491" s="77" t="s">
        <v>979</v>
      </c>
      <c r="C491" s="78">
        <v>0.0183241</v>
      </c>
      <c r="D491" s="78">
        <v>90.12</v>
      </c>
      <c r="E491" s="78">
        <f>TRUNC(C491*D491,2)</f>
        <v>1.65</v>
      </c>
    </row>
    <row r="492" spans="1:5">
      <c r="A492" s="76" t="s">
        <v>122</v>
      </c>
      <c r="B492" s="77"/>
      <c r="C492" s="78"/>
      <c r="D492" s="78"/>
      <c r="E492" s="78">
        <f>SUM(E489:E491)</f>
        <v>7.59</v>
      </c>
    </row>
    <row r="493" spans="1:5">
      <c r="A493" s="76"/>
      <c r="B493" s="77"/>
      <c r="C493" s="78"/>
      <c r="D493" s="78"/>
      <c r="E493" s="78"/>
    </row>
    <row r="494" spans="1:5">
      <c r="A494" s="76" t="s">
        <v>2538</v>
      </c>
      <c r="B494" s="77"/>
      <c r="C494" s="78"/>
      <c r="D494" s="78"/>
      <c r="E494" s="78">
        <f>E492</f>
        <v>7.59</v>
      </c>
    </row>
    <row r="495" spans="1:5">
      <c r="A495" s="76" t="s">
        <v>2539</v>
      </c>
      <c r="B495" s="77"/>
      <c r="C495" s="78"/>
      <c r="D495" s="78">
        <v>0</v>
      </c>
      <c r="E495" s="78">
        <f>TRUNC(D495*E494/100,2)</f>
        <v>0</v>
      </c>
    </row>
    <row r="496" spans="1:5">
      <c r="A496" s="76" t="s">
        <v>2540</v>
      </c>
      <c r="B496" s="77"/>
      <c r="C496" s="78"/>
      <c r="D496" s="78"/>
      <c r="E496" s="78">
        <f>E494+E495</f>
        <v>7.59</v>
      </c>
    </row>
    <row r="497" spans="1:5">
      <c r="A497" s="76"/>
      <c r="B497" s="77"/>
      <c r="C497" s="78"/>
      <c r="D497" s="78"/>
      <c r="E497" s="78"/>
    </row>
    <row r="498" spans="1:5">
      <c r="A498" s="76" t="s">
        <v>2694</v>
      </c>
      <c r="B498" s="77" t="s">
        <v>778</v>
      </c>
      <c r="C498" s="78"/>
      <c r="D498" s="78"/>
      <c r="E498" s="78"/>
    </row>
    <row r="499" ht="38.25" spans="1:5">
      <c r="A499" s="76" t="s">
        <v>2695</v>
      </c>
      <c r="B499" s="77"/>
      <c r="C499" s="78"/>
      <c r="D499" s="78"/>
      <c r="E499" s="78"/>
    </row>
    <row r="500" spans="1:5">
      <c r="A500" s="76" t="s">
        <v>2619</v>
      </c>
      <c r="B500" s="77"/>
      <c r="C500" s="78"/>
      <c r="D500" s="78"/>
      <c r="E500" s="78"/>
    </row>
    <row r="501" spans="1:5">
      <c r="A501" s="76"/>
      <c r="B501" s="77"/>
      <c r="C501" s="78"/>
      <c r="D501" s="78"/>
      <c r="E501" s="78"/>
    </row>
    <row r="502" spans="1:5">
      <c r="A502" s="76" t="s">
        <v>2543</v>
      </c>
      <c r="B502" s="77" t="s">
        <v>135</v>
      </c>
      <c r="C502" s="78" t="s">
        <v>136</v>
      </c>
      <c r="D502" s="78" t="s">
        <v>2534</v>
      </c>
      <c r="E502" s="78" t="s">
        <v>2535</v>
      </c>
    </row>
    <row r="503" spans="1:5">
      <c r="A503" s="76" t="s">
        <v>2621</v>
      </c>
      <c r="B503" s="77" t="s">
        <v>839</v>
      </c>
      <c r="C503" s="78">
        <v>0.0435232</v>
      </c>
      <c r="D503" s="78">
        <v>23.75</v>
      </c>
      <c r="E503" s="78">
        <f>TRUNC(C503*D503,2)</f>
        <v>1.03</v>
      </c>
    </row>
    <row r="504" ht="25.5" spans="1:5">
      <c r="A504" s="76" t="s">
        <v>2643</v>
      </c>
      <c r="B504" s="77" t="s">
        <v>977</v>
      </c>
      <c r="C504" s="78">
        <v>0.0243458</v>
      </c>
      <c r="D504" s="78">
        <v>213.48</v>
      </c>
      <c r="E504" s="78">
        <f>TRUNC(C504*D504,2)</f>
        <v>5.19</v>
      </c>
    </row>
    <row r="505" ht="25.5" spans="1:5">
      <c r="A505" s="76" t="s">
        <v>2646</v>
      </c>
      <c r="B505" s="77" t="s">
        <v>979</v>
      </c>
      <c r="C505" s="78">
        <v>0.0191774</v>
      </c>
      <c r="D505" s="78">
        <v>90.12</v>
      </c>
      <c r="E505" s="78">
        <f>TRUNC(C505*D505,2)</f>
        <v>1.72</v>
      </c>
    </row>
    <row r="506" spans="1:5">
      <c r="A506" s="76" t="s">
        <v>122</v>
      </c>
      <c r="B506" s="77"/>
      <c r="C506" s="78"/>
      <c r="D506" s="78"/>
      <c r="E506" s="78">
        <f>SUM(E503:E505)</f>
        <v>7.94</v>
      </c>
    </row>
    <row r="507" spans="1:5">
      <c r="A507" s="76"/>
      <c r="B507" s="77"/>
      <c r="C507" s="78"/>
      <c r="D507" s="78"/>
      <c r="E507" s="78"/>
    </row>
    <row r="508" spans="1:5">
      <c r="A508" s="76" t="s">
        <v>2538</v>
      </c>
      <c r="B508" s="77"/>
      <c r="C508" s="78"/>
      <c r="D508" s="78"/>
      <c r="E508" s="78">
        <f>E506</f>
        <v>7.94</v>
      </c>
    </row>
    <row r="509" spans="1:5">
      <c r="A509" s="76" t="s">
        <v>2539</v>
      </c>
      <c r="B509" s="77"/>
      <c r="C509" s="78"/>
      <c r="D509" s="78">
        <v>0</v>
      </c>
      <c r="E509" s="78">
        <f>TRUNC(D509*E508/100,2)</f>
        <v>0</v>
      </c>
    </row>
    <row r="510" spans="1:5">
      <c r="A510" s="76" t="s">
        <v>2540</v>
      </c>
      <c r="B510" s="77"/>
      <c r="C510" s="78"/>
      <c r="D510" s="78"/>
      <c r="E510" s="78">
        <f>E508+E509</f>
        <v>7.94</v>
      </c>
    </row>
    <row r="511" spans="1:5">
      <c r="A511" s="76"/>
      <c r="B511" s="77"/>
      <c r="C511" s="78"/>
      <c r="D511" s="78"/>
      <c r="E511" s="78"/>
    </row>
    <row r="512" spans="1:5">
      <c r="A512" s="76" t="s">
        <v>2696</v>
      </c>
      <c r="B512" s="77" t="s">
        <v>780</v>
      </c>
      <c r="C512" s="78"/>
      <c r="D512" s="78"/>
      <c r="E512" s="78"/>
    </row>
    <row r="513" ht="51" spans="1:5">
      <c r="A513" s="76" t="s">
        <v>2697</v>
      </c>
      <c r="B513" s="77"/>
      <c r="C513" s="78"/>
      <c r="D513" s="78"/>
      <c r="E513" s="78"/>
    </row>
    <row r="514" spans="1:5">
      <c r="A514" s="76" t="s">
        <v>2619</v>
      </c>
      <c r="B514" s="77"/>
      <c r="C514" s="78"/>
      <c r="D514" s="78"/>
      <c r="E514" s="78"/>
    </row>
    <row r="515" spans="1:5">
      <c r="A515" s="76"/>
      <c r="B515" s="77"/>
      <c r="C515" s="78"/>
      <c r="D515" s="78"/>
      <c r="E515" s="78"/>
    </row>
    <row r="516" spans="1:5">
      <c r="A516" s="76" t="s">
        <v>2543</v>
      </c>
      <c r="B516" s="77" t="s">
        <v>135</v>
      </c>
      <c r="C516" s="78" t="s">
        <v>136</v>
      </c>
      <c r="D516" s="78" t="s">
        <v>2534</v>
      </c>
      <c r="E516" s="78" t="s">
        <v>2535</v>
      </c>
    </row>
    <row r="517" spans="1:5">
      <c r="A517" s="76" t="s">
        <v>2621</v>
      </c>
      <c r="B517" s="77" t="s">
        <v>839</v>
      </c>
      <c r="C517" s="78">
        <v>0.0356685</v>
      </c>
      <c r="D517" s="78">
        <v>23.75</v>
      </c>
      <c r="E517" s="78">
        <f>TRUNC(C517*D517,2)</f>
        <v>0.84</v>
      </c>
    </row>
    <row r="518" ht="25.5" spans="1:5">
      <c r="A518" s="76" t="s">
        <v>2670</v>
      </c>
      <c r="B518" s="77" t="s">
        <v>977</v>
      </c>
      <c r="C518" s="78">
        <v>0.0199521</v>
      </c>
      <c r="D518" s="78">
        <v>254.47</v>
      </c>
      <c r="E518" s="78">
        <f>TRUNC(C518*D518,2)</f>
        <v>5.07</v>
      </c>
    </row>
    <row r="519" ht="25.5" spans="1:5">
      <c r="A519" s="76" t="s">
        <v>2671</v>
      </c>
      <c r="B519" s="77" t="s">
        <v>979</v>
      </c>
      <c r="C519" s="78">
        <v>0.0157164</v>
      </c>
      <c r="D519" s="78">
        <v>98.03</v>
      </c>
      <c r="E519" s="78">
        <f>TRUNC(C519*D519,2)</f>
        <v>1.54</v>
      </c>
    </row>
    <row r="520" spans="1:5">
      <c r="A520" s="76" t="s">
        <v>122</v>
      </c>
      <c r="B520" s="77"/>
      <c r="C520" s="78"/>
      <c r="D520" s="78"/>
      <c r="E520" s="78">
        <f>SUM(E517:E519)</f>
        <v>7.45</v>
      </c>
    </row>
    <row r="521" spans="1:5">
      <c r="A521" s="76"/>
      <c r="B521" s="77"/>
      <c r="C521" s="78"/>
      <c r="D521" s="78"/>
      <c r="E521" s="78"/>
    </row>
    <row r="522" spans="1:5">
      <c r="A522" s="76" t="s">
        <v>2538</v>
      </c>
      <c r="B522" s="77"/>
      <c r="C522" s="78"/>
      <c r="D522" s="78"/>
      <c r="E522" s="78">
        <f>E520</f>
        <v>7.45</v>
      </c>
    </row>
    <row r="523" spans="1:5">
      <c r="A523" s="76" t="s">
        <v>2539</v>
      </c>
      <c r="B523" s="77"/>
      <c r="C523" s="78"/>
      <c r="D523" s="78">
        <v>0</v>
      </c>
      <c r="E523" s="78">
        <f>TRUNC(D523*E522/100,2)</f>
        <v>0</v>
      </c>
    </row>
    <row r="524" spans="1:5">
      <c r="A524" s="76" t="s">
        <v>2540</v>
      </c>
      <c r="B524" s="77"/>
      <c r="C524" s="78"/>
      <c r="D524" s="78"/>
      <c r="E524" s="78">
        <f>E522+E523</f>
        <v>7.45</v>
      </c>
    </row>
    <row r="525" spans="1:5">
      <c r="A525" s="76"/>
      <c r="B525" s="77"/>
      <c r="C525" s="78"/>
      <c r="D525" s="78"/>
      <c r="E525" s="78"/>
    </row>
    <row r="526" spans="1:5">
      <c r="A526" s="76" t="s">
        <v>2698</v>
      </c>
      <c r="B526" s="77" t="s">
        <v>782</v>
      </c>
      <c r="C526" s="78"/>
      <c r="D526" s="78"/>
      <c r="E526" s="78"/>
    </row>
    <row r="527" ht="51" spans="1:5">
      <c r="A527" s="76" t="s">
        <v>2699</v>
      </c>
      <c r="B527" s="77"/>
      <c r="C527" s="78"/>
      <c r="D527" s="78"/>
      <c r="E527" s="78"/>
    </row>
    <row r="528" spans="1:5">
      <c r="A528" s="76" t="s">
        <v>2619</v>
      </c>
      <c r="B528" s="77"/>
      <c r="C528" s="78"/>
      <c r="D528" s="78"/>
      <c r="E528" s="78"/>
    </row>
    <row r="529" spans="1:5">
      <c r="A529" s="76"/>
      <c r="B529" s="77"/>
      <c r="C529" s="78"/>
      <c r="D529" s="78"/>
      <c r="E529" s="78"/>
    </row>
    <row r="530" spans="1:5">
      <c r="A530" s="76" t="s">
        <v>2543</v>
      </c>
      <c r="B530" s="77" t="s">
        <v>135</v>
      </c>
      <c r="C530" s="78" t="s">
        <v>136</v>
      </c>
      <c r="D530" s="78" t="s">
        <v>2534</v>
      </c>
      <c r="E530" s="78" t="s">
        <v>2535</v>
      </c>
    </row>
    <row r="531" spans="1:5">
      <c r="A531" s="76" t="s">
        <v>2621</v>
      </c>
      <c r="B531" s="77" t="s">
        <v>839</v>
      </c>
      <c r="C531" s="78">
        <v>0.0272651</v>
      </c>
      <c r="D531" s="78">
        <v>23.75</v>
      </c>
      <c r="E531" s="78">
        <f>TRUNC(C531*D531,2)</f>
        <v>0.64</v>
      </c>
    </row>
    <row r="532" ht="25.5" spans="1:5">
      <c r="A532" s="76" t="s">
        <v>2670</v>
      </c>
      <c r="B532" s="77" t="s">
        <v>977</v>
      </c>
      <c r="C532" s="78">
        <v>0.0152514</v>
      </c>
      <c r="D532" s="78">
        <v>254.47</v>
      </c>
      <c r="E532" s="78">
        <f>TRUNC(C532*D532,2)</f>
        <v>3.88</v>
      </c>
    </row>
    <row r="533" ht="25.5" spans="1:5">
      <c r="A533" s="76" t="s">
        <v>2671</v>
      </c>
      <c r="B533" s="77" t="s">
        <v>979</v>
      </c>
      <c r="C533" s="78">
        <v>0.0120137</v>
      </c>
      <c r="D533" s="78">
        <v>98.03</v>
      </c>
      <c r="E533" s="78">
        <f>TRUNC(C533*D533,2)</f>
        <v>1.17</v>
      </c>
    </row>
    <row r="534" spans="1:5">
      <c r="A534" s="76" t="s">
        <v>122</v>
      </c>
      <c r="B534" s="77"/>
      <c r="C534" s="78"/>
      <c r="D534" s="78"/>
      <c r="E534" s="78">
        <f>SUM(E531:E533)</f>
        <v>5.69</v>
      </c>
    </row>
    <row r="535" spans="1:5">
      <c r="A535" s="76"/>
      <c r="B535" s="77"/>
      <c r="C535" s="78"/>
      <c r="D535" s="78"/>
      <c r="E535" s="78"/>
    </row>
    <row r="536" spans="1:5">
      <c r="A536" s="76" t="s">
        <v>2538</v>
      </c>
      <c r="B536" s="77"/>
      <c r="C536" s="78"/>
      <c r="D536" s="78"/>
      <c r="E536" s="78">
        <f>E534</f>
        <v>5.69</v>
      </c>
    </row>
    <row r="537" spans="1:5">
      <c r="A537" s="76" t="s">
        <v>2539</v>
      </c>
      <c r="B537" s="77"/>
      <c r="C537" s="78"/>
      <c r="D537" s="78">
        <v>0</v>
      </c>
      <c r="E537" s="78">
        <f>TRUNC(D537*E536/100,2)</f>
        <v>0</v>
      </c>
    </row>
    <row r="538" spans="1:5">
      <c r="A538" s="76" t="s">
        <v>2540</v>
      </c>
      <c r="B538" s="77"/>
      <c r="C538" s="78"/>
      <c r="D538" s="78"/>
      <c r="E538" s="78">
        <f>E536+E537</f>
        <v>5.69</v>
      </c>
    </row>
    <row r="539" spans="1:5">
      <c r="A539" s="76"/>
      <c r="B539" s="77"/>
      <c r="C539" s="78"/>
      <c r="D539" s="78"/>
      <c r="E539" s="78"/>
    </row>
    <row r="540" spans="1:5">
      <c r="A540" s="76" t="s">
        <v>2700</v>
      </c>
      <c r="B540" s="77" t="s">
        <v>784</v>
      </c>
      <c r="C540" s="78"/>
      <c r="D540" s="78"/>
      <c r="E540" s="78"/>
    </row>
    <row r="541" ht="51" spans="1:5">
      <c r="A541" s="76" t="s">
        <v>2701</v>
      </c>
      <c r="B541" s="77"/>
      <c r="C541" s="78"/>
      <c r="D541" s="78"/>
      <c r="E541" s="78"/>
    </row>
    <row r="542" spans="1:5">
      <c r="A542" s="76" t="s">
        <v>2619</v>
      </c>
      <c r="B542" s="77"/>
      <c r="C542" s="78"/>
      <c r="D542" s="78"/>
      <c r="E542" s="78"/>
    </row>
    <row r="543" spans="1:5">
      <c r="A543" s="76"/>
      <c r="B543" s="77"/>
      <c r="C543" s="78"/>
      <c r="D543" s="78"/>
      <c r="E543" s="78"/>
    </row>
    <row r="544" spans="1:5">
      <c r="A544" s="76" t="s">
        <v>2543</v>
      </c>
      <c r="B544" s="77" t="s">
        <v>135</v>
      </c>
      <c r="C544" s="78" t="s">
        <v>136</v>
      </c>
      <c r="D544" s="78" t="s">
        <v>2534</v>
      </c>
      <c r="E544" s="78" t="s">
        <v>2535</v>
      </c>
    </row>
    <row r="545" spans="1:5">
      <c r="A545" s="76" t="s">
        <v>2621</v>
      </c>
      <c r="B545" s="77" t="s">
        <v>839</v>
      </c>
      <c r="C545" s="78">
        <v>0.0340814</v>
      </c>
      <c r="D545" s="78">
        <v>23.75</v>
      </c>
      <c r="E545" s="78">
        <f>TRUNC(C545*D545,2)</f>
        <v>0.8</v>
      </c>
    </row>
    <row r="546" ht="25.5" spans="1:5">
      <c r="A546" s="76" t="s">
        <v>2670</v>
      </c>
      <c r="B546" s="77" t="s">
        <v>977</v>
      </c>
      <c r="C546" s="78">
        <v>0.0190643</v>
      </c>
      <c r="D546" s="78">
        <v>254.47</v>
      </c>
      <c r="E546" s="78">
        <f>TRUNC(C546*D546,2)</f>
        <v>4.85</v>
      </c>
    </row>
    <row r="547" ht="25.5" spans="1:5">
      <c r="A547" s="76" t="s">
        <v>2671</v>
      </c>
      <c r="B547" s="77" t="s">
        <v>979</v>
      </c>
      <c r="C547" s="78">
        <v>0.0150171</v>
      </c>
      <c r="D547" s="78">
        <v>98.03</v>
      </c>
      <c r="E547" s="78">
        <f>TRUNC(C547*D547,2)</f>
        <v>1.47</v>
      </c>
    </row>
    <row r="548" spans="1:5">
      <c r="A548" s="76" t="s">
        <v>122</v>
      </c>
      <c r="B548" s="77"/>
      <c r="C548" s="78"/>
      <c r="D548" s="78"/>
      <c r="E548" s="78">
        <f>SUM(E545:E547)</f>
        <v>7.12</v>
      </c>
    </row>
    <row r="549" spans="1:5">
      <c r="A549" s="76"/>
      <c r="B549" s="77"/>
      <c r="C549" s="78"/>
      <c r="D549" s="78"/>
      <c r="E549" s="78"/>
    </row>
    <row r="550" spans="1:5">
      <c r="A550" s="76" t="s">
        <v>2538</v>
      </c>
      <c r="B550" s="77"/>
      <c r="C550" s="78"/>
      <c r="D550" s="78"/>
      <c r="E550" s="78">
        <f>E548</f>
        <v>7.12</v>
      </c>
    </row>
    <row r="551" spans="1:5">
      <c r="A551" s="76" t="s">
        <v>2539</v>
      </c>
      <c r="B551" s="77"/>
      <c r="C551" s="78"/>
      <c r="D551" s="78">
        <v>0</v>
      </c>
      <c r="E551" s="78">
        <f>TRUNC(D551*E550/100,2)</f>
        <v>0</v>
      </c>
    </row>
    <row r="552" spans="1:5">
      <c r="A552" s="76" t="s">
        <v>2540</v>
      </c>
      <c r="B552" s="77"/>
      <c r="C552" s="78"/>
      <c r="D552" s="78"/>
      <c r="E552" s="78">
        <f>E550+E551</f>
        <v>7.12</v>
      </c>
    </row>
    <row r="553" spans="1:5">
      <c r="A553" s="76"/>
      <c r="B553" s="77"/>
      <c r="C553" s="78"/>
      <c r="D553" s="78"/>
      <c r="E553" s="78"/>
    </row>
    <row r="554" spans="1:5">
      <c r="A554" s="76" t="s">
        <v>2702</v>
      </c>
      <c r="B554" s="77" t="s">
        <v>786</v>
      </c>
      <c r="C554" s="78"/>
      <c r="D554" s="78"/>
      <c r="E554" s="78"/>
    </row>
    <row r="555" ht="51" spans="1:5">
      <c r="A555" s="76" t="s">
        <v>2703</v>
      </c>
      <c r="B555" s="77"/>
      <c r="C555" s="78"/>
      <c r="D555" s="78"/>
      <c r="E555" s="78"/>
    </row>
    <row r="556" spans="1:5">
      <c r="A556" s="76" t="s">
        <v>2619</v>
      </c>
      <c r="B556" s="77"/>
      <c r="C556" s="78"/>
      <c r="D556" s="78"/>
      <c r="E556" s="78"/>
    </row>
    <row r="557" spans="1:5">
      <c r="A557" s="76"/>
      <c r="B557" s="77"/>
      <c r="C557" s="78"/>
      <c r="D557" s="78"/>
      <c r="E557" s="78"/>
    </row>
    <row r="558" spans="1:5">
      <c r="A558" s="76" t="s">
        <v>2543</v>
      </c>
      <c r="B558" s="77" t="s">
        <v>135</v>
      </c>
      <c r="C558" s="78" t="s">
        <v>136</v>
      </c>
      <c r="D558" s="78" t="s">
        <v>2534</v>
      </c>
      <c r="E558" s="78" t="s">
        <v>2535</v>
      </c>
    </row>
    <row r="559" spans="1:5">
      <c r="A559" s="76" t="s">
        <v>2621</v>
      </c>
      <c r="B559" s="77" t="s">
        <v>839</v>
      </c>
      <c r="C559" s="78">
        <v>0.0262189</v>
      </c>
      <c r="D559" s="78">
        <v>23.75</v>
      </c>
      <c r="E559" s="78">
        <f>TRUNC(C559*D559,2)</f>
        <v>0.62</v>
      </c>
    </row>
    <row r="560" ht="25.5" spans="1:5">
      <c r="A560" s="76" t="s">
        <v>2670</v>
      </c>
      <c r="B560" s="77" t="s">
        <v>977</v>
      </c>
      <c r="C560" s="78">
        <v>0.0146662</v>
      </c>
      <c r="D560" s="78">
        <v>254.47</v>
      </c>
      <c r="E560" s="78">
        <f>TRUNC(C560*D560,2)</f>
        <v>3.73</v>
      </c>
    </row>
    <row r="561" ht="25.5" spans="1:5">
      <c r="A561" s="76" t="s">
        <v>2671</v>
      </c>
      <c r="B561" s="77" t="s">
        <v>979</v>
      </c>
      <c r="C561" s="78">
        <v>0.0115527</v>
      </c>
      <c r="D561" s="78">
        <v>98.03</v>
      </c>
      <c r="E561" s="78">
        <f>TRUNC(C561*D561,2)</f>
        <v>1.13</v>
      </c>
    </row>
    <row r="562" spans="1:5">
      <c r="A562" s="76" t="s">
        <v>122</v>
      </c>
      <c r="B562" s="77"/>
      <c r="C562" s="78"/>
      <c r="D562" s="78"/>
      <c r="E562" s="78">
        <f>SUM(E559:E561)</f>
        <v>5.48</v>
      </c>
    </row>
    <row r="563" spans="1:5">
      <c r="A563" s="76"/>
      <c r="B563" s="77"/>
      <c r="C563" s="78"/>
      <c r="D563" s="78"/>
      <c r="E563" s="78"/>
    </row>
    <row r="564" spans="1:5">
      <c r="A564" s="76" t="s">
        <v>2538</v>
      </c>
      <c r="B564" s="77"/>
      <c r="C564" s="78"/>
      <c r="D564" s="78"/>
      <c r="E564" s="78">
        <f>E562</f>
        <v>5.48</v>
      </c>
    </row>
    <row r="565" spans="1:5">
      <c r="A565" s="76" t="s">
        <v>2539</v>
      </c>
      <c r="B565" s="77"/>
      <c r="C565" s="78"/>
      <c r="D565" s="78">
        <v>0</v>
      </c>
      <c r="E565" s="78">
        <f>TRUNC(D565*E564/100,2)</f>
        <v>0</v>
      </c>
    </row>
    <row r="566" spans="1:5">
      <c r="A566" s="76" t="s">
        <v>2540</v>
      </c>
      <c r="B566" s="77"/>
      <c r="C566" s="78"/>
      <c r="D566" s="78"/>
      <c r="E566" s="78">
        <f>E564+E565</f>
        <v>5.48</v>
      </c>
    </row>
    <row r="567" spans="1:5">
      <c r="A567" s="76"/>
      <c r="B567" s="77"/>
      <c r="C567" s="78"/>
      <c r="D567" s="78"/>
      <c r="E567" s="78"/>
    </row>
    <row r="568" spans="1:5">
      <c r="A568" s="76" t="s">
        <v>2704</v>
      </c>
      <c r="B568" s="77" t="s">
        <v>788</v>
      </c>
      <c r="C568" s="78"/>
      <c r="D568" s="78"/>
      <c r="E568" s="78"/>
    </row>
    <row r="569" ht="51" spans="1:5">
      <c r="A569" s="76" t="s">
        <v>2705</v>
      </c>
      <c r="B569" s="77"/>
      <c r="C569" s="78"/>
      <c r="D569" s="78"/>
      <c r="E569" s="78"/>
    </row>
    <row r="570" spans="1:5">
      <c r="A570" s="76" t="s">
        <v>2619</v>
      </c>
      <c r="B570" s="77"/>
      <c r="C570" s="78"/>
      <c r="D570" s="78"/>
      <c r="E570" s="78"/>
    </row>
    <row r="571" spans="1:5">
      <c r="A571" s="76"/>
      <c r="B571" s="77"/>
      <c r="C571" s="78"/>
      <c r="D571" s="78"/>
      <c r="E571" s="78"/>
    </row>
    <row r="572" spans="1:5">
      <c r="A572" s="76" t="s">
        <v>2543</v>
      </c>
      <c r="B572" s="77" t="s">
        <v>135</v>
      </c>
      <c r="C572" s="78" t="s">
        <v>136</v>
      </c>
      <c r="D572" s="78" t="s">
        <v>2534</v>
      </c>
      <c r="E572" s="78" t="s">
        <v>2535</v>
      </c>
    </row>
    <row r="573" spans="1:5">
      <c r="A573" s="76" t="s">
        <v>2621</v>
      </c>
      <c r="B573" s="77" t="s">
        <v>839</v>
      </c>
      <c r="C573" s="78">
        <v>0.0327736</v>
      </c>
      <c r="D573" s="78">
        <v>23.75</v>
      </c>
      <c r="E573" s="78">
        <f>TRUNC(C573*D573,2)</f>
        <v>0.77</v>
      </c>
    </row>
    <row r="574" ht="25.5" spans="1:5">
      <c r="A574" s="76" t="s">
        <v>2670</v>
      </c>
      <c r="B574" s="77" t="s">
        <v>977</v>
      </c>
      <c r="C574" s="78">
        <v>0.0183327</v>
      </c>
      <c r="D574" s="78">
        <v>254.47</v>
      </c>
      <c r="E574" s="78">
        <f>TRUNC(C574*D574,2)</f>
        <v>4.66</v>
      </c>
    </row>
    <row r="575" ht="25.5" spans="1:5">
      <c r="A575" s="76" t="s">
        <v>2671</v>
      </c>
      <c r="B575" s="77" t="s">
        <v>979</v>
      </c>
      <c r="C575" s="78">
        <v>0.0144409</v>
      </c>
      <c r="D575" s="78">
        <v>98.03</v>
      </c>
      <c r="E575" s="78">
        <f>TRUNC(C575*D575,2)</f>
        <v>1.41</v>
      </c>
    </row>
    <row r="576" spans="1:5">
      <c r="A576" s="76" t="s">
        <v>122</v>
      </c>
      <c r="B576" s="77"/>
      <c r="C576" s="78"/>
      <c r="D576" s="78"/>
      <c r="E576" s="78">
        <f>SUM(E573:E575)</f>
        <v>6.84</v>
      </c>
    </row>
    <row r="577" spans="1:5">
      <c r="A577" s="76"/>
      <c r="B577" s="77"/>
      <c r="C577" s="78"/>
      <c r="D577" s="78"/>
      <c r="E577" s="78"/>
    </row>
    <row r="578" spans="1:5">
      <c r="A578" s="76" t="s">
        <v>2538</v>
      </c>
      <c r="B578" s="77"/>
      <c r="C578" s="78"/>
      <c r="D578" s="78"/>
      <c r="E578" s="78">
        <f>E576</f>
        <v>6.84</v>
      </c>
    </row>
    <row r="579" spans="1:5">
      <c r="A579" s="76" t="s">
        <v>2539</v>
      </c>
      <c r="B579" s="77"/>
      <c r="C579" s="78"/>
      <c r="D579" s="78">
        <v>0</v>
      </c>
      <c r="E579" s="78">
        <f>TRUNC(D579*E578/100,2)</f>
        <v>0</v>
      </c>
    </row>
    <row r="580" spans="1:5">
      <c r="A580" s="76" t="s">
        <v>2540</v>
      </c>
      <c r="B580" s="77"/>
      <c r="C580" s="78"/>
      <c r="D580" s="78"/>
      <c r="E580" s="78">
        <f>E578+E579</f>
        <v>6.84</v>
      </c>
    </row>
    <row r="581" spans="1:5">
      <c r="A581" s="76"/>
      <c r="B581" s="77"/>
      <c r="C581" s="78"/>
      <c r="D581" s="78"/>
      <c r="E581" s="78"/>
    </row>
    <row r="582" spans="1:5">
      <c r="A582" s="76" t="s">
        <v>2706</v>
      </c>
      <c r="B582" s="77" t="s">
        <v>790</v>
      </c>
      <c r="C582" s="78"/>
      <c r="D582" s="78"/>
      <c r="E582" s="78"/>
    </row>
    <row r="583" ht="51" spans="1:5">
      <c r="A583" s="76" t="s">
        <v>2707</v>
      </c>
      <c r="B583" s="77"/>
      <c r="C583" s="78"/>
      <c r="D583" s="78"/>
      <c r="E583" s="78"/>
    </row>
    <row r="584" spans="1:5">
      <c r="A584" s="76" t="s">
        <v>2619</v>
      </c>
      <c r="B584" s="77"/>
      <c r="C584" s="78"/>
      <c r="D584" s="78"/>
      <c r="E584" s="78"/>
    </row>
    <row r="585" spans="1:5">
      <c r="A585" s="76"/>
      <c r="B585" s="77"/>
      <c r="C585" s="78"/>
      <c r="D585" s="78"/>
      <c r="E585" s="78"/>
    </row>
    <row r="586" spans="1:5">
      <c r="A586" s="76" t="s">
        <v>2543</v>
      </c>
      <c r="B586" s="77" t="s">
        <v>135</v>
      </c>
      <c r="C586" s="78" t="s">
        <v>136</v>
      </c>
      <c r="D586" s="78" t="s">
        <v>2534</v>
      </c>
      <c r="E586" s="78" t="s">
        <v>2535</v>
      </c>
    </row>
    <row r="587" spans="1:5">
      <c r="A587" s="76" t="s">
        <v>2621</v>
      </c>
      <c r="B587" s="77" t="s">
        <v>839</v>
      </c>
      <c r="C587" s="78">
        <v>0.0342998</v>
      </c>
      <c r="D587" s="78">
        <v>23.75</v>
      </c>
      <c r="E587" s="78">
        <f>TRUNC(C587*D587,2)</f>
        <v>0.81</v>
      </c>
    </row>
    <row r="588" ht="25.5" spans="1:5">
      <c r="A588" s="76" t="s">
        <v>2670</v>
      </c>
      <c r="B588" s="77" t="s">
        <v>977</v>
      </c>
      <c r="C588" s="78">
        <v>0.0191864</v>
      </c>
      <c r="D588" s="78">
        <v>254.47</v>
      </c>
      <c r="E588" s="78">
        <f>TRUNC(C588*D588,2)</f>
        <v>4.88</v>
      </c>
    </row>
    <row r="589" ht="25.5" spans="1:5">
      <c r="A589" s="76" t="s">
        <v>2671</v>
      </c>
      <c r="B589" s="77" t="s">
        <v>979</v>
      </c>
      <c r="C589" s="78">
        <v>0.0151133</v>
      </c>
      <c r="D589" s="78">
        <v>98.03</v>
      </c>
      <c r="E589" s="78">
        <f>TRUNC(C589*D589,2)</f>
        <v>1.48</v>
      </c>
    </row>
    <row r="590" spans="1:5">
      <c r="A590" s="76" t="s">
        <v>122</v>
      </c>
      <c r="B590" s="77"/>
      <c r="C590" s="78"/>
      <c r="D590" s="78"/>
      <c r="E590" s="78">
        <f>SUM(E587:E589)</f>
        <v>7.17</v>
      </c>
    </row>
    <row r="591" spans="1:5">
      <c r="A591" s="76"/>
      <c r="B591" s="77"/>
      <c r="C591" s="78"/>
      <c r="D591" s="78"/>
      <c r="E591" s="78"/>
    </row>
    <row r="592" spans="1:5">
      <c r="A592" s="76" t="s">
        <v>2538</v>
      </c>
      <c r="B592" s="77"/>
      <c r="C592" s="78"/>
      <c r="D592" s="78"/>
      <c r="E592" s="78">
        <f>E590</f>
        <v>7.17</v>
      </c>
    </row>
    <row r="593" spans="1:5">
      <c r="A593" s="76" t="s">
        <v>2539</v>
      </c>
      <c r="B593" s="77"/>
      <c r="C593" s="78"/>
      <c r="D593" s="78">
        <v>0</v>
      </c>
      <c r="E593" s="78">
        <f>TRUNC(D593*E592/100,2)</f>
        <v>0</v>
      </c>
    </row>
    <row r="594" spans="1:5">
      <c r="A594" s="76" t="s">
        <v>2540</v>
      </c>
      <c r="B594" s="77"/>
      <c r="C594" s="78"/>
      <c r="D594" s="78"/>
      <c r="E594" s="78">
        <f>E592+E593</f>
        <v>7.17</v>
      </c>
    </row>
    <row r="595" spans="1:5">
      <c r="A595" s="76"/>
      <c r="B595" s="77"/>
      <c r="C595" s="78"/>
      <c r="D595" s="78"/>
      <c r="E595" s="78"/>
    </row>
    <row r="596" spans="1:5">
      <c r="A596" s="76" t="s">
        <v>2708</v>
      </c>
      <c r="B596" s="77" t="s">
        <v>792</v>
      </c>
      <c r="C596" s="78"/>
      <c r="D596" s="78"/>
      <c r="E596" s="78"/>
    </row>
    <row r="597" ht="25.5" spans="1:5">
      <c r="A597" s="76" t="s">
        <v>2709</v>
      </c>
      <c r="B597" s="77"/>
      <c r="C597" s="78"/>
      <c r="D597" s="78"/>
      <c r="E597" s="78"/>
    </row>
    <row r="598" spans="1:5">
      <c r="A598" s="76" t="s">
        <v>2619</v>
      </c>
      <c r="B598" s="77"/>
      <c r="C598" s="78"/>
      <c r="D598" s="78"/>
      <c r="E598" s="78"/>
    </row>
    <row r="599" spans="1:5">
      <c r="A599" s="76"/>
      <c r="B599" s="77"/>
      <c r="C599" s="78"/>
      <c r="D599" s="78"/>
      <c r="E599" s="78"/>
    </row>
    <row r="600" spans="1:5">
      <c r="A600" s="76" t="s">
        <v>2543</v>
      </c>
      <c r="B600" s="77" t="s">
        <v>135</v>
      </c>
      <c r="C600" s="78" t="s">
        <v>136</v>
      </c>
      <c r="D600" s="78" t="s">
        <v>2534</v>
      </c>
      <c r="E600" s="78" t="s">
        <v>2535</v>
      </c>
    </row>
    <row r="601" spans="1:5">
      <c r="A601" s="76" t="s">
        <v>2621</v>
      </c>
      <c r="B601" s="77" t="s">
        <v>839</v>
      </c>
      <c r="C601" s="78">
        <v>0.7866</v>
      </c>
      <c r="D601" s="78">
        <v>23.75</v>
      </c>
      <c r="E601" s="78">
        <f>TRUNC(C601*D601,2)</f>
        <v>18.68</v>
      </c>
    </row>
    <row r="602" ht="38.25" spans="1:5">
      <c r="A602" s="76" t="s">
        <v>2644</v>
      </c>
      <c r="B602" s="77" t="s">
        <v>977</v>
      </c>
      <c r="C602" s="78">
        <v>0.0054</v>
      </c>
      <c r="D602" s="78">
        <v>317.85</v>
      </c>
      <c r="E602" s="78">
        <f>TRUNC(C602*D602,2)</f>
        <v>1.71</v>
      </c>
    </row>
    <row r="603" ht="25.5" spans="1:5">
      <c r="A603" s="76" t="s">
        <v>2645</v>
      </c>
      <c r="B603" s="77" t="s">
        <v>977</v>
      </c>
      <c r="C603" s="78">
        <v>0.1962</v>
      </c>
      <c r="D603" s="78">
        <v>34.3</v>
      </c>
      <c r="E603" s="78">
        <f>TRUNC(C603*D603,2)</f>
        <v>6.72</v>
      </c>
    </row>
    <row r="604" ht="38.25" spans="1:5">
      <c r="A604" s="76" t="s">
        <v>2647</v>
      </c>
      <c r="B604" s="77" t="s">
        <v>979</v>
      </c>
      <c r="C604" s="78">
        <v>0.0006</v>
      </c>
      <c r="D604" s="78">
        <v>75.08</v>
      </c>
      <c r="E604" s="78">
        <f>TRUNC(C604*D604,2)</f>
        <v>0.04</v>
      </c>
    </row>
    <row r="605" spans="1:5">
      <c r="A605" s="76" t="s">
        <v>122</v>
      </c>
      <c r="B605" s="77"/>
      <c r="C605" s="78"/>
      <c r="D605" s="78"/>
      <c r="E605" s="78">
        <f>SUM(E601:E604)</f>
        <v>27.15</v>
      </c>
    </row>
    <row r="606" spans="1:5">
      <c r="A606" s="76"/>
      <c r="B606" s="77"/>
      <c r="C606" s="78"/>
      <c r="D606" s="78"/>
      <c r="E606" s="78"/>
    </row>
    <row r="607" spans="1:5">
      <c r="A607" s="76" t="s">
        <v>2538</v>
      </c>
      <c r="B607" s="77"/>
      <c r="C607" s="78"/>
      <c r="D607" s="78"/>
      <c r="E607" s="78">
        <f>E605</f>
        <v>27.15</v>
      </c>
    </row>
    <row r="608" spans="1:5">
      <c r="A608" s="76" t="s">
        <v>2539</v>
      </c>
      <c r="B608" s="77"/>
      <c r="C608" s="78"/>
      <c r="D608" s="78">
        <v>0</v>
      </c>
      <c r="E608" s="78">
        <f>TRUNC(D608*E607/100,2)</f>
        <v>0</v>
      </c>
    </row>
    <row r="609" spans="1:5">
      <c r="A609" s="76" t="s">
        <v>2540</v>
      </c>
      <c r="B609" s="77"/>
      <c r="C609" s="78"/>
      <c r="D609" s="78"/>
      <c r="E609" s="78">
        <f>E607+E608</f>
        <v>27.15</v>
      </c>
    </row>
    <row r="610" spans="1:5">
      <c r="A610" s="76"/>
      <c r="B610" s="77"/>
      <c r="C610" s="78"/>
      <c r="D610" s="78"/>
      <c r="E610" s="78"/>
    </row>
    <row r="611" spans="1:5">
      <c r="A611" s="76" t="s">
        <v>2710</v>
      </c>
      <c r="B611" s="77" t="s">
        <v>794</v>
      </c>
      <c r="C611" s="78"/>
      <c r="D611" s="78"/>
      <c r="E611" s="78"/>
    </row>
    <row r="612" ht="51" spans="1:5">
      <c r="A612" s="76" t="s">
        <v>2711</v>
      </c>
      <c r="B612" s="77"/>
      <c r="C612" s="78"/>
      <c r="D612" s="78"/>
      <c r="E612" s="78"/>
    </row>
    <row r="613" spans="1:5">
      <c r="A613" s="76" t="s">
        <v>2619</v>
      </c>
      <c r="B613" s="77"/>
      <c r="C613" s="78"/>
      <c r="D613" s="78"/>
      <c r="E613" s="78"/>
    </row>
    <row r="614" spans="1:5">
      <c r="A614" s="76"/>
      <c r="B614" s="77"/>
      <c r="C614" s="78"/>
      <c r="D614" s="78"/>
      <c r="E614" s="78"/>
    </row>
    <row r="615" spans="1:5">
      <c r="A615" s="76" t="s">
        <v>2543</v>
      </c>
      <c r="B615" s="77" t="s">
        <v>135</v>
      </c>
      <c r="C615" s="78" t="s">
        <v>136</v>
      </c>
      <c r="D615" s="78" t="s">
        <v>2534</v>
      </c>
      <c r="E615" s="78" t="s">
        <v>2535</v>
      </c>
    </row>
    <row r="616" spans="1:5">
      <c r="A616" s="76" t="s">
        <v>2621</v>
      </c>
      <c r="B616" s="77" t="s">
        <v>839</v>
      </c>
      <c r="C616" s="78">
        <v>0.0273</v>
      </c>
      <c r="D616" s="78">
        <v>23.75</v>
      </c>
      <c r="E616" s="78">
        <f t="shared" ref="E616:E621" si="12">TRUNC(C616*D616,2)</f>
        <v>0.64</v>
      </c>
    </row>
    <row r="617" ht="25.5" spans="1:5">
      <c r="A617" s="76" t="s">
        <v>2643</v>
      </c>
      <c r="B617" s="77" t="s">
        <v>977</v>
      </c>
      <c r="C617" s="78">
        <v>0.02</v>
      </c>
      <c r="D617" s="78">
        <v>213.48</v>
      </c>
      <c r="E617" s="78">
        <f t="shared" si="12"/>
        <v>4.26</v>
      </c>
    </row>
    <row r="618" ht="38.25" spans="1:5">
      <c r="A618" s="76" t="s">
        <v>2644</v>
      </c>
      <c r="B618" s="77" t="s">
        <v>977</v>
      </c>
      <c r="C618" s="78">
        <v>0.0054</v>
      </c>
      <c r="D618" s="78">
        <v>317.85</v>
      </c>
      <c r="E618" s="78">
        <f t="shared" si="12"/>
        <v>1.71</v>
      </c>
    </row>
    <row r="619" ht="25.5" spans="1:5">
      <c r="A619" s="76" t="s">
        <v>2645</v>
      </c>
      <c r="B619" s="77" t="s">
        <v>977</v>
      </c>
      <c r="C619" s="78">
        <v>0.1243</v>
      </c>
      <c r="D619" s="78">
        <v>34.3</v>
      </c>
      <c r="E619" s="78">
        <f t="shared" si="12"/>
        <v>4.26</v>
      </c>
    </row>
    <row r="620" ht="25.5" spans="1:5">
      <c r="A620" s="76" t="s">
        <v>2646</v>
      </c>
      <c r="B620" s="77" t="s">
        <v>979</v>
      </c>
      <c r="C620" s="78">
        <v>0.0289</v>
      </c>
      <c r="D620" s="78">
        <v>90.12</v>
      </c>
      <c r="E620" s="78">
        <f t="shared" si="12"/>
        <v>2.6</v>
      </c>
    </row>
    <row r="621" ht="38.25" spans="1:5">
      <c r="A621" s="76" t="s">
        <v>2647</v>
      </c>
      <c r="B621" s="77" t="s">
        <v>979</v>
      </c>
      <c r="C621" s="78">
        <v>0.0006</v>
      </c>
      <c r="D621" s="78">
        <v>75.08</v>
      </c>
      <c r="E621" s="78">
        <f t="shared" si="12"/>
        <v>0.04</v>
      </c>
    </row>
    <row r="622" spans="1:5">
      <c r="A622" s="76" t="s">
        <v>122</v>
      </c>
      <c r="B622" s="77"/>
      <c r="C622" s="78"/>
      <c r="D622" s="78"/>
      <c r="E622" s="78">
        <f>SUM(E616:E621)</f>
        <v>13.51</v>
      </c>
    </row>
    <row r="623" spans="1:5">
      <c r="A623" s="76"/>
      <c r="B623" s="77"/>
      <c r="C623" s="78"/>
      <c r="D623" s="78"/>
      <c r="E623" s="78"/>
    </row>
    <row r="624" spans="1:5">
      <c r="A624" s="76" t="s">
        <v>2538</v>
      </c>
      <c r="B624" s="77"/>
      <c r="C624" s="78"/>
      <c r="D624" s="78"/>
      <c r="E624" s="78">
        <f>E622</f>
        <v>13.51</v>
      </c>
    </row>
    <row r="625" spans="1:5">
      <c r="A625" s="76" t="s">
        <v>2539</v>
      </c>
      <c r="B625" s="77"/>
      <c r="C625" s="78"/>
      <c r="D625" s="78">
        <v>0</v>
      </c>
      <c r="E625" s="78">
        <f>TRUNC(D625*E624/100,2)</f>
        <v>0</v>
      </c>
    </row>
    <row r="626" spans="1:5">
      <c r="A626" s="76" t="s">
        <v>2540</v>
      </c>
      <c r="B626" s="77"/>
      <c r="C626" s="78"/>
      <c r="D626" s="78"/>
      <c r="E626" s="78">
        <f>E624+E625</f>
        <v>13.51</v>
      </c>
    </row>
    <row r="627" spans="1:5">
      <c r="A627" s="76"/>
      <c r="B627" s="77"/>
      <c r="C627" s="78"/>
      <c r="D627" s="78"/>
      <c r="E627" s="78"/>
    </row>
    <row r="628" spans="1:5">
      <c r="A628" s="76" t="s">
        <v>2712</v>
      </c>
      <c r="B628" s="77" t="s">
        <v>796</v>
      </c>
      <c r="C628" s="78"/>
      <c r="D628" s="78"/>
      <c r="E628" s="78"/>
    </row>
    <row r="629" ht="51" spans="1:5">
      <c r="A629" s="76" t="s">
        <v>2713</v>
      </c>
      <c r="B629" s="77"/>
      <c r="C629" s="78"/>
      <c r="D629" s="78"/>
      <c r="E629" s="78"/>
    </row>
    <row r="630" spans="1:5">
      <c r="A630" s="76" t="s">
        <v>2619</v>
      </c>
      <c r="B630" s="77"/>
      <c r="C630" s="78"/>
      <c r="D630" s="78"/>
      <c r="E630" s="78"/>
    </row>
    <row r="631" spans="1:5">
      <c r="A631" s="76"/>
      <c r="B631" s="77"/>
      <c r="C631" s="78"/>
      <c r="D631" s="78"/>
      <c r="E631" s="78"/>
    </row>
    <row r="632" spans="1:5">
      <c r="A632" s="76" t="s">
        <v>2543</v>
      </c>
      <c r="B632" s="77" t="s">
        <v>135</v>
      </c>
      <c r="C632" s="78" t="s">
        <v>136</v>
      </c>
      <c r="D632" s="78" t="s">
        <v>2534</v>
      </c>
      <c r="E632" s="78" t="s">
        <v>2535</v>
      </c>
    </row>
    <row r="633" spans="1:5">
      <c r="A633" s="76" t="s">
        <v>2621</v>
      </c>
      <c r="B633" s="77" t="s">
        <v>839</v>
      </c>
      <c r="C633" s="78">
        <v>0.0507</v>
      </c>
      <c r="D633" s="78">
        <v>23.75</v>
      </c>
      <c r="E633" s="78">
        <f t="shared" ref="E633:E638" si="13">TRUNC(C633*D633,2)</f>
        <v>1.2</v>
      </c>
    </row>
    <row r="634" ht="25.5" spans="1:5">
      <c r="A634" s="76" t="s">
        <v>2643</v>
      </c>
      <c r="B634" s="77" t="s">
        <v>977</v>
      </c>
      <c r="C634" s="78">
        <v>0.0372</v>
      </c>
      <c r="D634" s="78">
        <v>213.48</v>
      </c>
      <c r="E634" s="78">
        <f t="shared" si="13"/>
        <v>7.94</v>
      </c>
    </row>
    <row r="635" ht="38.25" spans="1:5">
      <c r="A635" s="76" t="s">
        <v>2644</v>
      </c>
      <c r="B635" s="77" t="s">
        <v>977</v>
      </c>
      <c r="C635" s="78">
        <v>0.0054</v>
      </c>
      <c r="D635" s="78">
        <v>317.85</v>
      </c>
      <c r="E635" s="78">
        <f t="shared" si="13"/>
        <v>1.71</v>
      </c>
    </row>
    <row r="636" ht="25.5" spans="1:5">
      <c r="A636" s="76" t="s">
        <v>2645</v>
      </c>
      <c r="B636" s="77" t="s">
        <v>977</v>
      </c>
      <c r="C636" s="78">
        <v>0.1285</v>
      </c>
      <c r="D636" s="78">
        <v>34.3</v>
      </c>
      <c r="E636" s="78">
        <f t="shared" si="13"/>
        <v>4.4</v>
      </c>
    </row>
    <row r="637" ht="25.5" spans="1:5">
      <c r="A637" s="76" t="s">
        <v>2646</v>
      </c>
      <c r="B637" s="77" t="s">
        <v>979</v>
      </c>
      <c r="C637" s="78">
        <v>0.0537</v>
      </c>
      <c r="D637" s="78">
        <v>90.12</v>
      </c>
      <c r="E637" s="78">
        <f t="shared" si="13"/>
        <v>4.83</v>
      </c>
    </row>
    <row r="638" ht="38.25" spans="1:5">
      <c r="A638" s="76" t="s">
        <v>2647</v>
      </c>
      <c r="B638" s="77" t="s">
        <v>979</v>
      </c>
      <c r="C638" s="78">
        <v>0.0006</v>
      </c>
      <c r="D638" s="78">
        <v>75.08</v>
      </c>
      <c r="E638" s="78">
        <f t="shared" si="13"/>
        <v>0.04</v>
      </c>
    </row>
    <row r="639" spans="1:5">
      <c r="A639" s="76" t="s">
        <v>122</v>
      </c>
      <c r="B639" s="77"/>
      <c r="C639" s="78"/>
      <c r="D639" s="78"/>
      <c r="E639" s="78">
        <f>SUM(E633:E638)</f>
        <v>20.12</v>
      </c>
    </row>
    <row r="640" spans="1:5">
      <c r="A640" s="76"/>
      <c r="B640" s="77"/>
      <c r="C640" s="78"/>
      <c r="D640" s="78"/>
      <c r="E640" s="78"/>
    </row>
    <row r="641" spans="1:5">
      <c r="A641" s="76" t="s">
        <v>2538</v>
      </c>
      <c r="B641" s="77"/>
      <c r="C641" s="78"/>
      <c r="D641" s="78"/>
      <c r="E641" s="78">
        <f>E639</f>
        <v>20.12</v>
      </c>
    </row>
    <row r="642" spans="1:5">
      <c r="A642" s="76" t="s">
        <v>2539</v>
      </c>
      <c r="B642" s="77"/>
      <c r="C642" s="78"/>
      <c r="D642" s="78">
        <v>0</v>
      </c>
      <c r="E642" s="78">
        <f>TRUNC(D642*E641/100,2)</f>
        <v>0</v>
      </c>
    </row>
    <row r="643" spans="1:5">
      <c r="A643" s="76" t="s">
        <v>2540</v>
      </c>
      <c r="B643" s="77"/>
      <c r="C643" s="78"/>
      <c r="D643" s="78"/>
      <c r="E643" s="78">
        <f>E641+E642</f>
        <v>20.12</v>
      </c>
    </row>
    <row r="644" spans="1:5">
      <c r="A644" s="76"/>
      <c r="B644" s="77"/>
      <c r="C644" s="78"/>
      <c r="D644" s="78"/>
      <c r="E644" s="78"/>
    </row>
    <row r="645" spans="1:5">
      <c r="A645" s="76" t="s">
        <v>2714</v>
      </c>
      <c r="B645" s="77" t="s">
        <v>798</v>
      </c>
      <c r="C645" s="78"/>
      <c r="D645" s="78"/>
      <c r="E645" s="78"/>
    </row>
    <row r="646" ht="51" spans="1:5">
      <c r="A646" s="76" t="s">
        <v>2715</v>
      </c>
      <c r="B646" s="77"/>
      <c r="C646" s="78"/>
      <c r="D646" s="78"/>
      <c r="E646" s="78"/>
    </row>
    <row r="647" spans="1:5">
      <c r="A647" s="76" t="s">
        <v>2619</v>
      </c>
      <c r="B647" s="77"/>
      <c r="C647" s="78"/>
      <c r="D647" s="78"/>
      <c r="E647" s="78"/>
    </row>
    <row r="648" spans="1:5">
      <c r="A648" s="76"/>
      <c r="B648" s="77"/>
      <c r="C648" s="78"/>
      <c r="D648" s="78"/>
      <c r="E648" s="78"/>
    </row>
    <row r="649" spans="1:5">
      <c r="A649" s="76" t="s">
        <v>2543</v>
      </c>
      <c r="B649" s="77" t="s">
        <v>135</v>
      </c>
      <c r="C649" s="78" t="s">
        <v>136</v>
      </c>
      <c r="D649" s="78" t="s">
        <v>2534</v>
      </c>
      <c r="E649" s="78" t="s">
        <v>2535</v>
      </c>
    </row>
    <row r="650" spans="1:5">
      <c r="A650" s="76" t="s">
        <v>2621</v>
      </c>
      <c r="B650" s="77" t="s">
        <v>839</v>
      </c>
      <c r="C650" s="78">
        <v>0.0356</v>
      </c>
      <c r="D650" s="78">
        <v>23.75</v>
      </c>
      <c r="E650" s="78">
        <f t="shared" ref="E650:E655" si="14">TRUNC(C650*D650,2)</f>
        <v>0.84</v>
      </c>
    </row>
    <row r="651" ht="25.5" spans="1:5">
      <c r="A651" s="76" t="s">
        <v>2643</v>
      </c>
      <c r="B651" s="77" t="s">
        <v>977</v>
      </c>
      <c r="C651" s="78">
        <v>0.0261</v>
      </c>
      <c r="D651" s="78">
        <v>213.48</v>
      </c>
      <c r="E651" s="78">
        <f t="shared" si="14"/>
        <v>5.57</v>
      </c>
    </row>
    <row r="652" ht="38.25" spans="1:5">
      <c r="A652" s="76" t="s">
        <v>2644</v>
      </c>
      <c r="B652" s="77" t="s">
        <v>977</v>
      </c>
      <c r="C652" s="78">
        <v>0.0054</v>
      </c>
      <c r="D652" s="78">
        <v>317.85</v>
      </c>
      <c r="E652" s="78">
        <f t="shared" si="14"/>
        <v>1.71</v>
      </c>
    </row>
    <row r="653" ht="25.5" spans="1:5">
      <c r="A653" s="76" t="s">
        <v>2645</v>
      </c>
      <c r="B653" s="77" t="s">
        <v>977</v>
      </c>
      <c r="C653" s="78">
        <v>0.1249</v>
      </c>
      <c r="D653" s="78">
        <v>34.3</v>
      </c>
      <c r="E653" s="78">
        <f t="shared" si="14"/>
        <v>4.28</v>
      </c>
    </row>
    <row r="654" ht="25.5" spans="1:5">
      <c r="A654" s="76" t="s">
        <v>2646</v>
      </c>
      <c r="B654" s="77" t="s">
        <v>979</v>
      </c>
      <c r="C654" s="78">
        <v>0.0377</v>
      </c>
      <c r="D654" s="78">
        <v>90.12</v>
      </c>
      <c r="E654" s="78">
        <f t="shared" si="14"/>
        <v>3.39</v>
      </c>
    </row>
    <row r="655" ht="38.25" spans="1:5">
      <c r="A655" s="76" t="s">
        <v>2647</v>
      </c>
      <c r="B655" s="77" t="s">
        <v>979</v>
      </c>
      <c r="C655" s="78">
        <v>0.0006</v>
      </c>
      <c r="D655" s="78">
        <v>75.08</v>
      </c>
      <c r="E655" s="78">
        <f t="shared" si="14"/>
        <v>0.04</v>
      </c>
    </row>
    <row r="656" spans="1:5">
      <c r="A656" s="76" t="s">
        <v>122</v>
      </c>
      <c r="B656" s="77"/>
      <c r="C656" s="78"/>
      <c r="D656" s="78"/>
      <c r="E656" s="78">
        <f>SUM(E650:E655)</f>
        <v>15.83</v>
      </c>
    </row>
    <row r="657" spans="1:5">
      <c r="A657" s="76"/>
      <c r="B657" s="77"/>
      <c r="C657" s="78"/>
      <c r="D657" s="78"/>
      <c r="E657" s="78"/>
    </row>
    <row r="658" spans="1:5">
      <c r="A658" s="76" t="s">
        <v>2538</v>
      </c>
      <c r="B658" s="77"/>
      <c r="C658" s="78"/>
      <c r="D658" s="78"/>
      <c r="E658" s="78">
        <f>E656</f>
        <v>15.83</v>
      </c>
    </row>
    <row r="659" spans="1:5">
      <c r="A659" s="76" t="s">
        <v>2539</v>
      </c>
      <c r="B659" s="77"/>
      <c r="C659" s="78"/>
      <c r="D659" s="78">
        <v>0</v>
      </c>
      <c r="E659" s="78">
        <f>TRUNC(D659*E658/100,2)</f>
        <v>0</v>
      </c>
    </row>
    <row r="660" spans="1:5">
      <c r="A660" s="76" t="s">
        <v>2540</v>
      </c>
      <c r="B660" s="77"/>
      <c r="C660" s="78"/>
      <c r="D660" s="78"/>
      <c r="E660" s="78">
        <f>E658+E659</f>
        <v>15.83</v>
      </c>
    </row>
    <row r="661" spans="1:5">
      <c r="A661" s="76"/>
      <c r="B661" s="77"/>
      <c r="C661" s="78"/>
      <c r="D661" s="78"/>
      <c r="E661" s="78"/>
    </row>
    <row r="662" spans="1:5">
      <c r="A662" s="76" t="s">
        <v>2716</v>
      </c>
      <c r="B662" s="77" t="s">
        <v>800</v>
      </c>
      <c r="C662" s="78"/>
      <c r="D662" s="78"/>
      <c r="E662" s="78"/>
    </row>
    <row r="663" ht="51" spans="1:5">
      <c r="A663" s="76" t="s">
        <v>2717</v>
      </c>
      <c r="B663" s="77"/>
      <c r="C663" s="78"/>
      <c r="D663" s="78"/>
      <c r="E663" s="78"/>
    </row>
    <row r="664" spans="1:5">
      <c r="A664" s="76" t="s">
        <v>2619</v>
      </c>
      <c r="B664" s="77"/>
      <c r="C664" s="78"/>
      <c r="D664" s="78"/>
      <c r="E664" s="78"/>
    </row>
    <row r="665" spans="1:5">
      <c r="A665" s="76"/>
      <c r="B665" s="77"/>
      <c r="C665" s="78"/>
      <c r="D665" s="78"/>
      <c r="E665" s="78"/>
    </row>
    <row r="666" spans="1:5">
      <c r="A666" s="76" t="s">
        <v>2543</v>
      </c>
      <c r="B666" s="77" t="s">
        <v>135</v>
      </c>
      <c r="C666" s="78" t="s">
        <v>136</v>
      </c>
      <c r="D666" s="78" t="s">
        <v>2534</v>
      </c>
      <c r="E666" s="78" t="s">
        <v>2535</v>
      </c>
    </row>
    <row r="667" spans="1:5">
      <c r="A667" s="76" t="s">
        <v>2621</v>
      </c>
      <c r="B667" s="77" t="s">
        <v>839</v>
      </c>
      <c r="C667" s="78">
        <v>0.0605</v>
      </c>
      <c r="D667" s="78">
        <v>23.75</v>
      </c>
      <c r="E667" s="78">
        <f t="shared" ref="E667:E672" si="15">TRUNC(C667*D667,2)</f>
        <v>1.43</v>
      </c>
    </row>
    <row r="668" ht="25.5" spans="1:5">
      <c r="A668" s="76" t="s">
        <v>2643</v>
      </c>
      <c r="B668" s="77" t="s">
        <v>977</v>
      </c>
      <c r="C668" s="78">
        <v>0.0444</v>
      </c>
      <c r="D668" s="78">
        <v>213.48</v>
      </c>
      <c r="E668" s="78">
        <f t="shared" si="15"/>
        <v>9.47</v>
      </c>
    </row>
    <row r="669" ht="38.25" spans="1:5">
      <c r="A669" s="76" t="s">
        <v>2644</v>
      </c>
      <c r="B669" s="77" t="s">
        <v>977</v>
      </c>
      <c r="C669" s="78">
        <v>0.0054</v>
      </c>
      <c r="D669" s="78">
        <v>317.85</v>
      </c>
      <c r="E669" s="78">
        <f t="shared" si="15"/>
        <v>1.71</v>
      </c>
    </row>
    <row r="670" ht="25.5" spans="1:5">
      <c r="A670" s="76" t="s">
        <v>2645</v>
      </c>
      <c r="B670" s="77" t="s">
        <v>977</v>
      </c>
      <c r="C670" s="78">
        <v>0.1339</v>
      </c>
      <c r="D670" s="78">
        <v>34.3</v>
      </c>
      <c r="E670" s="78">
        <f t="shared" si="15"/>
        <v>4.59</v>
      </c>
    </row>
    <row r="671" ht="25.5" spans="1:5">
      <c r="A671" s="76" t="s">
        <v>2646</v>
      </c>
      <c r="B671" s="77" t="s">
        <v>979</v>
      </c>
      <c r="C671" s="78">
        <v>0.0641</v>
      </c>
      <c r="D671" s="78">
        <v>90.12</v>
      </c>
      <c r="E671" s="78">
        <f t="shared" si="15"/>
        <v>5.77</v>
      </c>
    </row>
    <row r="672" ht="38.25" spans="1:5">
      <c r="A672" s="76" t="s">
        <v>2647</v>
      </c>
      <c r="B672" s="77" t="s">
        <v>979</v>
      </c>
      <c r="C672" s="78">
        <v>0.0006</v>
      </c>
      <c r="D672" s="78">
        <v>75.08</v>
      </c>
      <c r="E672" s="78">
        <f t="shared" si="15"/>
        <v>0.04</v>
      </c>
    </row>
    <row r="673" spans="1:5">
      <c r="A673" s="76" t="s">
        <v>122</v>
      </c>
      <c r="B673" s="77"/>
      <c r="C673" s="78"/>
      <c r="D673" s="78"/>
      <c r="E673" s="78">
        <f>SUM(E667:E672)</f>
        <v>23.01</v>
      </c>
    </row>
    <row r="674" spans="1:5">
      <c r="A674" s="76"/>
      <c r="B674" s="77"/>
      <c r="C674" s="78"/>
      <c r="D674" s="78"/>
      <c r="E674" s="78"/>
    </row>
    <row r="675" spans="1:5">
      <c r="A675" s="76" t="s">
        <v>2538</v>
      </c>
      <c r="B675" s="77"/>
      <c r="C675" s="78"/>
      <c r="D675" s="78"/>
      <c r="E675" s="78">
        <f>E673</f>
        <v>23.01</v>
      </c>
    </row>
    <row r="676" spans="1:5">
      <c r="A676" s="76" t="s">
        <v>2539</v>
      </c>
      <c r="B676" s="77"/>
      <c r="C676" s="78"/>
      <c r="D676" s="78">
        <v>0</v>
      </c>
      <c r="E676" s="78">
        <f>TRUNC(D676*E675/100,2)</f>
        <v>0</v>
      </c>
    </row>
    <row r="677" spans="1:5">
      <c r="A677" s="76" t="s">
        <v>2540</v>
      </c>
      <c r="B677" s="77"/>
      <c r="C677" s="78"/>
      <c r="D677" s="78"/>
      <c r="E677" s="78">
        <f>E675+E676</f>
        <v>23.01</v>
      </c>
    </row>
    <row r="678" spans="1:5">
      <c r="A678" s="76"/>
      <c r="B678" s="77"/>
      <c r="C678" s="78"/>
      <c r="D678" s="78"/>
      <c r="E678" s="78"/>
    </row>
    <row r="679" spans="1:5">
      <c r="A679" s="76" t="s">
        <v>2718</v>
      </c>
      <c r="B679" s="77" t="s">
        <v>802</v>
      </c>
      <c r="C679" s="78"/>
      <c r="D679" s="78"/>
      <c r="E679" s="78"/>
    </row>
    <row r="680" ht="51" spans="1:5">
      <c r="A680" s="76" t="s">
        <v>2719</v>
      </c>
      <c r="B680" s="77"/>
      <c r="C680" s="78"/>
      <c r="D680" s="78"/>
      <c r="E680" s="78"/>
    </row>
    <row r="681" spans="1:5">
      <c r="A681" s="76" t="s">
        <v>2619</v>
      </c>
      <c r="B681" s="77"/>
      <c r="C681" s="78"/>
      <c r="D681" s="78"/>
      <c r="E681" s="78"/>
    </row>
    <row r="682" spans="1:5">
      <c r="A682" s="76"/>
      <c r="B682" s="77"/>
      <c r="C682" s="78"/>
      <c r="D682" s="78"/>
      <c r="E682" s="78"/>
    </row>
    <row r="683" spans="1:5">
      <c r="A683" s="76" t="s">
        <v>2543</v>
      </c>
      <c r="B683" s="77" t="s">
        <v>135</v>
      </c>
      <c r="C683" s="78" t="s">
        <v>136</v>
      </c>
      <c r="D683" s="78" t="s">
        <v>2534</v>
      </c>
      <c r="E683" s="78" t="s">
        <v>2535</v>
      </c>
    </row>
    <row r="684" spans="1:5">
      <c r="A684" s="76" t="s">
        <v>2621</v>
      </c>
      <c r="B684" s="77" t="s">
        <v>839</v>
      </c>
      <c r="C684" s="78">
        <v>0.0303</v>
      </c>
      <c r="D684" s="78">
        <v>23.75</v>
      </c>
      <c r="E684" s="78">
        <f t="shared" ref="E684:E689" si="16">TRUNC(C684*D684,2)</f>
        <v>0.71</v>
      </c>
    </row>
    <row r="685" ht="51" spans="1:5">
      <c r="A685" s="76" t="s">
        <v>2720</v>
      </c>
      <c r="B685" s="77" t="s">
        <v>977</v>
      </c>
      <c r="C685" s="78">
        <v>0.0222</v>
      </c>
      <c r="D685" s="78">
        <v>146.19</v>
      </c>
      <c r="E685" s="78">
        <f t="shared" si="16"/>
        <v>3.24</v>
      </c>
    </row>
    <row r="686" ht="38.25" spans="1:5">
      <c r="A686" s="76" t="s">
        <v>2644</v>
      </c>
      <c r="B686" s="77" t="s">
        <v>977</v>
      </c>
      <c r="C686" s="78">
        <v>0.0054</v>
      </c>
      <c r="D686" s="78">
        <v>317.85</v>
      </c>
      <c r="E686" s="78">
        <f t="shared" si="16"/>
        <v>1.71</v>
      </c>
    </row>
    <row r="687" ht="25.5" spans="1:5">
      <c r="A687" s="76" t="s">
        <v>2645</v>
      </c>
      <c r="B687" s="77" t="s">
        <v>977</v>
      </c>
      <c r="C687" s="78">
        <v>0.1285</v>
      </c>
      <c r="D687" s="78">
        <v>34.3</v>
      </c>
      <c r="E687" s="78">
        <f t="shared" si="16"/>
        <v>4.4</v>
      </c>
    </row>
    <row r="688" ht="51" spans="1:5">
      <c r="A688" s="76" t="s">
        <v>2721</v>
      </c>
      <c r="B688" s="77" t="s">
        <v>979</v>
      </c>
      <c r="C688" s="78">
        <v>0.0321</v>
      </c>
      <c r="D688" s="78">
        <v>62.96</v>
      </c>
      <c r="E688" s="78">
        <f t="shared" si="16"/>
        <v>2.02</v>
      </c>
    </row>
    <row r="689" ht="38.25" spans="1:5">
      <c r="A689" s="76" t="s">
        <v>2647</v>
      </c>
      <c r="B689" s="77" t="s">
        <v>979</v>
      </c>
      <c r="C689" s="78">
        <v>0.0006</v>
      </c>
      <c r="D689" s="78">
        <v>75.08</v>
      </c>
      <c r="E689" s="78">
        <f t="shared" si="16"/>
        <v>0.04</v>
      </c>
    </row>
    <row r="690" spans="1:5">
      <c r="A690" s="76" t="s">
        <v>122</v>
      </c>
      <c r="B690" s="77"/>
      <c r="C690" s="78"/>
      <c r="D690" s="78"/>
      <c r="E690" s="78">
        <f>SUM(E684:E689)</f>
        <v>12.12</v>
      </c>
    </row>
    <row r="691" spans="1:5">
      <c r="A691" s="76"/>
      <c r="B691" s="77"/>
      <c r="C691" s="78"/>
      <c r="D691" s="78"/>
      <c r="E691" s="78"/>
    </row>
    <row r="692" spans="1:5">
      <c r="A692" s="76" t="s">
        <v>2538</v>
      </c>
      <c r="B692" s="77"/>
      <c r="C692" s="78"/>
      <c r="D692" s="78"/>
      <c r="E692" s="78">
        <f>E690</f>
        <v>12.12</v>
      </c>
    </row>
    <row r="693" spans="1:5">
      <c r="A693" s="76" t="s">
        <v>2539</v>
      </c>
      <c r="B693" s="77"/>
      <c r="C693" s="78"/>
      <c r="D693" s="78">
        <v>0</v>
      </c>
      <c r="E693" s="78">
        <f>TRUNC(D693*E692/100,2)</f>
        <v>0</v>
      </c>
    </row>
    <row r="694" spans="1:5">
      <c r="A694" s="76" t="s">
        <v>2540</v>
      </c>
      <c r="B694" s="77"/>
      <c r="C694" s="78"/>
      <c r="D694" s="78"/>
      <c r="E694" s="78">
        <f>E692+E693</f>
        <v>12.12</v>
      </c>
    </row>
    <row r="695" spans="1:5">
      <c r="A695" s="76"/>
      <c r="B695" s="77"/>
      <c r="C695" s="78"/>
      <c r="D695" s="78"/>
      <c r="E695" s="78"/>
    </row>
    <row r="696" spans="1:5">
      <c r="A696" s="76" t="s">
        <v>2722</v>
      </c>
      <c r="B696" s="77" t="s">
        <v>804</v>
      </c>
      <c r="C696" s="78"/>
      <c r="D696" s="78"/>
      <c r="E696" s="78"/>
    </row>
    <row r="697" ht="25.5" spans="1:5">
      <c r="A697" s="76" t="s">
        <v>2723</v>
      </c>
      <c r="B697" s="77"/>
      <c r="C697" s="78"/>
      <c r="D697" s="78"/>
      <c r="E697" s="78"/>
    </row>
    <row r="698" spans="1:5">
      <c r="A698" s="76" t="s">
        <v>2724</v>
      </c>
      <c r="B698" s="77"/>
      <c r="C698" s="78"/>
      <c r="D698" s="78"/>
      <c r="E698" s="78"/>
    </row>
    <row r="699" spans="1:5">
      <c r="A699" s="76"/>
      <c r="B699" s="77"/>
      <c r="C699" s="78"/>
      <c r="D699" s="78"/>
      <c r="E699" s="78"/>
    </row>
    <row r="700" spans="1:5">
      <c r="A700" s="76" t="s">
        <v>2543</v>
      </c>
      <c r="B700" s="77" t="s">
        <v>135</v>
      </c>
      <c r="C700" s="78" t="s">
        <v>136</v>
      </c>
      <c r="D700" s="78" t="s">
        <v>2534</v>
      </c>
      <c r="E700" s="78" t="s">
        <v>2535</v>
      </c>
    </row>
    <row r="701" ht="38.25" spans="1:5">
      <c r="A701" s="76" t="s">
        <v>2660</v>
      </c>
      <c r="B701" s="77" t="s">
        <v>977</v>
      </c>
      <c r="C701" s="78">
        <v>0.0024</v>
      </c>
      <c r="D701" s="78">
        <v>334.12</v>
      </c>
      <c r="E701" s="78">
        <f>TRUNC(C701*D701,2)</f>
        <v>0.8</v>
      </c>
    </row>
    <row r="702" ht="38.25" spans="1:5">
      <c r="A702" s="76" t="s">
        <v>2661</v>
      </c>
      <c r="B702" s="77" t="s">
        <v>979</v>
      </c>
      <c r="C702" s="78">
        <v>0.001</v>
      </c>
      <c r="D702" s="78">
        <v>90.65</v>
      </c>
      <c r="E702" s="78">
        <f>TRUNC(C702*D702,2)</f>
        <v>0.09</v>
      </c>
    </row>
    <row r="703" spans="1:5">
      <c r="A703" s="76" t="s">
        <v>122</v>
      </c>
      <c r="B703" s="77"/>
      <c r="C703" s="78"/>
      <c r="D703" s="78"/>
      <c r="E703" s="78">
        <f>SUM(E701:E702)</f>
        <v>0.89</v>
      </c>
    </row>
    <row r="704" spans="1:5">
      <c r="A704" s="76"/>
      <c r="B704" s="77"/>
      <c r="C704" s="78"/>
      <c r="D704" s="78"/>
      <c r="E704" s="78"/>
    </row>
    <row r="705" spans="1:5">
      <c r="A705" s="76" t="s">
        <v>2538</v>
      </c>
      <c r="B705" s="77"/>
      <c r="C705" s="78"/>
      <c r="D705" s="78"/>
      <c r="E705" s="78">
        <f>E703</f>
        <v>0.89</v>
      </c>
    </row>
    <row r="706" spans="1:5">
      <c r="A706" s="76" t="s">
        <v>2539</v>
      </c>
      <c r="B706" s="77"/>
      <c r="C706" s="78"/>
      <c r="D706" s="78">
        <v>0</v>
      </c>
      <c r="E706" s="78">
        <f>TRUNC(D706*E705/100,2)</f>
        <v>0</v>
      </c>
    </row>
    <row r="707" spans="1:5">
      <c r="A707" s="76" t="s">
        <v>2540</v>
      </c>
      <c r="B707" s="77"/>
      <c r="C707" s="78"/>
      <c r="D707" s="78"/>
      <c r="E707" s="78">
        <f>E705+E706</f>
        <v>0.89</v>
      </c>
    </row>
    <row r="708" spans="1:5">
      <c r="A708" s="76"/>
      <c r="B708" s="77"/>
      <c r="C708" s="78"/>
      <c r="D708" s="78"/>
      <c r="E708" s="78"/>
    </row>
    <row r="709" spans="1:5">
      <c r="A709" s="76" t="s">
        <v>2725</v>
      </c>
      <c r="B709" s="77" t="s">
        <v>806</v>
      </c>
      <c r="C709" s="78"/>
      <c r="D709" s="78"/>
      <c r="E709" s="78"/>
    </row>
    <row r="710" ht="25.5" spans="1:5">
      <c r="A710" s="76" t="s">
        <v>2726</v>
      </c>
      <c r="B710" s="77"/>
      <c r="C710" s="78"/>
      <c r="D710" s="78"/>
      <c r="E710" s="78"/>
    </row>
    <row r="711" spans="1:5">
      <c r="A711" s="76" t="s">
        <v>2724</v>
      </c>
      <c r="B711" s="77"/>
      <c r="C711" s="78"/>
      <c r="D711" s="78"/>
      <c r="E711" s="78"/>
    </row>
    <row r="712" spans="1:5">
      <c r="A712" s="76"/>
      <c r="B712" s="77"/>
      <c r="C712" s="78"/>
      <c r="D712" s="78"/>
      <c r="E712" s="78"/>
    </row>
    <row r="713" spans="1:5">
      <c r="A713" s="76" t="s">
        <v>2543</v>
      </c>
      <c r="B713" s="77" t="s">
        <v>135</v>
      </c>
      <c r="C713" s="78" t="s">
        <v>136</v>
      </c>
      <c r="D713" s="78" t="s">
        <v>2534</v>
      </c>
      <c r="E713" s="78" t="s">
        <v>2535</v>
      </c>
    </row>
    <row r="714" ht="38.25" spans="1:5">
      <c r="A714" s="76" t="s">
        <v>2660</v>
      </c>
      <c r="B714" s="77" t="s">
        <v>977</v>
      </c>
      <c r="C714" s="78">
        <v>0.0059</v>
      </c>
      <c r="D714" s="78">
        <v>334.12</v>
      </c>
      <c r="E714" s="78">
        <f>TRUNC(C714*D714,2)</f>
        <v>1.97</v>
      </c>
    </row>
    <row r="715" ht="38.25" spans="1:5">
      <c r="A715" s="76" t="s">
        <v>2661</v>
      </c>
      <c r="B715" s="77" t="s">
        <v>979</v>
      </c>
      <c r="C715" s="78">
        <v>0.0025</v>
      </c>
      <c r="D715" s="78">
        <v>90.65</v>
      </c>
      <c r="E715" s="78">
        <f>TRUNC(C715*D715,2)</f>
        <v>0.22</v>
      </c>
    </row>
    <row r="716" spans="1:5">
      <c r="A716" s="76" t="s">
        <v>122</v>
      </c>
      <c r="B716" s="77"/>
      <c r="C716" s="78"/>
      <c r="D716" s="78"/>
      <c r="E716" s="78">
        <f>SUM(E714:E715)</f>
        <v>2.19</v>
      </c>
    </row>
    <row r="717" spans="1:5">
      <c r="A717" s="76"/>
      <c r="B717" s="77"/>
      <c r="C717" s="78"/>
      <c r="D717" s="78"/>
      <c r="E717" s="78"/>
    </row>
    <row r="718" spans="1:5">
      <c r="A718" s="76" t="s">
        <v>2538</v>
      </c>
      <c r="B718" s="77"/>
      <c r="C718" s="78"/>
      <c r="D718" s="78"/>
      <c r="E718" s="78">
        <f>E716</f>
        <v>2.19</v>
      </c>
    </row>
    <row r="719" spans="1:5">
      <c r="A719" s="76" t="s">
        <v>2539</v>
      </c>
      <c r="B719" s="77"/>
      <c r="C719" s="78"/>
      <c r="D719" s="78">
        <v>0</v>
      </c>
      <c r="E719" s="78">
        <f>TRUNC(D719*E718/100,2)</f>
        <v>0</v>
      </c>
    </row>
    <row r="720" spans="1:5">
      <c r="A720" s="76" t="s">
        <v>2540</v>
      </c>
      <c r="B720" s="77"/>
      <c r="C720" s="78"/>
      <c r="D720" s="78"/>
      <c r="E720" s="78">
        <f>E718+E719</f>
        <v>2.19</v>
      </c>
    </row>
    <row r="721" spans="1:5">
      <c r="A721" s="76"/>
      <c r="B721" s="77"/>
      <c r="C721" s="78"/>
      <c r="D721" s="78"/>
      <c r="E721" s="78"/>
    </row>
    <row r="722" spans="1:5">
      <c r="A722" s="76" t="s">
        <v>2727</v>
      </c>
      <c r="B722" s="77" t="s">
        <v>808</v>
      </c>
      <c r="C722" s="78"/>
      <c r="D722" s="78"/>
      <c r="E722" s="78"/>
    </row>
    <row r="723" ht="25.5" spans="1:5">
      <c r="A723" s="76" t="s">
        <v>2728</v>
      </c>
      <c r="B723" s="77"/>
      <c r="C723" s="78"/>
      <c r="D723" s="78"/>
      <c r="E723" s="78"/>
    </row>
    <row r="724" spans="1:5">
      <c r="A724" s="76" t="s">
        <v>2724</v>
      </c>
      <c r="B724" s="77"/>
      <c r="C724" s="78"/>
      <c r="D724" s="78"/>
      <c r="E724" s="78"/>
    </row>
    <row r="725" spans="1:5">
      <c r="A725" s="76"/>
      <c r="B725" s="77"/>
      <c r="C725" s="78"/>
      <c r="D725" s="78"/>
      <c r="E725" s="78"/>
    </row>
    <row r="726" spans="1:5">
      <c r="A726" s="76" t="s">
        <v>2543</v>
      </c>
      <c r="B726" s="77" t="s">
        <v>135</v>
      </c>
      <c r="C726" s="78" t="s">
        <v>136</v>
      </c>
      <c r="D726" s="78" t="s">
        <v>2534</v>
      </c>
      <c r="E726" s="78" t="s">
        <v>2535</v>
      </c>
    </row>
    <row r="727" ht="38.25" spans="1:5">
      <c r="A727" s="76" t="s">
        <v>2664</v>
      </c>
      <c r="B727" s="77" t="s">
        <v>977</v>
      </c>
      <c r="C727" s="78">
        <v>0.0056</v>
      </c>
      <c r="D727" s="78">
        <v>188.84</v>
      </c>
      <c r="E727" s="78">
        <f>TRUNC(C727*D727,2)</f>
        <v>1.05</v>
      </c>
    </row>
    <row r="728" ht="38.25" spans="1:5">
      <c r="A728" s="76" t="s">
        <v>2665</v>
      </c>
      <c r="B728" s="77" t="s">
        <v>979</v>
      </c>
      <c r="C728" s="78">
        <v>0.0024</v>
      </c>
      <c r="D728" s="78">
        <v>66.32</v>
      </c>
      <c r="E728" s="78">
        <f>TRUNC(C728*D728,2)</f>
        <v>0.15</v>
      </c>
    </row>
    <row r="729" spans="1:5">
      <c r="A729" s="76" t="s">
        <v>122</v>
      </c>
      <c r="B729" s="77"/>
      <c r="C729" s="78"/>
      <c r="D729" s="78"/>
      <c r="E729" s="78">
        <f>SUM(E727:E728)</f>
        <v>1.2</v>
      </c>
    </row>
    <row r="730" spans="1:5">
      <c r="A730" s="76"/>
      <c r="B730" s="77"/>
      <c r="C730" s="78"/>
      <c r="D730" s="78"/>
      <c r="E730" s="78"/>
    </row>
    <row r="731" spans="1:5">
      <c r="A731" s="76" t="s">
        <v>2538</v>
      </c>
      <c r="B731" s="77"/>
      <c r="C731" s="78"/>
      <c r="D731" s="78"/>
      <c r="E731" s="78">
        <f>E729</f>
        <v>1.2</v>
      </c>
    </row>
    <row r="732" spans="1:5">
      <c r="A732" s="76" t="s">
        <v>2539</v>
      </c>
      <c r="B732" s="77"/>
      <c r="C732" s="78"/>
      <c r="D732" s="78">
        <v>0</v>
      </c>
      <c r="E732" s="78">
        <f>TRUNC(D732*E731/100,2)</f>
        <v>0</v>
      </c>
    </row>
    <row r="733" spans="1:5">
      <c r="A733" s="76" t="s">
        <v>2540</v>
      </c>
      <c r="B733" s="77"/>
      <c r="C733" s="78"/>
      <c r="D733" s="78"/>
      <c r="E733" s="78">
        <f>E731+E732</f>
        <v>1.2</v>
      </c>
    </row>
    <row r="734" spans="1:5">
      <c r="A734" s="76"/>
      <c r="B734" s="77"/>
      <c r="C734" s="78"/>
      <c r="D734" s="78"/>
      <c r="E734" s="78"/>
    </row>
    <row r="735" spans="1:5">
      <c r="A735" s="76" t="s">
        <v>2729</v>
      </c>
      <c r="B735" s="77" t="s">
        <v>810</v>
      </c>
      <c r="C735" s="78"/>
      <c r="D735" s="78"/>
      <c r="E735" s="78"/>
    </row>
    <row r="736" ht="25.5" spans="1:5">
      <c r="A736" s="76" t="s">
        <v>2730</v>
      </c>
      <c r="B736" s="77"/>
      <c r="C736" s="78"/>
      <c r="D736" s="78"/>
      <c r="E736" s="78"/>
    </row>
    <row r="737" spans="1:5">
      <c r="A737" s="76" t="s">
        <v>2724</v>
      </c>
      <c r="B737" s="77"/>
      <c r="C737" s="78"/>
      <c r="D737" s="78"/>
      <c r="E737" s="78"/>
    </row>
    <row r="738" spans="1:5">
      <c r="A738" s="76"/>
      <c r="B738" s="77"/>
      <c r="C738" s="78"/>
      <c r="D738" s="78"/>
      <c r="E738" s="78"/>
    </row>
    <row r="739" spans="1:5">
      <c r="A739" s="76" t="s">
        <v>2543</v>
      </c>
      <c r="B739" s="77" t="s">
        <v>135</v>
      </c>
      <c r="C739" s="78" t="s">
        <v>136</v>
      </c>
      <c r="D739" s="78" t="s">
        <v>2534</v>
      </c>
      <c r="E739" s="78" t="s">
        <v>2535</v>
      </c>
    </row>
    <row r="740" ht="38.25" spans="1:5">
      <c r="A740" s="76" t="s">
        <v>2664</v>
      </c>
      <c r="B740" s="77" t="s">
        <v>977</v>
      </c>
      <c r="C740" s="78">
        <v>0.0139</v>
      </c>
      <c r="D740" s="78">
        <v>188.84</v>
      </c>
      <c r="E740" s="78">
        <f>TRUNC(C740*D740,2)</f>
        <v>2.62</v>
      </c>
    </row>
    <row r="741" ht="38.25" spans="1:5">
      <c r="A741" s="76" t="s">
        <v>2665</v>
      </c>
      <c r="B741" s="77" t="s">
        <v>979</v>
      </c>
      <c r="C741" s="78">
        <v>0.006</v>
      </c>
      <c r="D741" s="78">
        <v>66.32</v>
      </c>
      <c r="E741" s="78">
        <f>TRUNC(C741*D741,2)</f>
        <v>0.39</v>
      </c>
    </row>
    <row r="742" spans="1:5">
      <c r="A742" s="76" t="s">
        <v>122</v>
      </c>
      <c r="B742" s="77"/>
      <c r="C742" s="78"/>
      <c r="D742" s="78"/>
      <c r="E742" s="78">
        <f>SUM(E740:E741)</f>
        <v>3.01</v>
      </c>
    </row>
    <row r="743" spans="1:5">
      <c r="A743" s="76"/>
      <c r="B743" s="77"/>
      <c r="C743" s="78"/>
      <c r="D743" s="78"/>
      <c r="E743" s="78"/>
    </row>
    <row r="744" spans="1:5">
      <c r="A744" s="76" t="s">
        <v>2538</v>
      </c>
      <c r="B744" s="77"/>
      <c r="C744" s="78"/>
      <c r="D744" s="78"/>
      <c r="E744" s="78">
        <f>E742</f>
        <v>3.01</v>
      </c>
    </row>
    <row r="745" spans="1:5">
      <c r="A745" s="76" t="s">
        <v>2539</v>
      </c>
      <c r="B745" s="77"/>
      <c r="C745" s="78"/>
      <c r="D745" s="78">
        <v>0</v>
      </c>
      <c r="E745" s="78">
        <f>TRUNC(D745*E744/100,2)</f>
        <v>0</v>
      </c>
    </row>
    <row r="746" spans="1:5">
      <c r="A746" s="76" t="s">
        <v>2540</v>
      </c>
      <c r="B746" s="77"/>
      <c r="C746" s="78"/>
      <c r="D746" s="78"/>
      <c r="E746" s="78">
        <f>E744+E745</f>
        <v>3.01</v>
      </c>
    </row>
    <row r="747" spans="1:5">
      <c r="A747" s="76"/>
      <c r="B747" s="77"/>
      <c r="C747" s="78"/>
      <c r="D747" s="78"/>
      <c r="E747" s="78"/>
    </row>
    <row r="748" spans="1:5">
      <c r="A748" s="76" t="s">
        <v>2731</v>
      </c>
      <c r="B748" s="77" t="s">
        <v>812</v>
      </c>
      <c r="C748" s="78"/>
      <c r="D748" s="78"/>
      <c r="E748" s="78"/>
    </row>
    <row r="749" ht="38.25" spans="1:5">
      <c r="A749" s="76" t="s">
        <v>2732</v>
      </c>
      <c r="B749" s="77"/>
      <c r="C749" s="78"/>
      <c r="D749" s="78"/>
      <c r="E749" s="78"/>
    </row>
    <row r="750" spans="1:5">
      <c r="A750" s="76" t="s">
        <v>2733</v>
      </c>
      <c r="B750" s="77"/>
      <c r="C750" s="78"/>
      <c r="D750" s="78"/>
      <c r="E750" s="78"/>
    </row>
    <row r="751" spans="1:5">
      <c r="A751" s="76"/>
      <c r="B751" s="77"/>
      <c r="C751" s="78"/>
      <c r="D751" s="78"/>
      <c r="E751" s="78"/>
    </row>
    <row r="752" spans="1:5">
      <c r="A752" s="76" t="s">
        <v>2543</v>
      </c>
      <c r="B752" s="77" t="s">
        <v>135</v>
      </c>
      <c r="C752" s="78" t="s">
        <v>136</v>
      </c>
      <c r="D752" s="78" t="s">
        <v>2534</v>
      </c>
      <c r="E752" s="78" t="s">
        <v>2535</v>
      </c>
    </row>
    <row r="753" ht="38.25" spans="1:5">
      <c r="A753" s="76" t="s">
        <v>2578</v>
      </c>
      <c r="B753" s="77" t="s">
        <v>977</v>
      </c>
      <c r="C753" s="78">
        <v>0.0093</v>
      </c>
      <c r="D753" s="78">
        <v>276.11</v>
      </c>
      <c r="E753" s="78">
        <f>TRUNC(C753*D753,2)</f>
        <v>2.56</v>
      </c>
    </row>
    <row r="754" ht="38.25" spans="1:5">
      <c r="A754" s="76" t="s">
        <v>2579</v>
      </c>
      <c r="B754" s="77" t="s">
        <v>979</v>
      </c>
      <c r="C754" s="78">
        <v>0.004</v>
      </c>
      <c r="D754" s="78">
        <v>72.89</v>
      </c>
      <c r="E754" s="78">
        <f>TRUNC(C754*D754,2)</f>
        <v>0.29</v>
      </c>
    </row>
    <row r="755" spans="1:5">
      <c r="A755" s="76" t="s">
        <v>122</v>
      </c>
      <c r="B755" s="77"/>
      <c r="C755" s="78"/>
      <c r="D755" s="78"/>
      <c r="E755" s="78">
        <f>SUM(E753:E754)</f>
        <v>2.85</v>
      </c>
    </row>
    <row r="756" spans="1:5">
      <c r="A756" s="76"/>
      <c r="B756" s="77"/>
      <c r="C756" s="78"/>
      <c r="D756" s="78"/>
      <c r="E756" s="78"/>
    </row>
    <row r="757" spans="1:5">
      <c r="A757" s="76" t="s">
        <v>2538</v>
      </c>
      <c r="B757" s="77"/>
      <c r="C757" s="78"/>
      <c r="D757" s="78"/>
      <c r="E757" s="78">
        <f>E755</f>
        <v>2.85</v>
      </c>
    </row>
    <row r="758" spans="1:5">
      <c r="A758" s="76" t="s">
        <v>2539</v>
      </c>
      <c r="B758" s="77"/>
      <c r="C758" s="78"/>
      <c r="D758" s="78">
        <v>0</v>
      </c>
      <c r="E758" s="78">
        <f>TRUNC(D758*E757/100,2)</f>
        <v>0</v>
      </c>
    </row>
    <row r="759" spans="1:5">
      <c r="A759" s="76" t="s">
        <v>2540</v>
      </c>
      <c r="B759" s="77"/>
      <c r="C759" s="78"/>
      <c r="D759" s="78"/>
      <c r="E759" s="78">
        <f>E757+E758</f>
        <v>2.85</v>
      </c>
    </row>
    <row r="760" spans="1:5">
      <c r="A760" s="76"/>
      <c r="B760" s="77"/>
      <c r="C760" s="78"/>
      <c r="D760" s="78"/>
      <c r="E760" s="78"/>
    </row>
    <row r="761" spans="1:5">
      <c r="A761" s="76" t="s">
        <v>2734</v>
      </c>
      <c r="B761" s="77" t="s">
        <v>815</v>
      </c>
      <c r="C761" s="78"/>
      <c r="D761" s="78"/>
      <c r="E761" s="78"/>
    </row>
    <row r="762" ht="38.25" spans="1:5">
      <c r="A762" s="76" t="s">
        <v>2735</v>
      </c>
      <c r="B762" s="77"/>
      <c r="C762" s="78"/>
      <c r="D762" s="78"/>
      <c r="E762" s="78"/>
    </row>
    <row r="763" spans="1:5">
      <c r="A763" s="76" t="s">
        <v>2733</v>
      </c>
      <c r="B763" s="77"/>
      <c r="C763" s="78"/>
      <c r="D763" s="78"/>
      <c r="E763" s="78"/>
    </row>
    <row r="764" spans="1:5">
      <c r="A764" s="76"/>
      <c r="B764" s="77"/>
      <c r="C764" s="78"/>
      <c r="D764" s="78"/>
      <c r="E764" s="78"/>
    </row>
    <row r="765" spans="1:5">
      <c r="A765" s="76" t="s">
        <v>2543</v>
      </c>
      <c r="B765" s="77" t="s">
        <v>135</v>
      </c>
      <c r="C765" s="78" t="s">
        <v>136</v>
      </c>
      <c r="D765" s="78" t="s">
        <v>2534</v>
      </c>
      <c r="E765" s="78" t="s">
        <v>2535</v>
      </c>
    </row>
    <row r="766" ht="51" spans="1:5">
      <c r="A766" s="76" t="s">
        <v>2736</v>
      </c>
      <c r="B766" s="77" t="s">
        <v>977</v>
      </c>
      <c r="C766" s="78">
        <v>0.0028</v>
      </c>
      <c r="D766" s="78">
        <v>472.77</v>
      </c>
      <c r="E766" s="78">
        <f>TRUNC(C766*D766,2)</f>
        <v>1.32</v>
      </c>
    </row>
    <row r="767" ht="51" spans="1:5">
      <c r="A767" s="76" t="s">
        <v>2737</v>
      </c>
      <c r="B767" s="77" t="s">
        <v>979</v>
      </c>
      <c r="C767" s="78">
        <v>0.0012</v>
      </c>
      <c r="D767" s="78">
        <v>99.8</v>
      </c>
      <c r="E767" s="78">
        <f>TRUNC(C767*D767,2)</f>
        <v>0.11</v>
      </c>
    </row>
    <row r="768" spans="1:5">
      <c r="A768" s="76" t="s">
        <v>122</v>
      </c>
      <c r="B768" s="77"/>
      <c r="C768" s="78"/>
      <c r="D768" s="78"/>
      <c r="E768" s="78">
        <f>SUM(E766:E767)</f>
        <v>1.43</v>
      </c>
    </row>
    <row r="769" spans="1:5">
      <c r="A769" s="76"/>
      <c r="B769" s="77"/>
      <c r="C769" s="78"/>
      <c r="D769" s="78"/>
      <c r="E769" s="78"/>
    </row>
    <row r="770" spans="1:5">
      <c r="A770" s="76" t="s">
        <v>2538</v>
      </c>
      <c r="B770" s="77"/>
      <c r="C770" s="78"/>
      <c r="D770" s="78"/>
      <c r="E770" s="78">
        <f>E768</f>
        <v>1.43</v>
      </c>
    </row>
    <row r="771" spans="1:5">
      <c r="A771" s="76" t="s">
        <v>2539</v>
      </c>
      <c r="B771" s="77"/>
      <c r="C771" s="78"/>
      <c r="D771" s="78">
        <v>0</v>
      </c>
      <c r="E771" s="78">
        <f>TRUNC(D771*E770/100,2)</f>
        <v>0</v>
      </c>
    </row>
    <row r="772" spans="1:5">
      <c r="A772" s="76" t="s">
        <v>2540</v>
      </c>
      <c r="B772" s="77"/>
      <c r="C772" s="78"/>
      <c r="D772" s="78"/>
      <c r="E772" s="78">
        <f>E770+E771</f>
        <v>1.43</v>
      </c>
    </row>
    <row r="773" spans="1:5">
      <c r="A773" s="76"/>
      <c r="B773" s="77"/>
      <c r="C773" s="78"/>
      <c r="D773" s="78"/>
      <c r="E773" s="78"/>
    </row>
    <row r="774" spans="1:5">
      <c r="A774" s="76" t="s">
        <v>2738</v>
      </c>
      <c r="B774" s="77" t="s">
        <v>818</v>
      </c>
      <c r="C774" s="78"/>
      <c r="D774" s="78"/>
      <c r="E774" s="78"/>
    </row>
    <row r="775" spans="1:5">
      <c r="A775" s="76" t="s">
        <v>2739</v>
      </c>
      <c r="B775" s="77"/>
      <c r="C775" s="78"/>
      <c r="D775" s="78"/>
      <c r="E775" s="78"/>
    </row>
    <row r="776" spans="1:5">
      <c r="A776" s="76" t="s">
        <v>2619</v>
      </c>
      <c r="B776" s="77"/>
      <c r="C776" s="78"/>
      <c r="D776" s="78"/>
      <c r="E776" s="78"/>
    </row>
    <row r="777" spans="1:5">
      <c r="A777" s="76"/>
      <c r="B777" s="77"/>
      <c r="C777" s="78"/>
      <c r="D777" s="78"/>
      <c r="E777" s="78"/>
    </row>
    <row r="778" spans="1:5">
      <c r="A778" s="76" t="s">
        <v>2543</v>
      </c>
      <c r="B778" s="77" t="s">
        <v>135</v>
      </c>
      <c r="C778" s="78" t="s">
        <v>136</v>
      </c>
      <c r="D778" s="78" t="s">
        <v>2534</v>
      </c>
      <c r="E778" s="78" t="s">
        <v>2535</v>
      </c>
    </row>
    <row r="779" ht="25.5" spans="1:5">
      <c r="A779" s="76" t="s">
        <v>2740</v>
      </c>
      <c r="B779" s="77" t="s">
        <v>476</v>
      </c>
      <c r="C779" s="78">
        <v>1.1</v>
      </c>
      <c r="D779" s="78">
        <v>198.43</v>
      </c>
      <c r="E779" s="78">
        <f>TRUNC(C779*D779,2)</f>
        <v>218.27</v>
      </c>
    </row>
    <row r="780" spans="1:5">
      <c r="A780" s="76" t="s">
        <v>2621</v>
      </c>
      <c r="B780" s="77" t="s">
        <v>839</v>
      </c>
      <c r="C780" s="78">
        <v>1.1134</v>
      </c>
      <c r="D780" s="78">
        <v>23.75</v>
      </c>
      <c r="E780" s="78">
        <f>TRUNC(C780*D780,2)</f>
        <v>26.44</v>
      </c>
    </row>
    <row r="781" spans="1:5">
      <c r="A781" s="76" t="s">
        <v>2630</v>
      </c>
      <c r="B781" s="77" t="s">
        <v>839</v>
      </c>
      <c r="C781" s="78">
        <v>0.3711</v>
      </c>
      <c r="D781" s="78">
        <v>31.34</v>
      </c>
      <c r="E781" s="78">
        <f>TRUNC(C781*D781,2)</f>
        <v>11.63</v>
      </c>
    </row>
    <row r="782" spans="1:5">
      <c r="A782" s="76" t="s">
        <v>122</v>
      </c>
      <c r="B782" s="77"/>
      <c r="C782" s="78"/>
      <c r="D782" s="78"/>
      <c r="E782" s="78">
        <f>SUM(E779:E781)</f>
        <v>256.34</v>
      </c>
    </row>
    <row r="783" spans="1:5">
      <c r="A783" s="76"/>
      <c r="B783" s="77"/>
      <c r="C783" s="78"/>
      <c r="D783" s="78"/>
      <c r="E783" s="78"/>
    </row>
    <row r="784" spans="1:5">
      <c r="A784" s="76" t="s">
        <v>2538</v>
      </c>
      <c r="B784" s="77"/>
      <c r="C784" s="78"/>
      <c r="D784" s="78"/>
      <c r="E784" s="78">
        <f>E782</f>
        <v>256.34</v>
      </c>
    </row>
    <row r="785" spans="1:5">
      <c r="A785" s="76" t="s">
        <v>2539</v>
      </c>
      <c r="B785" s="77"/>
      <c r="C785" s="78"/>
      <c r="D785" s="78">
        <v>0</v>
      </c>
      <c r="E785" s="78">
        <f>TRUNC(D785*E784/100,2)</f>
        <v>0</v>
      </c>
    </row>
    <row r="786" spans="1:5">
      <c r="A786" s="76" t="s">
        <v>2540</v>
      </c>
      <c r="B786" s="77"/>
      <c r="C786" s="78"/>
      <c r="D786" s="78"/>
      <c r="E786" s="78">
        <f>E784+E785</f>
        <v>256.34</v>
      </c>
    </row>
    <row r="787" spans="1:5">
      <c r="A787" s="76"/>
      <c r="B787" s="77"/>
      <c r="C787" s="78"/>
      <c r="D787" s="78"/>
      <c r="E787" s="78"/>
    </row>
    <row r="788" spans="1:5">
      <c r="A788" s="76" t="s">
        <v>2741</v>
      </c>
      <c r="B788" s="77" t="s">
        <v>820</v>
      </c>
      <c r="C788" s="78"/>
      <c r="D788" s="78"/>
      <c r="E788" s="78"/>
    </row>
    <row r="789" ht="25.5" spans="1:5">
      <c r="A789" s="76" t="s">
        <v>2742</v>
      </c>
      <c r="B789" s="77"/>
      <c r="C789" s="78"/>
      <c r="D789" s="78"/>
      <c r="E789" s="78"/>
    </row>
    <row r="790" spans="1:5">
      <c r="A790" s="76" t="s">
        <v>2563</v>
      </c>
      <c r="B790" s="77"/>
      <c r="C790" s="78"/>
      <c r="D790" s="78"/>
      <c r="E790" s="78"/>
    </row>
    <row r="791" spans="1:5">
      <c r="A791" s="76"/>
      <c r="B791" s="77"/>
      <c r="C791" s="78"/>
      <c r="D791" s="78"/>
      <c r="E791" s="78"/>
    </row>
    <row r="792" spans="1:5">
      <c r="A792" s="76" t="s">
        <v>2543</v>
      </c>
      <c r="B792" s="77" t="s">
        <v>135</v>
      </c>
      <c r="C792" s="78" t="s">
        <v>136</v>
      </c>
      <c r="D792" s="78" t="s">
        <v>2534</v>
      </c>
      <c r="E792" s="78" t="s">
        <v>2535</v>
      </c>
    </row>
    <row r="793" ht="25.5" spans="1:5">
      <c r="A793" s="76" t="s">
        <v>2743</v>
      </c>
      <c r="B793" s="77" t="s">
        <v>112</v>
      </c>
      <c r="C793" s="78">
        <v>0.1449</v>
      </c>
      <c r="D793" s="78">
        <v>10.2</v>
      </c>
      <c r="E793" s="78">
        <f t="shared" ref="E793:E798" si="17">TRUNC(C793*D793,2)</f>
        <v>1.47</v>
      </c>
    </row>
    <row r="794" spans="1:5">
      <c r="A794" s="76" t="s">
        <v>2583</v>
      </c>
      <c r="B794" s="77" t="s">
        <v>463</v>
      </c>
      <c r="C794" s="78">
        <v>0.0559</v>
      </c>
      <c r="D794" s="78">
        <v>18.4</v>
      </c>
      <c r="E794" s="78">
        <f t="shared" si="17"/>
        <v>1.02</v>
      </c>
    </row>
    <row r="795" ht="25.5" spans="1:5">
      <c r="A795" s="76" t="s">
        <v>2637</v>
      </c>
      <c r="B795" s="77" t="s">
        <v>112</v>
      </c>
      <c r="C795" s="78">
        <v>0.8148</v>
      </c>
      <c r="D795" s="78">
        <v>26.81</v>
      </c>
      <c r="E795" s="78">
        <f t="shared" si="17"/>
        <v>21.84</v>
      </c>
    </row>
    <row r="796" ht="25.5" spans="1:5">
      <c r="A796" s="76" t="s">
        <v>2744</v>
      </c>
      <c r="B796" s="77" t="s">
        <v>112</v>
      </c>
      <c r="C796" s="78">
        <v>0.1956</v>
      </c>
      <c r="D796" s="78">
        <v>34.35</v>
      </c>
      <c r="E796" s="78">
        <f t="shared" si="17"/>
        <v>6.71</v>
      </c>
    </row>
    <row r="797" spans="1:5">
      <c r="A797" s="76" t="s">
        <v>2621</v>
      </c>
      <c r="B797" s="77" t="s">
        <v>839</v>
      </c>
      <c r="C797" s="78">
        <v>0.3901</v>
      </c>
      <c r="D797" s="78">
        <v>23.75</v>
      </c>
      <c r="E797" s="78">
        <f t="shared" si="17"/>
        <v>9.26</v>
      </c>
    </row>
    <row r="798" spans="1:5">
      <c r="A798" s="76" t="s">
        <v>2577</v>
      </c>
      <c r="B798" s="77" t="s">
        <v>839</v>
      </c>
      <c r="C798" s="78">
        <v>0.9102</v>
      </c>
      <c r="D798" s="78">
        <v>30.91</v>
      </c>
      <c r="E798" s="78">
        <f t="shared" si="17"/>
        <v>28.13</v>
      </c>
    </row>
    <row r="799" spans="1:5">
      <c r="A799" s="76" t="s">
        <v>122</v>
      </c>
      <c r="B799" s="77"/>
      <c r="C799" s="78"/>
      <c r="D799" s="78"/>
      <c r="E799" s="78">
        <f>SUM(E793:E798)</f>
        <v>68.43</v>
      </c>
    </row>
    <row r="800" spans="1:5">
      <c r="A800" s="76"/>
      <c r="B800" s="77"/>
      <c r="C800" s="78"/>
      <c r="D800" s="78"/>
      <c r="E800" s="78"/>
    </row>
    <row r="801" spans="1:5">
      <c r="A801" s="76" t="s">
        <v>2538</v>
      </c>
      <c r="B801" s="77"/>
      <c r="C801" s="78"/>
      <c r="D801" s="78"/>
      <c r="E801" s="78">
        <f>E799</f>
        <v>68.43</v>
      </c>
    </row>
    <row r="802" spans="1:5">
      <c r="A802" s="76" t="s">
        <v>2539</v>
      </c>
      <c r="B802" s="77"/>
      <c r="C802" s="78"/>
      <c r="D802" s="78">
        <v>0</v>
      </c>
      <c r="E802" s="78">
        <f>TRUNC(D802*E801/100,2)</f>
        <v>0</v>
      </c>
    </row>
    <row r="803" spans="1:5">
      <c r="A803" s="76" t="s">
        <v>2540</v>
      </c>
      <c r="B803" s="77"/>
      <c r="C803" s="78"/>
      <c r="D803" s="78"/>
      <c r="E803" s="78">
        <f>E801+E802</f>
        <v>68.43</v>
      </c>
    </row>
    <row r="804" spans="1:5">
      <c r="A804" s="76"/>
      <c r="B804" s="77"/>
      <c r="C804" s="78"/>
      <c r="D804" s="78"/>
      <c r="E804" s="78"/>
    </row>
    <row r="805" spans="1:5">
      <c r="A805" s="76" t="s">
        <v>2745</v>
      </c>
      <c r="B805" s="77" t="s">
        <v>822</v>
      </c>
      <c r="C805" s="78"/>
      <c r="D805" s="78"/>
      <c r="E805" s="78"/>
    </row>
    <row r="806" ht="25.5" spans="1:5">
      <c r="A806" s="76" t="s">
        <v>2746</v>
      </c>
      <c r="B806" s="77"/>
      <c r="C806" s="78"/>
      <c r="D806" s="78"/>
      <c r="E806" s="78"/>
    </row>
    <row r="807" spans="1:5">
      <c r="A807" s="76" t="s">
        <v>2563</v>
      </c>
      <c r="B807" s="77"/>
      <c r="C807" s="78"/>
      <c r="D807" s="78"/>
      <c r="E807" s="78"/>
    </row>
    <row r="808" spans="1:5">
      <c r="A808" s="76"/>
      <c r="B808" s="77"/>
      <c r="C808" s="78"/>
      <c r="D808" s="78"/>
      <c r="E808" s="78"/>
    </row>
    <row r="809" spans="1:5">
      <c r="A809" s="76" t="s">
        <v>2543</v>
      </c>
      <c r="B809" s="77" t="s">
        <v>135</v>
      </c>
      <c r="C809" s="78" t="s">
        <v>136</v>
      </c>
      <c r="D809" s="78" t="s">
        <v>2534</v>
      </c>
      <c r="E809" s="78" t="s">
        <v>2535</v>
      </c>
    </row>
    <row r="810" ht="25.5" spans="1:5">
      <c r="A810" s="76" t="s">
        <v>2743</v>
      </c>
      <c r="B810" s="77" t="s">
        <v>112</v>
      </c>
      <c r="C810" s="78">
        <v>0.1086</v>
      </c>
      <c r="D810" s="78">
        <v>10.2</v>
      </c>
      <c r="E810" s="78">
        <f>TRUNC(C810*D810,2)</f>
        <v>1.1</v>
      </c>
    </row>
    <row r="811" spans="1:5">
      <c r="A811" s="76" t="s">
        <v>2583</v>
      </c>
      <c r="B811" s="77" t="s">
        <v>463</v>
      </c>
      <c r="C811" s="78">
        <v>0.0096</v>
      </c>
      <c r="D811" s="78">
        <v>18.4</v>
      </c>
      <c r="E811" s="78">
        <f>TRUNC(C811*D811,2)</f>
        <v>0.17</v>
      </c>
    </row>
    <row r="812" ht="25.5" spans="1:5">
      <c r="A812" s="76" t="s">
        <v>2637</v>
      </c>
      <c r="B812" s="77" t="s">
        <v>112</v>
      </c>
      <c r="C812" s="78">
        <v>0.1901</v>
      </c>
      <c r="D812" s="78">
        <v>26.81</v>
      </c>
      <c r="E812" s="78">
        <f>TRUNC(C812*D812,2)</f>
        <v>5.09</v>
      </c>
    </row>
    <row r="813" spans="1:5">
      <c r="A813" s="76" t="s">
        <v>2621</v>
      </c>
      <c r="B813" s="77" t="s">
        <v>839</v>
      </c>
      <c r="C813" s="78">
        <v>0.2406</v>
      </c>
      <c r="D813" s="78">
        <v>23.75</v>
      </c>
      <c r="E813" s="78">
        <f>TRUNC(C813*D813,2)</f>
        <v>5.71</v>
      </c>
    </row>
    <row r="814" spans="1:5">
      <c r="A814" s="76" t="s">
        <v>2577</v>
      </c>
      <c r="B814" s="77" t="s">
        <v>839</v>
      </c>
      <c r="C814" s="78">
        <v>0.5613</v>
      </c>
      <c r="D814" s="78">
        <v>30.91</v>
      </c>
      <c r="E814" s="78">
        <f>TRUNC(C814*D814,2)</f>
        <v>17.34</v>
      </c>
    </row>
    <row r="815" spans="1:5">
      <c r="A815" s="76" t="s">
        <v>122</v>
      </c>
      <c r="B815" s="77"/>
      <c r="C815" s="78"/>
      <c r="D815" s="78"/>
      <c r="E815" s="78">
        <f>SUM(E810:E814)</f>
        <v>29.41</v>
      </c>
    </row>
    <row r="816" spans="1:5">
      <c r="A816" s="76"/>
      <c r="B816" s="77"/>
      <c r="C816" s="78"/>
      <c r="D816" s="78"/>
      <c r="E816" s="78"/>
    </row>
    <row r="817" spans="1:5">
      <c r="A817" s="76" t="s">
        <v>2538</v>
      </c>
      <c r="B817" s="77"/>
      <c r="C817" s="78"/>
      <c r="D817" s="78"/>
      <c r="E817" s="78">
        <f>E815</f>
        <v>29.41</v>
      </c>
    </row>
    <row r="818" spans="1:5">
      <c r="A818" s="76" t="s">
        <v>2539</v>
      </c>
      <c r="B818" s="77"/>
      <c r="C818" s="78"/>
      <c r="D818" s="78">
        <v>0</v>
      </c>
      <c r="E818" s="78">
        <f>TRUNC(D818*E817/100,2)</f>
        <v>0</v>
      </c>
    </row>
    <row r="819" spans="1:5">
      <c r="A819" s="76" t="s">
        <v>2540</v>
      </c>
      <c r="B819" s="77"/>
      <c r="C819" s="78"/>
      <c r="D819" s="78"/>
      <c r="E819" s="78">
        <f>E817+E818</f>
        <v>29.41</v>
      </c>
    </row>
    <row r="820" spans="1:5">
      <c r="A820" s="76"/>
      <c r="B820" s="77"/>
      <c r="C820" s="78"/>
      <c r="D820" s="78"/>
      <c r="E820" s="78"/>
    </row>
    <row r="821" spans="1:5">
      <c r="A821" s="76" t="s">
        <v>2747</v>
      </c>
      <c r="B821" s="77" t="s">
        <v>824</v>
      </c>
      <c r="C821" s="78"/>
      <c r="D821" s="78"/>
      <c r="E821" s="78"/>
    </row>
    <row r="822" ht="25.5" spans="1:5">
      <c r="A822" s="76" t="s">
        <v>2748</v>
      </c>
      <c r="B822" s="77"/>
      <c r="C822" s="78"/>
      <c r="D822" s="78"/>
      <c r="E822" s="78"/>
    </row>
    <row r="823" spans="1:5">
      <c r="A823" s="76" t="s">
        <v>2563</v>
      </c>
      <c r="B823" s="77"/>
      <c r="C823" s="78"/>
      <c r="D823" s="78"/>
      <c r="E823" s="78"/>
    </row>
    <row r="824" spans="1:5">
      <c r="A824" s="76"/>
      <c r="B824" s="77"/>
      <c r="C824" s="78"/>
      <c r="D824" s="78"/>
      <c r="E824" s="78"/>
    </row>
    <row r="825" spans="1:5">
      <c r="A825" s="76" t="s">
        <v>2543</v>
      </c>
      <c r="B825" s="77" t="s">
        <v>135</v>
      </c>
      <c r="C825" s="78" t="s">
        <v>136</v>
      </c>
      <c r="D825" s="78" t="s">
        <v>2534</v>
      </c>
      <c r="E825" s="78" t="s">
        <v>2535</v>
      </c>
    </row>
    <row r="826" ht="25.5" spans="1:5">
      <c r="A826" s="76" t="s">
        <v>2743</v>
      </c>
      <c r="B826" s="77" t="s">
        <v>112</v>
      </c>
      <c r="C826" s="78">
        <v>0.0543</v>
      </c>
      <c r="D826" s="78">
        <v>10.2</v>
      </c>
      <c r="E826" s="78">
        <f>TRUNC(C826*D826,2)</f>
        <v>0.55</v>
      </c>
    </row>
    <row r="827" spans="1:5">
      <c r="A827" s="76" t="s">
        <v>2583</v>
      </c>
      <c r="B827" s="77" t="s">
        <v>463</v>
      </c>
      <c r="C827" s="78">
        <v>0.0096</v>
      </c>
      <c r="D827" s="78">
        <v>18.4</v>
      </c>
      <c r="E827" s="78">
        <f>TRUNC(C827*D827,2)</f>
        <v>0.17</v>
      </c>
    </row>
    <row r="828" ht="25.5" spans="1:5">
      <c r="A828" s="76" t="s">
        <v>2637</v>
      </c>
      <c r="B828" s="77" t="s">
        <v>112</v>
      </c>
      <c r="C828" s="78">
        <v>0.1901</v>
      </c>
      <c r="D828" s="78">
        <v>26.81</v>
      </c>
      <c r="E828" s="78">
        <f>TRUNC(C828*D828,2)</f>
        <v>5.09</v>
      </c>
    </row>
    <row r="829" spans="1:5">
      <c r="A829" s="76" t="s">
        <v>2621</v>
      </c>
      <c r="B829" s="77" t="s">
        <v>839</v>
      </c>
      <c r="C829" s="78">
        <v>0.1461</v>
      </c>
      <c r="D829" s="78">
        <v>23.75</v>
      </c>
      <c r="E829" s="78">
        <f>TRUNC(C829*D829,2)</f>
        <v>3.46</v>
      </c>
    </row>
    <row r="830" spans="1:5">
      <c r="A830" s="76" t="s">
        <v>2577</v>
      </c>
      <c r="B830" s="77" t="s">
        <v>839</v>
      </c>
      <c r="C830" s="78">
        <v>0.341</v>
      </c>
      <c r="D830" s="78">
        <v>30.91</v>
      </c>
      <c r="E830" s="78">
        <f>TRUNC(C830*D830,2)</f>
        <v>10.54</v>
      </c>
    </row>
    <row r="831" spans="1:5">
      <c r="A831" s="76" t="s">
        <v>122</v>
      </c>
      <c r="B831" s="77"/>
      <c r="C831" s="78"/>
      <c r="D831" s="78"/>
      <c r="E831" s="78">
        <f>SUM(E826:E830)</f>
        <v>19.81</v>
      </c>
    </row>
    <row r="832" spans="1:5">
      <c r="A832" s="76"/>
      <c r="B832" s="77"/>
      <c r="C832" s="78"/>
      <c r="D832" s="78"/>
      <c r="E832" s="78"/>
    </row>
    <row r="833" spans="1:5">
      <c r="A833" s="76" t="s">
        <v>2538</v>
      </c>
      <c r="B833" s="77"/>
      <c r="C833" s="78"/>
      <c r="D833" s="78"/>
      <c r="E833" s="78">
        <f>E831</f>
        <v>19.81</v>
      </c>
    </row>
    <row r="834" spans="1:5">
      <c r="A834" s="76" t="s">
        <v>2539</v>
      </c>
      <c r="B834" s="77"/>
      <c r="C834" s="78"/>
      <c r="D834" s="78">
        <v>0</v>
      </c>
      <c r="E834" s="78">
        <f>TRUNC(D834*E833/100,2)</f>
        <v>0</v>
      </c>
    </row>
    <row r="835" spans="1:5">
      <c r="A835" s="76" t="s">
        <v>2540</v>
      </c>
      <c r="B835" s="77"/>
      <c r="C835" s="78"/>
      <c r="D835" s="78"/>
      <c r="E835" s="78">
        <f>E833+E834</f>
        <v>19.81</v>
      </c>
    </row>
    <row r="836" spans="1:5">
      <c r="A836" s="76"/>
      <c r="B836" s="77"/>
      <c r="C836" s="78"/>
      <c r="D836" s="78"/>
      <c r="E836" s="78"/>
    </row>
    <row r="837" spans="1:5">
      <c r="A837" s="76" t="s">
        <v>2749</v>
      </c>
      <c r="B837" s="77" t="s">
        <v>826</v>
      </c>
      <c r="C837" s="78"/>
      <c r="D837" s="78"/>
      <c r="E837" s="78"/>
    </row>
    <row r="838" ht="25.5" spans="1:5">
      <c r="A838" s="76" t="s">
        <v>2750</v>
      </c>
      <c r="B838" s="77"/>
      <c r="C838" s="78"/>
      <c r="D838" s="78"/>
      <c r="E838" s="78"/>
    </row>
    <row r="839" spans="1:5">
      <c r="A839" s="76" t="s">
        <v>2563</v>
      </c>
      <c r="B839" s="77"/>
      <c r="C839" s="78"/>
      <c r="D839" s="78"/>
      <c r="E839" s="78"/>
    </row>
    <row r="840" spans="1:5">
      <c r="A840" s="76"/>
      <c r="B840" s="77"/>
      <c r="C840" s="78"/>
      <c r="D840" s="78"/>
      <c r="E840" s="78"/>
    </row>
    <row r="841" spans="1:5">
      <c r="A841" s="76" t="s">
        <v>2543</v>
      </c>
      <c r="B841" s="77" t="s">
        <v>135</v>
      </c>
      <c r="C841" s="78" t="s">
        <v>136</v>
      </c>
      <c r="D841" s="78" t="s">
        <v>2534</v>
      </c>
      <c r="E841" s="78" t="s">
        <v>2535</v>
      </c>
    </row>
    <row r="842" ht="25.5" spans="1:5">
      <c r="A842" s="76" t="s">
        <v>2743</v>
      </c>
      <c r="B842" s="77" t="s">
        <v>112</v>
      </c>
      <c r="C842" s="78">
        <v>0.1449</v>
      </c>
      <c r="D842" s="78">
        <v>10.2</v>
      </c>
      <c r="E842" s="78">
        <f>TRUNC(C842*D842,2)</f>
        <v>1.47</v>
      </c>
    </row>
    <row r="843" spans="1:5">
      <c r="A843" s="76" t="s">
        <v>2583</v>
      </c>
      <c r="B843" s="77" t="s">
        <v>463</v>
      </c>
      <c r="C843" s="78">
        <v>0.0128</v>
      </c>
      <c r="D843" s="78">
        <v>18.4</v>
      </c>
      <c r="E843" s="78">
        <f>TRUNC(C843*D843,2)</f>
        <v>0.23</v>
      </c>
    </row>
    <row r="844" ht="25.5" spans="1:5">
      <c r="A844" s="76" t="s">
        <v>2637</v>
      </c>
      <c r="B844" s="77" t="s">
        <v>112</v>
      </c>
      <c r="C844" s="78">
        <v>0.1811</v>
      </c>
      <c r="D844" s="78">
        <v>26.81</v>
      </c>
      <c r="E844" s="78">
        <f>TRUNC(C844*D844,2)</f>
        <v>4.85</v>
      </c>
    </row>
    <row r="845" spans="1:5">
      <c r="A845" s="76" t="s">
        <v>2621</v>
      </c>
      <c r="B845" s="77" t="s">
        <v>839</v>
      </c>
      <c r="C845" s="78">
        <v>0.1899</v>
      </c>
      <c r="D845" s="78">
        <v>23.75</v>
      </c>
      <c r="E845" s="78">
        <f>TRUNC(C845*D845,2)</f>
        <v>4.51</v>
      </c>
    </row>
    <row r="846" spans="1:5">
      <c r="A846" s="76" t="s">
        <v>2577</v>
      </c>
      <c r="B846" s="77" t="s">
        <v>839</v>
      </c>
      <c r="C846" s="78">
        <v>0.4432</v>
      </c>
      <c r="D846" s="78">
        <v>30.91</v>
      </c>
      <c r="E846" s="78">
        <f>TRUNC(C846*D846,2)</f>
        <v>13.69</v>
      </c>
    </row>
    <row r="847" spans="1:5">
      <c r="A847" s="76" t="s">
        <v>122</v>
      </c>
      <c r="B847" s="77"/>
      <c r="C847" s="78"/>
      <c r="D847" s="78"/>
      <c r="E847" s="78">
        <f>SUM(E842:E846)</f>
        <v>24.75</v>
      </c>
    </row>
    <row r="848" spans="1:5">
      <c r="A848" s="76"/>
      <c r="B848" s="77"/>
      <c r="C848" s="78"/>
      <c r="D848" s="78"/>
      <c r="E848" s="78"/>
    </row>
    <row r="849" spans="1:5">
      <c r="A849" s="76" t="s">
        <v>2538</v>
      </c>
      <c r="B849" s="77"/>
      <c r="C849" s="78"/>
      <c r="D849" s="78"/>
      <c r="E849" s="78">
        <f>E847</f>
        <v>24.75</v>
      </c>
    </row>
    <row r="850" spans="1:5">
      <c r="A850" s="76" t="s">
        <v>2539</v>
      </c>
      <c r="B850" s="77"/>
      <c r="C850" s="78"/>
      <c r="D850" s="78">
        <v>0</v>
      </c>
      <c r="E850" s="78">
        <f>TRUNC(D850*E849/100,2)</f>
        <v>0</v>
      </c>
    </row>
    <row r="851" spans="1:5">
      <c r="A851" s="76" t="s">
        <v>2540</v>
      </c>
      <c r="B851" s="77"/>
      <c r="C851" s="78"/>
      <c r="D851" s="78"/>
      <c r="E851" s="78">
        <f>E849+E850</f>
        <v>24.75</v>
      </c>
    </row>
    <row r="852" spans="1:5">
      <c r="A852" s="76"/>
      <c r="B852" s="77"/>
      <c r="C852" s="78"/>
      <c r="D852" s="78"/>
      <c r="E852" s="78"/>
    </row>
    <row r="853" spans="1:5">
      <c r="A853" s="76" t="s">
        <v>2751</v>
      </c>
      <c r="B853" s="77" t="s">
        <v>828</v>
      </c>
      <c r="C853" s="78"/>
      <c r="D853" s="78"/>
      <c r="E853" s="78"/>
    </row>
    <row r="854" ht="25.5" spans="1:5">
      <c r="A854" s="76" t="s">
        <v>2752</v>
      </c>
      <c r="B854" s="77"/>
      <c r="C854" s="78"/>
      <c r="D854" s="78"/>
      <c r="E854" s="78"/>
    </row>
    <row r="855" spans="1:5">
      <c r="A855" s="76" t="s">
        <v>2563</v>
      </c>
      <c r="B855" s="77"/>
      <c r="C855" s="78"/>
      <c r="D855" s="78"/>
      <c r="E855" s="78"/>
    </row>
    <row r="856" spans="1:5">
      <c r="A856" s="76"/>
      <c r="B856" s="77"/>
      <c r="C856" s="78"/>
      <c r="D856" s="78"/>
      <c r="E856" s="78"/>
    </row>
    <row r="857" spans="1:5">
      <c r="A857" s="76" t="s">
        <v>2543</v>
      </c>
      <c r="B857" s="77" t="s">
        <v>135</v>
      </c>
      <c r="C857" s="78" t="s">
        <v>136</v>
      </c>
      <c r="D857" s="78" t="s">
        <v>2534</v>
      </c>
      <c r="E857" s="78" t="s">
        <v>2535</v>
      </c>
    </row>
    <row r="858" ht="25.5" spans="1:5">
      <c r="A858" s="76" t="s">
        <v>2743</v>
      </c>
      <c r="B858" s="77" t="s">
        <v>112</v>
      </c>
      <c r="C858" s="78">
        <v>0.0724</v>
      </c>
      <c r="D858" s="78">
        <v>10.2</v>
      </c>
      <c r="E858" s="78">
        <f>TRUNC(C858*D858,2)</f>
        <v>0.73</v>
      </c>
    </row>
    <row r="859" spans="1:5">
      <c r="A859" s="76" t="s">
        <v>2583</v>
      </c>
      <c r="B859" s="77" t="s">
        <v>463</v>
      </c>
      <c r="C859" s="78">
        <v>0.0128</v>
      </c>
      <c r="D859" s="78">
        <v>18.4</v>
      </c>
      <c r="E859" s="78">
        <f>TRUNC(C859*D859,2)</f>
        <v>0.23</v>
      </c>
    </row>
    <row r="860" ht="25.5" spans="1:5">
      <c r="A860" s="76" t="s">
        <v>2637</v>
      </c>
      <c r="B860" s="77" t="s">
        <v>112</v>
      </c>
      <c r="C860" s="78">
        <v>0.1811</v>
      </c>
      <c r="D860" s="78">
        <v>26.81</v>
      </c>
      <c r="E860" s="78">
        <f>TRUNC(C860*D860,2)</f>
        <v>4.85</v>
      </c>
    </row>
    <row r="861" spans="1:5">
      <c r="A861" s="76" t="s">
        <v>2621</v>
      </c>
      <c r="B861" s="77" t="s">
        <v>839</v>
      </c>
      <c r="C861" s="78">
        <v>0.0955</v>
      </c>
      <c r="D861" s="78">
        <v>23.75</v>
      </c>
      <c r="E861" s="78">
        <f>TRUNC(C861*D861,2)</f>
        <v>2.26</v>
      </c>
    </row>
    <row r="862" spans="1:5">
      <c r="A862" s="76" t="s">
        <v>2577</v>
      </c>
      <c r="B862" s="77" t="s">
        <v>839</v>
      </c>
      <c r="C862" s="78">
        <v>0.2228</v>
      </c>
      <c r="D862" s="78">
        <v>30.91</v>
      </c>
      <c r="E862" s="78">
        <f>TRUNC(C862*D862,2)</f>
        <v>6.88</v>
      </c>
    </row>
    <row r="863" spans="1:5">
      <c r="A863" s="76" t="s">
        <v>122</v>
      </c>
      <c r="B863" s="77"/>
      <c r="C863" s="78"/>
      <c r="D863" s="78"/>
      <c r="E863" s="78">
        <f>SUM(E858:E862)</f>
        <v>14.95</v>
      </c>
    </row>
    <row r="864" spans="1:5">
      <c r="A864" s="76"/>
      <c r="B864" s="77"/>
      <c r="C864" s="78"/>
      <c r="D864" s="78"/>
      <c r="E864" s="78"/>
    </row>
    <row r="865" spans="1:5">
      <c r="A865" s="76" t="s">
        <v>2538</v>
      </c>
      <c r="B865" s="77"/>
      <c r="C865" s="78"/>
      <c r="D865" s="78"/>
      <c r="E865" s="78">
        <f>E863</f>
        <v>14.95</v>
      </c>
    </row>
    <row r="866" spans="1:5">
      <c r="A866" s="76" t="s">
        <v>2539</v>
      </c>
      <c r="B866" s="77"/>
      <c r="C866" s="78"/>
      <c r="D866" s="78">
        <v>0</v>
      </c>
      <c r="E866" s="78">
        <f>TRUNC(D866*E865/100,2)</f>
        <v>0</v>
      </c>
    </row>
    <row r="867" spans="1:5">
      <c r="A867" s="76" t="s">
        <v>2540</v>
      </c>
      <c r="B867" s="77"/>
      <c r="C867" s="78"/>
      <c r="D867" s="78"/>
      <c r="E867" s="78">
        <f>E865+E866</f>
        <v>14.95</v>
      </c>
    </row>
    <row r="868" spans="1:5">
      <c r="A868" s="76"/>
      <c r="B868" s="77"/>
      <c r="C868" s="78"/>
      <c r="D868" s="78"/>
      <c r="E868" s="78"/>
    </row>
    <row r="869" spans="1:5">
      <c r="A869" s="76" t="s">
        <v>2753</v>
      </c>
      <c r="B869" s="77" t="s">
        <v>830</v>
      </c>
      <c r="C869" s="78"/>
      <c r="D869" s="78"/>
      <c r="E869" s="78"/>
    </row>
    <row r="870" ht="25.5" spans="1:5">
      <c r="A870" s="76" t="s">
        <v>2754</v>
      </c>
      <c r="B870" s="77"/>
      <c r="C870" s="78"/>
      <c r="D870" s="78"/>
      <c r="E870" s="78"/>
    </row>
    <row r="871" spans="1:5">
      <c r="A871" s="76" t="s">
        <v>2619</v>
      </c>
      <c r="B871" s="77"/>
      <c r="C871" s="78"/>
      <c r="D871" s="78"/>
      <c r="E871" s="78"/>
    </row>
    <row r="872" spans="1:5">
      <c r="A872" s="76"/>
      <c r="B872" s="77"/>
      <c r="C872" s="78"/>
      <c r="D872" s="78"/>
      <c r="E872" s="78"/>
    </row>
    <row r="873" spans="1:5">
      <c r="A873" s="76" t="s">
        <v>2543</v>
      </c>
      <c r="B873" s="77" t="s">
        <v>135</v>
      </c>
      <c r="C873" s="78" t="s">
        <v>136</v>
      </c>
      <c r="D873" s="78" t="s">
        <v>2534</v>
      </c>
      <c r="E873" s="78" t="s">
        <v>2535</v>
      </c>
    </row>
    <row r="874" ht="25.5" spans="1:5">
      <c r="A874" s="76" t="s">
        <v>2755</v>
      </c>
      <c r="B874" s="77" t="s">
        <v>476</v>
      </c>
      <c r="C874" s="78">
        <v>1.1</v>
      </c>
      <c r="D874" s="78">
        <v>205</v>
      </c>
      <c r="E874" s="78">
        <f t="shared" ref="E874:E880" si="18">TRUNC(C874*D874,2)</f>
        <v>225.5</v>
      </c>
    </row>
    <row r="875" spans="1:5">
      <c r="A875" s="76" t="s">
        <v>2621</v>
      </c>
      <c r="B875" s="77" t="s">
        <v>839</v>
      </c>
      <c r="C875" s="78">
        <v>0.666</v>
      </c>
      <c r="D875" s="78">
        <v>23.75</v>
      </c>
      <c r="E875" s="78">
        <f t="shared" si="18"/>
        <v>15.81</v>
      </c>
    </row>
    <row r="876" spans="1:5">
      <c r="A876" s="76" t="s">
        <v>2630</v>
      </c>
      <c r="B876" s="77" t="s">
        <v>839</v>
      </c>
      <c r="C876" s="78">
        <v>0.444</v>
      </c>
      <c r="D876" s="78">
        <v>31.34</v>
      </c>
      <c r="E876" s="78">
        <f t="shared" si="18"/>
        <v>13.91</v>
      </c>
    </row>
    <row r="877" ht="51" spans="1:5">
      <c r="A877" s="76" t="s">
        <v>2720</v>
      </c>
      <c r="B877" s="77" t="s">
        <v>977</v>
      </c>
      <c r="C877" s="78">
        <v>0.0617</v>
      </c>
      <c r="D877" s="78">
        <v>146.19</v>
      </c>
      <c r="E877" s="78">
        <f t="shared" si="18"/>
        <v>9.01</v>
      </c>
    </row>
    <row r="878" ht="25.5" spans="1:5">
      <c r="A878" s="76" t="s">
        <v>2645</v>
      </c>
      <c r="B878" s="77" t="s">
        <v>977</v>
      </c>
      <c r="C878" s="78">
        <v>0.0325</v>
      </c>
      <c r="D878" s="78">
        <v>34.3</v>
      </c>
      <c r="E878" s="78">
        <f t="shared" si="18"/>
        <v>1.11</v>
      </c>
    </row>
    <row r="879" ht="51" spans="1:5">
      <c r="A879" s="76" t="s">
        <v>2721</v>
      </c>
      <c r="B879" s="77" t="s">
        <v>979</v>
      </c>
      <c r="C879" s="78">
        <v>0.3083</v>
      </c>
      <c r="D879" s="78">
        <v>62.96</v>
      </c>
      <c r="E879" s="78">
        <f t="shared" si="18"/>
        <v>19.41</v>
      </c>
    </row>
    <row r="880" ht="25.5" spans="1:5">
      <c r="A880" s="76" t="s">
        <v>2756</v>
      </c>
      <c r="B880" s="77" t="s">
        <v>979</v>
      </c>
      <c r="C880" s="78">
        <v>0.0302</v>
      </c>
      <c r="D880" s="78">
        <v>27.12</v>
      </c>
      <c r="E880" s="78">
        <f t="shared" si="18"/>
        <v>0.81</v>
      </c>
    </row>
    <row r="881" spans="1:5">
      <c r="A881" s="76" t="s">
        <v>122</v>
      </c>
      <c r="B881" s="77"/>
      <c r="C881" s="78"/>
      <c r="D881" s="78"/>
      <c r="E881" s="78">
        <f>SUM(E874:E880)</f>
        <v>285.56</v>
      </c>
    </row>
    <row r="882" spans="1:5">
      <c r="A882" s="76"/>
      <c r="B882" s="77"/>
      <c r="C882" s="78"/>
      <c r="D882" s="78"/>
      <c r="E882" s="78"/>
    </row>
    <row r="883" spans="1:5">
      <c r="A883" s="76" t="s">
        <v>2538</v>
      </c>
      <c r="B883" s="77"/>
      <c r="C883" s="78"/>
      <c r="D883" s="78"/>
      <c r="E883" s="78">
        <f>E881</f>
        <v>285.56</v>
      </c>
    </row>
    <row r="884" spans="1:5">
      <c r="A884" s="76" t="s">
        <v>2539</v>
      </c>
      <c r="B884" s="77"/>
      <c r="C884" s="78"/>
      <c r="D884" s="78">
        <v>0</v>
      </c>
      <c r="E884" s="78">
        <f>TRUNC(D884*E883/100,2)</f>
        <v>0</v>
      </c>
    </row>
    <row r="885" spans="1:5">
      <c r="A885" s="76" t="s">
        <v>2540</v>
      </c>
      <c r="B885" s="77"/>
      <c r="C885" s="78"/>
      <c r="D885" s="78"/>
      <c r="E885" s="78">
        <f>E883+E884</f>
        <v>285.56</v>
      </c>
    </row>
    <row r="886" spans="1:5">
      <c r="A886" s="76"/>
      <c r="B886" s="77"/>
      <c r="C886" s="78"/>
      <c r="D886" s="78"/>
      <c r="E886" s="78"/>
    </row>
    <row r="887" spans="1:5">
      <c r="A887" s="76" t="s">
        <v>2757</v>
      </c>
      <c r="B887" s="77" t="s">
        <v>832</v>
      </c>
      <c r="C887" s="78"/>
      <c r="D887" s="78"/>
      <c r="E887" s="78"/>
    </row>
    <row r="888" ht="25.5" spans="1:5">
      <c r="A888" s="76" t="s">
        <v>2758</v>
      </c>
      <c r="B888" s="77"/>
      <c r="C888" s="78"/>
      <c r="D888" s="78"/>
      <c r="E888" s="78"/>
    </row>
    <row r="889" spans="1:5">
      <c r="A889" s="76" t="s">
        <v>2563</v>
      </c>
      <c r="B889" s="77"/>
      <c r="C889" s="78"/>
      <c r="D889" s="78"/>
      <c r="E889" s="78"/>
    </row>
    <row r="890" spans="1:5">
      <c r="A890" s="76"/>
      <c r="B890" s="77"/>
      <c r="C890" s="78"/>
      <c r="D890" s="78"/>
      <c r="E890" s="78"/>
    </row>
    <row r="891" spans="1:5">
      <c r="A891" s="76" t="s">
        <v>2543</v>
      </c>
      <c r="B891" s="77" t="s">
        <v>135</v>
      </c>
      <c r="C891" s="78" t="s">
        <v>136</v>
      </c>
      <c r="D891" s="78" t="s">
        <v>2534</v>
      </c>
      <c r="E891" s="78" t="s">
        <v>2535</v>
      </c>
    </row>
    <row r="892" spans="1:5">
      <c r="A892" s="76" t="s">
        <v>2621</v>
      </c>
      <c r="B892" s="77" t="s">
        <v>839</v>
      </c>
      <c r="C892" s="78">
        <v>0.1531</v>
      </c>
      <c r="D892" s="78">
        <v>23.75</v>
      </c>
      <c r="E892" s="78">
        <f>TRUNC(C892*D892,2)</f>
        <v>3.63</v>
      </c>
    </row>
    <row r="893" spans="1:5">
      <c r="A893" s="76" t="s">
        <v>2630</v>
      </c>
      <c r="B893" s="77" t="s">
        <v>839</v>
      </c>
      <c r="C893" s="78">
        <v>0.102</v>
      </c>
      <c r="D893" s="78">
        <v>31.34</v>
      </c>
      <c r="E893" s="78">
        <f>TRUNC(C893*D893,2)</f>
        <v>3.19</v>
      </c>
    </row>
    <row r="894" ht="25.5" spans="1:5">
      <c r="A894" s="76" t="s">
        <v>2645</v>
      </c>
      <c r="B894" s="77" t="s">
        <v>977</v>
      </c>
      <c r="C894" s="78">
        <v>0.0036</v>
      </c>
      <c r="D894" s="78">
        <v>34.3</v>
      </c>
      <c r="E894" s="78">
        <f>TRUNC(C894*D894,2)</f>
        <v>0.12</v>
      </c>
    </row>
    <row r="895" ht="25.5" spans="1:5">
      <c r="A895" s="76" t="s">
        <v>2756</v>
      </c>
      <c r="B895" s="77" t="s">
        <v>979</v>
      </c>
      <c r="C895" s="78">
        <v>0.0036</v>
      </c>
      <c r="D895" s="78">
        <v>27.12</v>
      </c>
      <c r="E895" s="78">
        <f>TRUNC(C895*D895,2)</f>
        <v>0.09</v>
      </c>
    </row>
    <row r="896" spans="1:5">
      <c r="A896" s="76" t="s">
        <v>122</v>
      </c>
      <c r="B896" s="77"/>
      <c r="C896" s="78"/>
      <c r="D896" s="78"/>
      <c r="E896" s="78">
        <f>SUM(E892:E895)</f>
        <v>7.03</v>
      </c>
    </row>
    <row r="897" spans="1:5">
      <c r="A897" s="76"/>
      <c r="B897" s="77"/>
      <c r="C897" s="78"/>
      <c r="D897" s="78"/>
      <c r="E897" s="78"/>
    </row>
    <row r="898" spans="1:5">
      <c r="A898" s="76" t="s">
        <v>2538</v>
      </c>
      <c r="B898" s="77"/>
      <c r="C898" s="78"/>
      <c r="D898" s="78"/>
      <c r="E898" s="78">
        <f>E896</f>
        <v>7.03</v>
      </c>
    </row>
    <row r="899" spans="1:5">
      <c r="A899" s="76" t="s">
        <v>2539</v>
      </c>
      <c r="B899" s="77"/>
      <c r="C899" s="78"/>
      <c r="D899" s="78">
        <v>0</v>
      </c>
      <c r="E899" s="78">
        <f>TRUNC(D899*E898/100,2)</f>
        <v>0</v>
      </c>
    </row>
    <row r="900" spans="1:5">
      <c r="A900" s="76" t="s">
        <v>2540</v>
      </c>
      <c r="B900" s="77"/>
      <c r="C900" s="78"/>
      <c r="D900" s="78"/>
      <c r="E900" s="78">
        <f>E898+E899</f>
        <v>7.03</v>
      </c>
    </row>
    <row r="901" spans="1:5">
      <c r="A901" s="76"/>
      <c r="B901" s="77"/>
      <c r="C901" s="78"/>
      <c r="D901" s="78"/>
      <c r="E901" s="78"/>
    </row>
    <row r="902" spans="1:5">
      <c r="A902" s="76" t="s">
        <v>2759</v>
      </c>
      <c r="B902" s="77" t="s">
        <v>834</v>
      </c>
      <c r="C902" s="78"/>
      <c r="D902" s="78"/>
      <c r="E902" s="78"/>
    </row>
    <row r="903" ht="25.5" spans="1:5">
      <c r="A903" s="76" t="s">
        <v>2760</v>
      </c>
      <c r="B903" s="77"/>
      <c r="C903" s="78"/>
      <c r="D903" s="78"/>
      <c r="E903" s="78"/>
    </row>
    <row r="904" spans="1:5">
      <c r="A904" s="76" t="s">
        <v>2591</v>
      </c>
      <c r="B904" s="77"/>
      <c r="C904" s="78"/>
      <c r="D904" s="78"/>
      <c r="E904" s="78"/>
    </row>
    <row r="905" spans="1:5">
      <c r="A905" s="76"/>
      <c r="B905" s="77"/>
      <c r="C905" s="78"/>
      <c r="D905" s="78"/>
      <c r="E905" s="78"/>
    </row>
    <row r="906" spans="1:5">
      <c r="A906" s="76" t="s">
        <v>2543</v>
      </c>
      <c r="B906" s="77" t="s">
        <v>135</v>
      </c>
      <c r="C906" s="78" t="s">
        <v>136</v>
      </c>
      <c r="D906" s="78" t="s">
        <v>2534</v>
      </c>
      <c r="E906" s="78" t="s">
        <v>2535</v>
      </c>
    </row>
    <row r="907" ht="25.5" spans="1:5">
      <c r="A907" s="76" t="s">
        <v>2761</v>
      </c>
      <c r="B907" s="77" t="s">
        <v>112</v>
      </c>
      <c r="C907" s="78">
        <v>1.05</v>
      </c>
      <c r="D907" s="78">
        <v>62.02</v>
      </c>
      <c r="E907" s="78">
        <f>TRUNC(C907*D907,2)</f>
        <v>65.12</v>
      </c>
    </row>
    <row r="908" spans="1:5">
      <c r="A908" s="76" t="s">
        <v>2621</v>
      </c>
      <c r="B908" s="77" t="s">
        <v>839</v>
      </c>
      <c r="C908" s="78">
        <v>0.0148</v>
      </c>
      <c r="D908" s="78">
        <v>23.75</v>
      </c>
      <c r="E908" s="78">
        <f>TRUNC(C908*D908,2)</f>
        <v>0.35</v>
      </c>
    </row>
    <row r="909" spans="1:5">
      <c r="A909" s="76" t="s">
        <v>2630</v>
      </c>
      <c r="B909" s="77" t="s">
        <v>839</v>
      </c>
      <c r="C909" s="78">
        <v>0.0049</v>
      </c>
      <c r="D909" s="78">
        <v>31.34</v>
      </c>
      <c r="E909" s="78">
        <f>TRUNC(C909*D909,2)</f>
        <v>0.15</v>
      </c>
    </row>
    <row r="910" spans="1:5">
      <c r="A910" s="76" t="s">
        <v>122</v>
      </c>
      <c r="B910" s="77"/>
      <c r="C910" s="78"/>
      <c r="D910" s="78"/>
      <c r="E910" s="78">
        <f>SUM(E907:E909)</f>
        <v>65.62</v>
      </c>
    </row>
    <row r="911" spans="1:5">
      <c r="A911" s="76"/>
      <c r="B911" s="77"/>
      <c r="C911" s="78"/>
      <c r="D911" s="78"/>
      <c r="E911" s="78"/>
    </row>
    <row r="912" spans="1:5">
      <c r="A912" s="76" t="s">
        <v>2538</v>
      </c>
      <c r="B912" s="77"/>
      <c r="C912" s="78"/>
      <c r="D912" s="78"/>
      <c r="E912" s="78">
        <f>E910</f>
        <v>65.62</v>
      </c>
    </row>
    <row r="913" spans="1:5">
      <c r="A913" s="76" t="s">
        <v>2539</v>
      </c>
      <c r="B913" s="77"/>
      <c r="C913" s="78"/>
      <c r="D913" s="78">
        <v>0</v>
      </c>
      <c r="E913" s="78">
        <f>TRUNC(D913*E912/100,2)</f>
        <v>0</v>
      </c>
    </row>
    <row r="914" spans="1:5">
      <c r="A914" s="76" t="s">
        <v>2540</v>
      </c>
      <c r="B914" s="77"/>
      <c r="C914" s="78"/>
      <c r="D914" s="78"/>
      <c r="E914" s="78">
        <f>E912+E913</f>
        <v>65.62</v>
      </c>
    </row>
    <row r="915" spans="1:5">
      <c r="A915" s="76"/>
      <c r="B915" s="77"/>
      <c r="C915" s="78"/>
      <c r="D915" s="78"/>
      <c r="E915" s="78"/>
    </row>
    <row r="916" spans="1:5">
      <c r="A916" s="76" t="s">
        <v>2762</v>
      </c>
      <c r="B916" s="77" t="s">
        <v>837</v>
      </c>
      <c r="C916" s="78"/>
      <c r="D916" s="78"/>
      <c r="E916" s="78"/>
    </row>
    <row r="917" spans="1:5">
      <c r="A917" s="76" t="s">
        <v>2763</v>
      </c>
      <c r="B917" s="77"/>
      <c r="C917" s="78"/>
      <c r="D917" s="78"/>
      <c r="E917" s="78"/>
    </row>
    <row r="918" spans="1:5">
      <c r="A918" s="76" t="s">
        <v>2764</v>
      </c>
      <c r="B918" s="77"/>
      <c r="C918" s="78"/>
      <c r="D918" s="78"/>
      <c r="E918" s="78"/>
    </row>
    <row r="919" spans="1:5">
      <c r="A919" s="76"/>
      <c r="B919" s="77"/>
      <c r="C919" s="78"/>
      <c r="D919" s="78"/>
      <c r="E919" s="78"/>
    </row>
    <row r="920" spans="1:5">
      <c r="A920" s="76" t="s">
        <v>2543</v>
      </c>
      <c r="B920" s="77" t="s">
        <v>135</v>
      </c>
      <c r="C920" s="78" t="s">
        <v>136</v>
      </c>
      <c r="D920" s="78" t="s">
        <v>2534</v>
      </c>
      <c r="E920" s="78" t="s">
        <v>2535</v>
      </c>
    </row>
    <row r="921" spans="1:5">
      <c r="A921" s="76" t="s">
        <v>2765</v>
      </c>
      <c r="B921" s="77" t="s">
        <v>839</v>
      </c>
      <c r="C921" s="78">
        <v>1</v>
      </c>
      <c r="D921" s="78">
        <v>31.72</v>
      </c>
      <c r="E921" s="78">
        <f>TRUNC(C921*D921,2)</f>
        <v>31.72</v>
      </c>
    </row>
    <row r="922" ht="38.25" spans="1:5">
      <c r="A922" s="76" t="s">
        <v>2766</v>
      </c>
      <c r="B922" s="77" t="s">
        <v>977</v>
      </c>
      <c r="C922" s="78">
        <v>0.25</v>
      </c>
      <c r="D922" s="78">
        <v>2.28</v>
      </c>
      <c r="E922" s="78">
        <f>TRUNC(C922*D922,2)</f>
        <v>0.57</v>
      </c>
    </row>
    <row r="923" ht="38.25" spans="1:5">
      <c r="A923" s="76" t="s">
        <v>2767</v>
      </c>
      <c r="B923" s="77" t="s">
        <v>979</v>
      </c>
      <c r="C923" s="78">
        <v>0.75</v>
      </c>
      <c r="D923" s="78">
        <v>0.47</v>
      </c>
      <c r="E923" s="78">
        <f>TRUNC(C923*D923,2)</f>
        <v>0.35</v>
      </c>
    </row>
    <row r="924" spans="1:5">
      <c r="A924" s="76" t="s">
        <v>122</v>
      </c>
      <c r="B924" s="77"/>
      <c r="C924" s="78"/>
      <c r="D924" s="78"/>
      <c r="E924" s="78">
        <f>SUM(E921:E923)</f>
        <v>32.64</v>
      </c>
    </row>
    <row r="925" spans="1:5">
      <c r="A925" s="76"/>
      <c r="B925" s="77"/>
      <c r="C925" s="78"/>
      <c r="D925" s="78"/>
      <c r="E925" s="78"/>
    </row>
    <row r="926" spans="1:5">
      <c r="A926" s="76" t="s">
        <v>2538</v>
      </c>
      <c r="B926" s="77"/>
      <c r="C926" s="78"/>
      <c r="D926" s="78"/>
      <c r="E926" s="78">
        <f>E924</f>
        <v>32.64</v>
      </c>
    </row>
    <row r="927" spans="1:5">
      <c r="A927" s="76" t="s">
        <v>2539</v>
      </c>
      <c r="B927" s="77"/>
      <c r="C927" s="78"/>
      <c r="D927" s="78">
        <v>0</v>
      </c>
      <c r="E927" s="78">
        <f>TRUNC(D927*E926/100,2)</f>
        <v>0</v>
      </c>
    </row>
    <row r="928" spans="1:5">
      <c r="A928" s="76" t="s">
        <v>2540</v>
      </c>
      <c r="B928" s="77"/>
      <c r="C928" s="78"/>
      <c r="D928" s="78"/>
      <c r="E928" s="78">
        <f>E926+E927</f>
        <v>32.64</v>
      </c>
    </row>
    <row r="929" spans="1:5">
      <c r="A929" s="76"/>
      <c r="B929" s="77"/>
      <c r="C929" s="78"/>
      <c r="D929" s="78"/>
      <c r="E929" s="78"/>
    </row>
    <row r="930" spans="1:5">
      <c r="A930" s="76" t="s">
        <v>2768</v>
      </c>
      <c r="B930" s="77" t="s">
        <v>562</v>
      </c>
      <c r="C930" s="78"/>
      <c r="D930" s="78"/>
      <c r="E930" s="78"/>
    </row>
    <row r="931" ht="38.25" spans="1:5">
      <c r="A931" s="76" t="s">
        <v>2769</v>
      </c>
      <c r="B931" s="77"/>
      <c r="C931" s="78"/>
      <c r="D931" s="78"/>
      <c r="E931" s="78"/>
    </row>
    <row r="932" spans="1:5">
      <c r="A932" s="76" t="s">
        <v>2563</v>
      </c>
      <c r="B932" s="77"/>
      <c r="C932" s="78"/>
      <c r="D932" s="78"/>
      <c r="E932" s="78"/>
    </row>
    <row r="933" spans="1:5">
      <c r="A933" s="76"/>
      <c r="B933" s="77"/>
      <c r="C933" s="78"/>
      <c r="D933" s="78"/>
      <c r="E933" s="78"/>
    </row>
    <row r="934" spans="1:5">
      <c r="A934" s="76" t="s">
        <v>2543</v>
      </c>
      <c r="B934" s="77" t="s">
        <v>135</v>
      </c>
      <c r="C934" s="78" t="s">
        <v>136</v>
      </c>
      <c r="D934" s="78" t="s">
        <v>2534</v>
      </c>
      <c r="E934" s="78" t="s">
        <v>2535</v>
      </c>
    </row>
    <row r="935" ht="25.5" spans="1:5">
      <c r="A935" s="76" t="s">
        <v>2770</v>
      </c>
      <c r="B935" s="77" t="s">
        <v>494</v>
      </c>
      <c r="C935" s="78">
        <v>15.29</v>
      </c>
      <c r="D935" s="78">
        <v>2.19</v>
      </c>
      <c r="E935" s="78">
        <f t="shared" ref="E935:E940" si="19">TRUNC(C935*D935,2)</f>
        <v>33.48</v>
      </c>
    </row>
    <row r="936" ht="25.5" spans="1:5">
      <c r="A936" s="76" t="s">
        <v>2771</v>
      </c>
      <c r="B936" s="77" t="s">
        <v>494</v>
      </c>
      <c r="C936" s="78">
        <v>1.27</v>
      </c>
      <c r="D936" s="78">
        <v>2.92</v>
      </c>
      <c r="E936" s="78">
        <f t="shared" si="19"/>
        <v>3.7</v>
      </c>
    </row>
    <row r="937" ht="25.5" spans="1:5">
      <c r="A937" s="76" t="s">
        <v>2772</v>
      </c>
      <c r="B937" s="77" t="s">
        <v>494</v>
      </c>
      <c r="C937" s="78">
        <v>1.53</v>
      </c>
      <c r="D937" s="78">
        <v>1.35</v>
      </c>
      <c r="E937" s="78">
        <f t="shared" si="19"/>
        <v>2.06</v>
      </c>
    </row>
    <row r="938" spans="1:5">
      <c r="A938" s="76" t="s">
        <v>2621</v>
      </c>
      <c r="B938" s="77" t="s">
        <v>839</v>
      </c>
      <c r="C938" s="78">
        <v>0.43</v>
      </c>
      <c r="D938" s="78">
        <v>23.75</v>
      </c>
      <c r="E938" s="78">
        <f t="shared" si="19"/>
        <v>10.21</v>
      </c>
    </row>
    <row r="939" spans="1:5">
      <c r="A939" s="76" t="s">
        <v>2630</v>
      </c>
      <c r="B939" s="77" t="s">
        <v>839</v>
      </c>
      <c r="C939" s="78">
        <v>0.86</v>
      </c>
      <c r="D939" s="78">
        <v>31.34</v>
      </c>
      <c r="E939" s="78">
        <f t="shared" si="19"/>
        <v>26.95</v>
      </c>
    </row>
    <row r="940" ht="38.25" spans="1:5">
      <c r="A940" s="76" t="s">
        <v>2773</v>
      </c>
      <c r="B940" s="77" t="s">
        <v>476</v>
      </c>
      <c r="C940" s="78">
        <v>0.0143</v>
      </c>
      <c r="D940" s="78">
        <v>849.33</v>
      </c>
      <c r="E940" s="78">
        <f t="shared" si="19"/>
        <v>12.14</v>
      </c>
    </row>
    <row r="941" spans="1:5">
      <c r="A941" s="76" t="s">
        <v>122</v>
      </c>
      <c r="B941" s="77"/>
      <c r="C941" s="78"/>
      <c r="D941" s="78"/>
      <c r="E941" s="78">
        <f>SUM(E935:E940)</f>
        <v>88.54</v>
      </c>
    </row>
    <row r="942" spans="1:5">
      <c r="A942" s="76"/>
      <c r="B942" s="77"/>
      <c r="C942" s="78"/>
      <c r="D942" s="78"/>
      <c r="E942" s="78"/>
    </row>
    <row r="943" spans="1:5">
      <c r="A943" s="76" t="s">
        <v>2538</v>
      </c>
      <c r="B943" s="77"/>
      <c r="C943" s="78"/>
      <c r="D943" s="78"/>
      <c r="E943" s="78">
        <f>E941</f>
        <v>88.54</v>
      </c>
    </row>
    <row r="944" spans="1:5">
      <c r="A944" s="76" t="s">
        <v>2539</v>
      </c>
      <c r="B944" s="77"/>
      <c r="C944" s="78"/>
      <c r="D944" s="78">
        <v>0</v>
      </c>
      <c r="E944" s="78">
        <f>TRUNC(D944*E943/100,2)</f>
        <v>0</v>
      </c>
    </row>
    <row r="945" spans="1:5">
      <c r="A945" s="76" t="s">
        <v>2540</v>
      </c>
      <c r="B945" s="77"/>
      <c r="C945" s="78"/>
      <c r="D945" s="78"/>
      <c r="E945" s="78">
        <f>E943+E944</f>
        <v>88.54</v>
      </c>
    </row>
    <row r="946" spans="1:5">
      <c r="A946" s="76"/>
      <c r="B946" s="77"/>
      <c r="C946" s="78"/>
      <c r="D946" s="78"/>
      <c r="E946" s="78"/>
    </row>
    <row r="947" spans="1:5">
      <c r="A947" s="76" t="s">
        <v>2774</v>
      </c>
      <c r="B947" s="77" t="s">
        <v>840</v>
      </c>
      <c r="C947" s="78"/>
      <c r="D947" s="78"/>
      <c r="E947" s="78"/>
    </row>
    <row r="948" ht="38.25" spans="1:5">
      <c r="A948" s="76" t="s">
        <v>2775</v>
      </c>
      <c r="B948" s="77"/>
      <c r="C948" s="78"/>
      <c r="D948" s="78"/>
      <c r="E948" s="78"/>
    </row>
    <row r="949" spans="1:5">
      <c r="A949" s="76" t="s">
        <v>2776</v>
      </c>
      <c r="B949" s="77"/>
      <c r="C949" s="78"/>
      <c r="D949" s="78"/>
      <c r="E949" s="78"/>
    </row>
    <row r="950" spans="1:5">
      <c r="A950" s="76"/>
      <c r="B950" s="77"/>
      <c r="C950" s="78"/>
      <c r="D950" s="78"/>
      <c r="E950" s="78"/>
    </row>
    <row r="951" spans="1:5">
      <c r="A951" s="76" t="s">
        <v>2543</v>
      </c>
      <c r="B951" s="77" t="s">
        <v>135</v>
      </c>
      <c r="C951" s="78" t="s">
        <v>136</v>
      </c>
      <c r="D951" s="78" t="s">
        <v>2534</v>
      </c>
      <c r="E951" s="78" t="s">
        <v>2535</v>
      </c>
    </row>
    <row r="952" ht="25.5" spans="1:5">
      <c r="A952" s="76" t="s">
        <v>2777</v>
      </c>
      <c r="B952" s="77" t="s">
        <v>463</v>
      </c>
      <c r="C952" s="78">
        <v>0.025</v>
      </c>
      <c r="D952" s="78">
        <v>19.38</v>
      </c>
      <c r="E952" s="78">
        <f>TRUNC(C952*D952,2)</f>
        <v>0.48</v>
      </c>
    </row>
    <row r="953" ht="25.5" spans="1:5">
      <c r="A953" s="76" t="s">
        <v>2778</v>
      </c>
      <c r="B953" s="77" t="s">
        <v>494</v>
      </c>
      <c r="C953" s="78">
        <v>0.543</v>
      </c>
      <c r="D953" s="78">
        <v>0.22</v>
      </c>
      <c r="E953" s="78">
        <f>TRUNC(C953*D953,2)</f>
        <v>0.11</v>
      </c>
    </row>
    <row r="954" spans="1:5">
      <c r="A954" s="76" t="s">
        <v>2779</v>
      </c>
      <c r="B954" s="77" t="s">
        <v>839</v>
      </c>
      <c r="C954" s="78">
        <v>0.0116</v>
      </c>
      <c r="D954" s="78">
        <v>24.57</v>
      </c>
      <c r="E954" s="78">
        <f>TRUNC(C954*D954,2)</f>
        <v>0.28</v>
      </c>
    </row>
    <row r="955" spans="1:5">
      <c r="A955" s="76" t="s">
        <v>2780</v>
      </c>
      <c r="B955" s="77" t="s">
        <v>839</v>
      </c>
      <c r="C955" s="78">
        <v>0.0709</v>
      </c>
      <c r="D955" s="78">
        <v>31.13</v>
      </c>
      <c r="E955" s="78">
        <f>TRUNC(C955*D955,2)</f>
        <v>2.2</v>
      </c>
    </row>
    <row r="956" spans="1:5">
      <c r="A956" s="76" t="s">
        <v>2781</v>
      </c>
      <c r="B956" s="77" t="s">
        <v>463</v>
      </c>
      <c r="C956" s="78">
        <v>1</v>
      </c>
      <c r="D956" s="78">
        <v>9.96</v>
      </c>
      <c r="E956" s="78">
        <f>TRUNC(C956*D956,2)</f>
        <v>9.96</v>
      </c>
    </row>
    <row r="957" spans="1:5">
      <c r="A957" s="76" t="s">
        <v>122</v>
      </c>
      <c r="B957" s="77"/>
      <c r="C957" s="78"/>
      <c r="D957" s="78"/>
      <c r="E957" s="78">
        <f>SUM(E952:E956)</f>
        <v>13.03</v>
      </c>
    </row>
    <row r="958" spans="1:5">
      <c r="A958" s="76"/>
      <c r="B958" s="77"/>
      <c r="C958" s="78"/>
      <c r="D958" s="78"/>
      <c r="E958" s="78"/>
    </row>
    <row r="959" spans="1:5">
      <c r="A959" s="76" t="s">
        <v>2538</v>
      </c>
      <c r="B959" s="77"/>
      <c r="C959" s="78"/>
      <c r="D959" s="78"/>
      <c r="E959" s="78">
        <f>E957</f>
        <v>13.03</v>
      </c>
    </row>
    <row r="960" spans="1:5">
      <c r="A960" s="76" t="s">
        <v>2539</v>
      </c>
      <c r="B960" s="77"/>
      <c r="C960" s="78"/>
      <c r="D960" s="78">
        <v>0</v>
      </c>
      <c r="E960" s="78">
        <f>TRUNC(D960*E959/100,2)</f>
        <v>0</v>
      </c>
    </row>
    <row r="961" spans="1:5">
      <c r="A961" s="76" t="s">
        <v>2540</v>
      </c>
      <c r="B961" s="77"/>
      <c r="C961" s="78"/>
      <c r="D961" s="78"/>
      <c r="E961" s="78">
        <f>E959+E960</f>
        <v>13.03</v>
      </c>
    </row>
    <row r="962" spans="1:5">
      <c r="A962" s="76"/>
      <c r="B962" s="77"/>
      <c r="C962" s="78"/>
      <c r="D962" s="78"/>
      <c r="E962" s="78"/>
    </row>
    <row r="963" spans="1:5">
      <c r="A963" s="76" t="s">
        <v>2782</v>
      </c>
      <c r="B963" s="77" t="s">
        <v>842</v>
      </c>
      <c r="C963" s="78"/>
      <c r="D963" s="78"/>
      <c r="E963" s="78"/>
    </row>
    <row r="964" ht="38.25" spans="1:5">
      <c r="A964" s="76" t="s">
        <v>2783</v>
      </c>
      <c r="B964" s="77"/>
      <c r="C964" s="78"/>
      <c r="D964" s="78"/>
      <c r="E964" s="78"/>
    </row>
    <row r="965" spans="1:5">
      <c r="A965" s="76" t="s">
        <v>2776</v>
      </c>
      <c r="B965" s="77"/>
      <c r="C965" s="78"/>
      <c r="D965" s="78"/>
      <c r="E965" s="78"/>
    </row>
    <row r="966" spans="1:5">
      <c r="A966" s="76"/>
      <c r="B966" s="77"/>
      <c r="C966" s="78"/>
      <c r="D966" s="78"/>
      <c r="E966" s="78"/>
    </row>
    <row r="967" spans="1:5">
      <c r="A967" s="76" t="s">
        <v>2543</v>
      </c>
      <c r="B967" s="77" t="s">
        <v>135</v>
      </c>
      <c r="C967" s="78" t="s">
        <v>136</v>
      </c>
      <c r="D967" s="78" t="s">
        <v>2534</v>
      </c>
      <c r="E967" s="78" t="s">
        <v>2535</v>
      </c>
    </row>
    <row r="968" ht="25.5" spans="1:5">
      <c r="A968" s="76" t="s">
        <v>2777</v>
      </c>
      <c r="B968" s="77" t="s">
        <v>463</v>
      </c>
      <c r="C968" s="78">
        <v>0.025</v>
      </c>
      <c r="D968" s="78">
        <v>19.38</v>
      </c>
      <c r="E968" s="78">
        <f>TRUNC(C968*D968,2)</f>
        <v>0.48</v>
      </c>
    </row>
    <row r="969" ht="25.5" spans="1:5">
      <c r="A969" s="76" t="s">
        <v>2778</v>
      </c>
      <c r="B969" s="77" t="s">
        <v>494</v>
      </c>
      <c r="C969" s="78">
        <v>0.367</v>
      </c>
      <c r="D969" s="78">
        <v>0.22</v>
      </c>
      <c r="E969" s="78">
        <f>TRUNC(C969*D969,2)</f>
        <v>0.08</v>
      </c>
    </row>
    <row r="970" spans="1:5">
      <c r="A970" s="76" t="s">
        <v>2779</v>
      </c>
      <c r="B970" s="77" t="s">
        <v>839</v>
      </c>
      <c r="C970" s="78">
        <v>0.0076</v>
      </c>
      <c r="D970" s="78">
        <v>24.57</v>
      </c>
      <c r="E970" s="78">
        <f>TRUNC(C970*D970,2)</f>
        <v>0.18</v>
      </c>
    </row>
    <row r="971" spans="1:5">
      <c r="A971" s="76" t="s">
        <v>2780</v>
      </c>
      <c r="B971" s="77" t="s">
        <v>839</v>
      </c>
      <c r="C971" s="78">
        <v>0.0464</v>
      </c>
      <c r="D971" s="78">
        <v>31.13</v>
      </c>
      <c r="E971" s="78">
        <f>TRUNC(C971*D971,2)</f>
        <v>1.44</v>
      </c>
    </row>
    <row r="972" spans="1:5">
      <c r="A972" s="76" t="s">
        <v>2784</v>
      </c>
      <c r="B972" s="77" t="s">
        <v>463</v>
      </c>
      <c r="C972" s="78">
        <v>1</v>
      </c>
      <c r="D972" s="78">
        <v>8.53</v>
      </c>
      <c r="E972" s="78">
        <f>TRUNC(C972*D972,2)</f>
        <v>8.53</v>
      </c>
    </row>
    <row r="973" spans="1:5">
      <c r="A973" s="76" t="s">
        <v>122</v>
      </c>
      <c r="B973" s="77"/>
      <c r="C973" s="78"/>
      <c r="D973" s="78"/>
      <c r="E973" s="78">
        <f>SUM(E968:E972)</f>
        <v>10.71</v>
      </c>
    </row>
    <row r="974" spans="1:5">
      <c r="A974" s="76"/>
      <c r="B974" s="77"/>
      <c r="C974" s="78"/>
      <c r="D974" s="78"/>
      <c r="E974" s="78"/>
    </row>
    <row r="975" spans="1:5">
      <c r="A975" s="76" t="s">
        <v>2538</v>
      </c>
      <c r="B975" s="77"/>
      <c r="C975" s="78"/>
      <c r="D975" s="78"/>
      <c r="E975" s="78">
        <f>E973</f>
        <v>10.71</v>
      </c>
    </row>
    <row r="976" spans="1:5">
      <c r="A976" s="76" t="s">
        <v>2539</v>
      </c>
      <c r="B976" s="77"/>
      <c r="C976" s="78"/>
      <c r="D976" s="78">
        <v>0</v>
      </c>
      <c r="E976" s="78">
        <f>TRUNC(D976*E975/100,2)</f>
        <v>0</v>
      </c>
    </row>
    <row r="977" spans="1:5">
      <c r="A977" s="76" t="s">
        <v>2540</v>
      </c>
      <c r="B977" s="77"/>
      <c r="C977" s="78"/>
      <c r="D977" s="78"/>
      <c r="E977" s="78">
        <f>E975+E976</f>
        <v>10.71</v>
      </c>
    </row>
    <row r="978" spans="1:5">
      <c r="A978" s="76"/>
      <c r="B978" s="77"/>
      <c r="C978" s="78"/>
      <c r="D978" s="78"/>
      <c r="E978" s="78"/>
    </row>
    <row r="979" spans="1:5">
      <c r="A979" s="76" t="s">
        <v>2785</v>
      </c>
      <c r="B979" s="77" t="s">
        <v>844</v>
      </c>
      <c r="C979" s="78"/>
      <c r="D979" s="78"/>
      <c r="E979" s="78"/>
    </row>
    <row r="980" ht="38.25" spans="1:5">
      <c r="A980" s="76" t="s">
        <v>2786</v>
      </c>
      <c r="B980" s="77"/>
      <c r="C980" s="78"/>
      <c r="D980" s="78"/>
      <c r="E980" s="78"/>
    </row>
    <row r="981" spans="1:5">
      <c r="A981" s="76" t="s">
        <v>2776</v>
      </c>
      <c r="B981" s="77"/>
      <c r="C981" s="78"/>
      <c r="D981" s="78"/>
      <c r="E981" s="78"/>
    </row>
    <row r="982" spans="1:5">
      <c r="A982" s="76"/>
      <c r="B982" s="77"/>
      <c r="C982" s="78"/>
      <c r="D982" s="78"/>
      <c r="E982" s="78"/>
    </row>
    <row r="983" spans="1:5">
      <c r="A983" s="76" t="s">
        <v>2543</v>
      </c>
      <c r="B983" s="77" t="s">
        <v>135</v>
      </c>
      <c r="C983" s="78" t="s">
        <v>136</v>
      </c>
      <c r="D983" s="78" t="s">
        <v>2534</v>
      </c>
      <c r="E983" s="78" t="s">
        <v>2535</v>
      </c>
    </row>
    <row r="984" ht="25.5" spans="1:5">
      <c r="A984" s="76" t="s">
        <v>2777</v>
      </c>
      <c r="B984" s="77" t="s">
        <v>463</v>
      </c>
      <c r="C984" s="78">
        <v>0.025</v>
      </c>
      <c r="D984" s="78">
        <v>19.38</v>
      </c>
      <c r="E984" s="78">
        <f>TRUNC(C984*D984,2)</f>
        <v>0.48</v>
      </c>
    </row>
    <row r="985" ht="25.5" spans="1:5">
      <c r="A985" s="76" t="s">
        <v>2778</v>
      </c>
      <c r="B985" s="77" t="s">
        <v>494</v>
      </c>
      <c r="C985" s="78">
        <v>0.97</v>
      </c>
      <c r="D985" s="78">
        <v>0.22</v>
      </c>
      <c r="E985" s="78">
        <f>TRUNC(C985*D985,2)</f>
        <v>0.21</v>
      </c>
    </row>
    <row r="986" spans="1:5">
      <c r="A986" s="76" t="s">
        <v>2779</v>
      </c>
      <c r="B986" s="77" t="s">
        <v>839</v>
      </c>
      <c r="C986" s="78">
        <v>0.0233</v>
      </c>
      <c r="D986" s="78">
        <v>24.57</v>
      </c>
      <c r="E986" s="78">
        <f>TRUNC(C986*D986,2)</f>
        <v>0.57</v>
      </c>
    </row>
    <row r="987" spans="1:5">
      <c r="A987" s="76" t="s">
        <v>2780</v>
      </c>
      <c r="B987" s="77" t="s">
        <v>839</v>
      </c>
      <c r="C987" s="78">
        <v>0.1428</v>
      </c>
      <c r="D987" s="78">
        <v>31.13</v>
      </c>
      <c r="E987" s="78">
        <f>TRUNC(C987*D987,2)</f>
        <v>4.44</v>
      </c>
    </row>
    <row r="988" spans="1:5">
      <c r="A988" s="76" t="s">
        <v>2787</v>
      </c>
      <c r="B988" s="77" t="s">
        <v>463</v>
      </c>
      <c r="C988" s="78">
        <v>1</v>
      </c>
      <c r="D988" s="78">
        <v>10.91</v>
      </c>
      <c r="E988" s="78">
        <f>TRUNC(C988*D988,2)</f>
        <v>10.91</v>
      </c>
    </row>
    <row r="989" spans="1:5">
      <c r="A989" s="76" t="s">
        <v>122</v>
      </c>
      <c r="B989" s="77"/>
      <c r="C989" s="78"/>
      <c r="D989" s="78"/>
      <c r="E989" s="78">
        <f>SUM(E984:E988)</f>
        <v>16.61</v>
      </c>
    </row>
    <row r="990" spans="1:5">
      <c r="A990" s="76"/>
      <c r="B990" s="77"/>
      <c r="C990" s="78"/>
      <c r="D990" s="78"/>
      <c r="E990" s="78"/>
    </row>
    <row r="991" spans="1:5">
      <c r="A991" s="76" t="s">
        <v>2538</v>
      </c>
      <c r="B991" s="77"/>
      <c r="C991" s="78"/>
      <c r="D991" s="78"/>
      <c r="E991" s="78">
        <f>E989</f>
        <v>16.61</v>
      </c>
    </row>
    <row r="992" spans="1:5">
      <c r="A992" s="76" t="s">
        <v>2539</v>
      </c>
      <c r="B992" s="77"/>
      <c r="C992" s="78"/>
      <c r="D992" s="78">
        <v>0</v>
      </c>
      <c r="E992" s="78">
        <f>TRUNC(D992*E991/100,2)</f>
        <v>0</v>
      </c>
    </row>
    <row r="993" spans="1:5">
      <c r="A993" s="76" t="s">
        <v>2540</v>
      </c>
      <c r="B993" s="77"/>
      <c r="C993" s="78"/>
      <c r="D993" s="78"/>
      <c r="E993" s="78">
        <f>E991+E992</f>
        <v>16.61</v>
      </c>
    </row>
    <row r="994" spans="1:5">
      <c r="A994" s="76"/>
      <c r="B994" s="77"/>
      <c r="C994" s="78"/>
      <c r="D994" s="78"/>
      <c r="E994" s="78"/>
    </row>
    <row r="995" spans="1:5">
      <c r="A995" s="76" t="s">
        <v>2788</v>
      </c>
      <c r="B995" s="77" t="s">
        <v>846</v>
      </c>
      <c r="C995" s="78"/>
      <c r="D995" s="78"/>
      <c r="E995" s="78"/>
    </row>
    <row r="996" ht="38.25" spans="1:5">
      <c r="A996" s="76" t="s">
        <v>2789</v>
      </c>
      <c r="B996" s="77"/>
      <c r="C996" s="78"/>
      <c r="D996" s="78"/>
      <c r="E996" s="78"/>
    </row>
    <row r="997" spans="1:5">
      <c r="A997" s="76" t="s">
        <v>2776</v>
      </c>
      <c r="B997" s="77"/>
      <c r="C997" s="78"/>
      <c r="D997" s="78"/>
      <c r="E997" s="78"/>
    </row>
    <row r="998" spans="1:5">
      <c r="A998" s="76"/>
      <c r="B998" s="77"/>
      <c r="C998" s="78"/>
      <c r="D998" s="78"/>
      <c r="E998" s="78"/>
    </row>
    <row r="999" spans="1:5">
      <c r="A999" s="76" t="s">
        <v>2543</v>
      </c>
      <c r="B999" s="77" t="s">
        <v>135</v>
      </c>
      <c r="C999" s="78" t="s">
        <v>136</v>
      </c>
      <c r="D999" s="78" t="s">
        <v>2534</v>
      </c>
      <c r="E999" s="78" t="s">
        <v>2535</v>
      </c>
    </row>
    <row r="1000" ht="25.5" spans="1:5">
      <c r="A1000" s="76" t="s">
        <v>2777</v>
      </c>
      <c r="B1000" s="77" t="s">
        <v>463</v>
      </c>
      <c r="C1000" s="78">
        <v>0.025</v>
      </c>
      <c r="D1000" s="78">
        <v>19.38</v>
      </c>
      <c r="E1000" s="78">
        <f>TRUNC(C1000*D1000,2)</f>
        <v>0.48</v>
      </c>
    </row>
    <row r="1001" ht="25.5" spans="1:5">
      <c r="A1001" s="76" t="s">
        <v>2778</v>
      </c>
      <c r="B1001" s="77" t="s">
        <v>494</v>
      </c>
      <c r="C1001" s="78">
        <v>0.743</v>
      </c>
      <c r="D1001" s="78">
        <v>0.22</v>
      </c>
      <c r="E1001" s="78">
        <f>TRUNC(C1001*D1001,2)</f>
        <v>0.16</v>
      </c>
    </row>
    <row r="1002" spans="1:5">
      <c r="A1002" s="76" t="s">
        <v>2779</v>
      </c>
      <c r="B1002" s="77" t="s">
        <v>839</v>
      </c>
      <c r="C1002" s="78">
        <v>0.0166</v>
      </c>
      <c r="D1002" s="78">
        <v>24.57</v>
      </c>
      <c r="E1002" s="78">
        <f>TRUNC(C1002*D1002,2)</f>
        <v>0.4</v>
      </c>
    </row>
    <row r="1003" spans="1:5">
      <c r="A1003" s="76" t="s">
        <v>2780</v>
      </c>
      <c r="B1003" s="77" t="s">
        <v>839</v>
      </c>
      <c r="C1003" s="78">
        <v>0.1015</v>
      </c>
      <c r="D1003" s="78">
        <v>31.13</v>
      </c>
      <c r="E1003" s="78">
        <f>TRUNC(C1003*D1003,2)</f>
        <v>3.15</v>
      </c>
    </row>
    <row r="1004" spans="1:5">
      <c r="A1004" s="76" t="s">
        <v>2790</v>
      </c>
      <c r="B1004" s="77" t="s">
        <v>463</v>
      </c>
      <c r="C1004" s="78">
        <v>1</v>
      </c>
      <c r="D1004" s="78">
        <v>10.82</v>
      </c>
      <c r="E1004" s="78">
        <f>TRUNC(C1004*D1004,2)</f>
        <v>10.82</v>
      </c>
    </row>
    <row r="1005" spans="1:5">
      <c r="A1005" s="76" t="s">
        <v>122</v>
      </c>
      <c r="B1005" s="77"/>
      <c r="C1005" s="78"/>
      <c r="D1005" s="78"/>
      <c r="E1005" s="78">
        <f>SUM(E1000:E1004)</f>
        <v>15.01</v>
      </c>
    </row>
    <row r="1006" spans="1:5">
      <c r="A1006" s="76"/>
      <c r="B1006" s="77"/>
      <c r="C1006" s="78"/>
      <c r="D1006" s="78"/>
      <c r="E1006" s="78"/>
    </row>
    <row r="1007" spans="1:5">
      <c r="A1007" s="76" t="s">
        <v>2538</v>
      </c>
      <c r="B1007" s="77"/>
      <c r="C1007" s="78"/>
      <c r="D1007" s="78"/>
      <c r="E1007" s="78">
        <f>E1005</f>
        <v>15.01</v>
      </c>
    </row>
    <row r="1008" spans="1:5">
      <c r="A1008" s="76" t="s">
        <v>2539</v>
      </c>
      <c r="B1008" s="77"/>
      <c r="C1008" s="78"/>
      <c r="D1008" s="78">
        <v>0</v>
      </c>
      <c r="E1008" s="78">
        <f>TRUNC(D1008*E1007/100,2)</f>
        <v>0</v>
      </c>
    </row>
    <row r="1009" spans="1:5">
      <c r="A1009" s="76" t="s">
        <v>2540</v>
      </c>
      <c r="B1009" s="77"/>
      <c r="C1009" s="78"/>
      <c r="D1009" s="78"/>
      <c r="E1009" s="78">
        <f>E1007+E1008</f>
        <v>15.01</v>
      </c>
    </row>
    <row r="1010" spans="1:5">
      <c r="A1010" s="76"/>
      <c r="B1010" s="77"/>
      <c r="C1010" s="78"/>
      <c r="D1010" s="78"/>
      <c r="E1010" s="78"/>
    </row>
    <row r="1011" spans="1:5">
      <c r="A1011" s="76" t="s">
        <v>2791</v>
      </c>
      <c r="B1011" s="77">
        <v>8004008065024</v>
      </c>
      <c r="C1011" s="78"/>
      <c r="D1011" s="78"/>
      <c r="E1011" s="78"/>
    </row>
    <row r="1012" ht="25.5" spans="1:5">
      <c r="A1012" s="76" t="s">
        <v>2792</v>
      </c>
      <c r="B1012" s="77"/>
      <c r="C1012" s="78"/>
      <c r="D1012" s="78"/>
      <c r="E1012" s="78"/>
    </row>
    <row r="1013" spans="1:5">
      <c r="A1013" s="76" t="s">
        <v>2552</v>
      </c>
      <c r="B1013" s="77"/>
      <c r="C1013" s="78"/>
      <c r="D1013" s="78"/>
      <c r="E1013" s="78"/>
    </row>
    <row r="1014" spans="1:5">
      <c r="A1014" s="76"/>
      <c r="B1014" s="77"/>
      <c r="C1014" s="78"/>
      <c r="D1014" s="78"/>
      <c r="E1014" s="78"/>
    </row>
    <row r="1015" spans="1:5">
      <c r="A1015" s="76" t="s">
        <v>2543</v>
      </c>
      <c r="B1015" s="77" t="s">
        <v>135</v>
      </c>
      <c r="C1015" s="78" t="s">
        <v>136</v>
      </c>
      <c r="D1015" s="78" t="s">
        <v>2534</v>
      </c>
      <c r="E1015" s="78" t="s">
        <v>2535</v>
      </c>
    </row>
    <row r="1016" spans="1:5">
      <c r="A1016" s="76" t="s">
        <v>2621</v>
      </c>
      <c r="B1016" s="77" t="s">
        <v>839</v>
      </c>
      <c r="C1016" s="78">
        <v>1.728168</v>
      </c>
      <c r="D1016" s="78">
        <v>23.75</v>
      </c>
      <c r="E1016" s="78">
        <f>TRUNC(C1016*D1016,2)</f>
        <v>41.04</v>
      </c>
    </row>
    <row r="1017" spans="1:5">
      <c r="A1017" s="76" t="s">
        <v>2630</v>
      </c>
      <c r="B1017" s="77" t="s">
        <v>839</v>
      </c>
      <c r="C1017" s="78">
        <v>2.199429</v>
      </c>
      <c r="D1017" s="78">
        <v>31.34</v>
      </c>
      <c r="E1017" s="78">
        <f>TRUNC(C1017*D1017,2)</f>
        <v>68.93</v>
      </c>
    </row>
    <row r="1018" ht="25.5" spans="1:5">
      <c r="A1018" s="76" t="s">
        <v>2793</v>
      </c>
      <c r="B1018" s="77" t="s">
        <v>476</v>
      </c>
      <c r="C1018" s="78">
        <v>0.009483</v>
      </c>
      <c r="D1018" s="78">
        <v>625</v>
      </c>
      <c r="E1018" s="78">
        <f>TRUNC(C1018*D1018,2)</f>
        <v>5.92</v>
      </c>
    </row>
    <row r="1019" spans="1:5">
      <c r="A1019" s="76" t="s">
        <v>122</v>
      </c>
      <c r="B1019" s="77"/>
      <c r="C1019" s="78"/>
      <c r="D1019" s="78"/>
      <c r="E1019" s="78">
        <f>SUM(E1016:E1018)</f>
        <v>115.89</v>
      </c>
    </row>
    <row r="1020" spans="1:5">
      <c r="A1020" s="76"/>
      <c r="B1020" s="77"/>
      <c r="C1020" s="78"/>
      <c r="D1020" s="78"/>
      <c r="E1020" s="78"/>
    </row>
    <row r="1021" spans="1:5">
      <c r="A1021" s="76" t="s">
        <v>2538</v>
      </c>
      <c r="B1021" s="77"/>
      <c r="C1021" s="78"/>
      <c r="D1021" s="78"/>
      <c r="E1021" s="78">
        <f>E1019</f>
        <v>115.89</v>
      </c>
    </row>
    <row r="1022" spans="1:5">
      <c r="A1022" s="76" t="s">
        <v>2539</v>
      </c>
      <c r="B1022" s="77"/>
      <c r="C1022" s="78"/>
      <c r="D1022" s="78">
        <v>0</v>
      </c>
      <c r="E1022" s="78">
        <f>TRUNC(D1022*E1021/100,2)</f>
        <v>0</v>
      </c>
    </row>
    <row r="1023" spans="1:5">
      <c r="A1023" s="76" t="s">
        <v>2540</v>
      </c>
      <c r="B1023" s="77"/>
      <c r="C1023" s="78"/>
      <c r="D1023" s="78"/>
      <c r="E1023" s="78">
        <f>E1021+E1022</f>
        <v>115.89</v>
      </c>
    </row>
    <row r="1024" spans="1:5">
      <c r="A1024" s="76"/>
      <c r="B1024" s="77"/>
      <c r="C1024" s="78"/>
      <c r="D1024" s="78"/>
      <c r="E1024" s="78"/>
    </row>
    <row r="1025" spans="1:5">
      <c r="A1025" s="76" t="s">
        <v>2794</v>
      </c>
      <c r="B1025" s="77" t="s">
        <v>583</v>
      </c>
      <c r="C1025" s="78"/>
      <c r="D1025" s="78"/>
      <c r="E1025" s="78"/>
    </row>
    <row r="1026" ht="25.5" spans="1:5">
      <c r="A1026" s="76" t="s">
        <v>2795</v>
      </c>
      <c r="B1026" s="77"/>
      <c r="C1026" s="78"/>
      <c r="D1026" s="78"/>
      <c r="E1026" s="78"/>
    </row>
    <row r="1027" spans="1:5">
      <c r="A1027" s="76" t="s">
        <v>2552</v>
      </c>
      <c r="B1027" s="77"/>
      <c r="C1027" s="78"/>
      <c r="D1027" s="78"/>
      <c r="E1027" s="78"/>
    </row>
    <row r="1028" spans="1:5">
      <c r="A1028" s="76"/>
      <c r="B1028" s="77"/>
      <c r="C1028" s="78"/>
      <c r="D1028" s="78"/>
      <c r="E1028" s="78"/>
    </row>
    <row r="1029" spans="1:5">
      <c r="A1029" s="76" t="s">
        <v>2543</v>
      </c>
      <c r="B1029" s="77" t="s">
        <v>135</v>
      </c>
      <c r="C1029" s="78" t="s">
        <v>136</v>
      </c>
      <c r="D1029" s="78" t="s">
        <v>2534</v>
      </c>
      <c r="E1029" s="78" t="s">
        <v>2535</v>
      </c>
    </row>
    <row r="1030" ht="25.5" spans="1:5">
      <c r="A1030" s="76" t="s">
        <v>2796</v>
      </c>
      <c r="B1030" s="77" t="s">
        <v>476</v>
      </c>
      <c r="C1030" s="78">
        <v>0.0655</v>
      </c>
      <c r="D1030" s="78">
        <v>839.81</v>
      </c>
      <c r="E1030" s="78">
        <f t="shared" ref="E1030:E1035" si="20">TRUNC(C1030*D1030,2)</f>
        <v>55</v>
      </c>
    </row>
    <row r="1031" ht="38.25" spans="1:5">
      <c r="A1031" s="76" t="s">
        <v>2797</v>
      </c>
      <c r="B1031" s="77" t="s">
        <v>463</v>
      </c>
      <c r="C1031" s="78">
        <v>2.11</v>
      </c>
      <c r="D1031" s="78">
        <v>18.37</v>
      </c>
      <c r="E1031" s="78">
        <f t="shared" si="20"/>
        <v>38.76</v>
      </c>
    </row>
    <row r="1032" ht="25.5" spans="1:5">
      <c r="A1032" s="76" t="s">
        <v>2798</v>
      </c>
      <c r="B1032" s="77" t="s">
        <v>476</v>
      </c>
      <c r="C1032" s="78">
        <v>0.072</v>
      </c>
      <c r="D1032" s="78">
        <v>47.5</v>
      </c>
      <c r="E1032" s="78">
        <f t="shared" si="20"/>
        <v>3.42</v>
      </c>
    </row>
    <row r="1033" ht="25.5" spans="1:5">
      <c r="A1033" s="76" t="s">
        <v>2799</v>
      </c>
      <c r="B1033" s="77" t="s">
        <v>476</v>
      </c>
      <c r="C1033" s="78">
        <v>0.006</v>
      </c>
      <c r="D1033" s="78">
        <v>369.38</v>
      </c>
      <c r="E1033" s="78">
        <f t="shared" si="20"/>
        <v>2.21</v>
      </c>
    </row>
    <row r="1034" ht="25.5" spans="1:5">
      <c r="A1034" s="76" t="s">
        <v>2800</v>
      </c>
      <c r="B1034" s="77" t="s">
        <v>412</v>
      </c>
      <c r="C1034" s="78">
        <v>0.001965</v>
      </c>
      <c r="D1034" s="78">
        <v>1172.63</v>
      </c>
      <c r="E1034" s="78">
        <f t="shared" si="20"/>
        <v>2.3</v>
      </c>
    </row>
    <row r="1035" ht="25.5" spans="1:5">
      <c r="A1035" s="76" t="s">
        <v>2801</v>
      </c>
      <c r="B1035" s="77" t="s">
        <v>466</v>
      </c>
      <c r="C1035" s="78">
        <v>0.12</v>
      </c>
      <c r="D1035" s="78">
        <v>7.03</v>
      </c>
      <c r="E1035" s="78">
        <f t="shared" si="20"/>
        <v>0.84</v>
      </c>
    </row>
    <row r="1036" spans="1:5">
      <c r="A1036" s="76" t="s">
        <v>122</v>
      </c>
      <c r="B1036" s="77"/>
      <c r="C1036" s="78"/>
      <c r="D1036" s="78"/>
      <c r="E1036" s="78">
        <f>SUM(E1030:E1035)</f>
        <v>102.53</v>
      </c>
    </row>
    <row r="1037" spans="1:5">
      <c r="A1037" s="76"/>
      <c r="B1037" s="77"/>
      <c r="C1037" s="78"/>
      <c r="D1037" s="78"/>
      <c r="E1037" s="78"/>
    </row>
    <row r="1038" spans="1:5">
      <c r="A1038" s="76" t="s">
        <v>2538</v>
      </c>
      <c r="B1038" s="77"/>
      <c r="C1038" s="78"/>
      <c r="D1038" s="78"/>
      <c r="E1038" s="78">
        <f>E1036</f>
        <v>102.53</v>
      </c>
    </row>
    <row r="1039" spans="1:5">
      <c r="A1039" s="76" t="s">
        <v>2539</v>
      </c>
      <c r="B1039" s="77"/>
      <c r="C1039" s="78"/>
      <c r="D1039" s="78">
        <v>0</v>
      </c>
      <c r="E1039" s="78">
        <f>TRUNC(D1039*E1038/100,2)</f>
        <v>0</v>
      </c>
    </row>
    <row r="1040" spans="1:5">
      <c r="A1040" s="76" t="s">
        <v>2540</v>
      </c>
      <c r="B1040" s="77"/>
      <c r="C1040" s="78"/>
      <c r="D1040" s="78"/>
      <c r="E1040" s="78">
        <f>E1038+E1039</f>
        <v>102.53</v>
      </c>
    </row>
    <row r="1041" spans="1:5">
      <c r="A1041" s="76"/>
      <c r="B1041" s="77"/>
      <c r="C1041" s="78"/>
      <c r="D1041" s="78"/>
      <c r="E1041" s="78"/>
    </row>
    <row r="1042" spans="1:5">
      <c r="A1042" s="76" t="s">
        <v>2802</v>
      </c>
      <c r="B1042" s="77" t="s">
        <v>495</v>
      </c>
      <c r="C1042" s="78"/>
      <c r="D1042" s="78"/>
      <c r="E1042" s="78"/>
    </row>
    <row r="1043" ht="38.25" spans="1:5">
      <c r="A1043" s="76" t="s">
        <v>2803</v>
      </c>
      <c r="B1043" s="77"/>
      <c r="C1043" s="78"/>
      <c r="D1043" s="78"/>
      <c r="E1043" s="78"/>
    </row>
    <row r="1044" spans="1:5">
      <c r="A1044" s="76" t="s">
        <v>2563</v>
      </c>
      <c r="B1044" s="77"/>
      <c r="C1044" s="78"/>
      <c r="D1044" s="78"/>
      <c r="E1044" s="78"/>
    </row>
    <row r="1045" spans="1:5">
      <c r="A1045" s="76"/>
      <c r="B1045" s="77"/>
      <c r="C1045" s="78"/>
      <c r="D1045" s="78"/>
      <c r="E1045" s="78"/>
    </row>
    <row r="1046" spans="1:5">
      <c r="A1046" s="76" t="s">
        <v>2543</v>
      </c>
      <c r="B1046" s="77" t="s">
        <v>135</v>
      </c>
      <c r="C1046" s="78" t="s">
        <v>136</v>
      </c>
      <c r="D1046" s="78" t="s">
        <v>2534</v>
      </c>
      <c r="E1046" s="78" t="s">
        <v>2535</v>
      </c>
    </row>
    <row r="1047" ht="25.5" spans="1:5">
      <c r="A1047" s="76" t="s">
        <v>2804</v>
      </c>
      <c r="B1047" s="77" t="s">
        <v>476</v>
      </c>
      <c r="C1047" s="78">
        <v>0.1</v>
      </c>
      <c r="D1047" s="78">
        <v>301</v>
      </c>
      <c r="E1047" s="78">
        <f t="shared" ref="E1047:E1053" si="21">TRUNC(C1047*D1047,2)</f>
        <v>30.1</v>
      </c>
    </row>
    <row r="1048" ht="38.25" spans="1:5">
      <c r="A1048" s="76" t="s">
        <v>2805</v>
      </c>
      <c r="B1048" s="77" t="s">
        <v>466</v>
      </c>
      <c r="C1048" s="78">
        <v>1</v>
      </c>
      <c r="D1048" s="78">
        <v>3.7</v>
      </c>
      <c r="E1048" s="78">
        <f t="shared" si="21"/>
        <v>3.7</v>
      </c>
    </row>
    <row r="1049" ht="38.25" spans="1:5">
      <c r="A1049" s="76" t="s">
        <v>2806</v>
      </c>
      <c r="B1049" s="77" t="s">
        <v>466</v>
      </c>
      <c r="C1049" s="78">
        <v>0.1</v>
      </c>
      <c r="D1049" s="78">
        <v>139.38</v>
      </c>
      <c r="E1049" s="78">
        <f t="shared" si="21"/>
        <v>13.93</v>
      </c>
    </row>
    <row r="1050" ht="25.5" spans="1:5">
      <c r="A1050" s="76" t="s">
        <v>2807</v>
      </c>
      <c r="B1050" s="77" t="s">
        <v>466</v>
      </c>
      <c r="C1050" s="78">
        <v>1</v>
      </c>
      <c r="D1050" s="78">
        <v>3.41</v>
      </c>
      <c r="E1050" s="78">
        <f t="shared" si="21"/>
        <v>3.41</v>
      </c>
    </row>
    <row r="1051" ht="25.5" spans="1:5">
      <c r="A1051" s="76" t="s">
        <v>2808</v>
      </c>
      <c r="B1051" s="77" t="s">
        <v>463</v>
      </c>
      <c r="C1051" s="78">
        <v>3.11</v>
      </c>
      <c r="D1051" s="78">
        <v>14.02</v>
      </c>
      <c r="E1051" s="78">
        <f t="shared" si="21"/>
        <v>43.6</v>
      </c>
    </row>
    <row r="1052" ht="25.5" spans="1:5">
      <c r="A1052" s="76" t="s">
        <v>2809</v>
      </c>
      <c r="B1052" s="77" t="s">
        <v>476</v>
      </c>
      <c r="C1052" s="78">
        <v>0.15</v>
      </c>
      <c r="D1052" s="78">
        <v>594.71</v>
      </c>
      <c r="E1052" s="78">
        <f t="shared" si="21"/>
        <v>89.2</v>
      </c>
    </row>
    <row r="1053" ht="25.5" spans="1:5">
      <c r="A1053" s="76" t="s">
        <v>2810</v>
      </c>
      <c r="B1053" s="77" t="s">
        <v>466</v>
      </c>
      <c r="C1053" s="78">
        <v>1</v>
      </c>
      <c r="D1053" s="78">
        <v>39.49</v>
      </c>
      <c r="E1053" s="78">
        <f t="shared" si="21"/>
        <v>39.49</v>
      </c>
    </row>
    <row r="1054" spans="1:5">
      <c r="A1054" s="76" t="s">
        <v>122</v>
      </c>
      <c r="B1054" s="77"/>
      <c r="C1054" s="78"/>
      <c r="D1054" s="78"/>
      <c r="E1054" s="78">
        <f>SUM(E1047:E1053)</f>
        <v>223.43</v>
      </c>
    </row>
    <row r="1055" spans="1:5">
      <c r="A1055" s="76"/>
      <c r="B1055" s="77"/>
      <c r="C1055" s="78"/>
      <c r="D1055" s="78"/>
      <c r="E1055" s="78"/>
    </row>
    <row r="1056" spans="1:5">
      <c r="A1056" s="76" t="s">
        <v>2538</v>
      </c>
      <c r="B1056" s="77"/>
      <c r="C1056" s="78"/>
      <c r="D1056" s="78"/>
      <c r="E1056" s="78">
        <f>E1054</f>
        <v>223.43</v>
      </c>
    </row>
    <row r="1057" spans="1:5">
      <c r="A1057" s="76" t="s">
        <v>2539</v>
      </c>
      <c r="B1057" s="77"/>
      <c r="C1057" s="78"/>
      <c r="D1057" s="78">
        <v>0</v>
      </c>
      <c r="E1057" s="78">
        <f>TRUNC(D1057*E1056/100,2)</f>
        <v>0</v>
      </c>
    </row>
    <row r="1058" spans="1:5">
      <c r="A1058" s="76" t="s">
        <v>2540</v>
      </c>
      <c r="B1058" s="77"/>
      <c r="C1058" s="78"/>
      <c r="D1058" s="78"/>
      <c r="E1058" s="78">
        <f>E1056+E1057</f>
        <v>223.43</v>
      </c>
    </row>
    <row r="1059" spans="1:5">
      <c r="A1059" s="76"/>
      <c r="B1059" s="77"/>
      <c r="C1059" s="78"/>
      <c r="D1059" s="78"/>
      <c r="E1059" s="78"/>
    </row>
    <row r="1060" spans="1:5">
      <c r="A1060" s="76" t="s">
        <v>2811</v>
      </c>
      <c r="B1060" s="77">
        <v>8004008025010</v>
      </c>
      <c r="C1060" s="78"/>
      <c r="D1060" s="78"/>
      <c r="E1060" s="78"/>
    </row>
    <row r="1061" ht="25.5" spans="1:5">
      <c r="A1061" s="76" t="s">
        <v>2812</v>
      </c>
      <c r="B1061" s="77"/>
      <c r="C1061" s="78"/>
      <c r="D1061" s="78"/>
      <c r="E1061" s="78"/>
    </row>
    <row r="1062" spans="1:5">
      <c r="A1062" s="76" t="s">
        <v>2563</v>
      </c>
      <c r="B1062" s="77"/>
      <c r="C1062" s="78"/>
      <c r="D1062" s="78"/>
      <c r="E1062" s="78"/>
    </row>
    <row r="1063" spans="1:5">
      <c r="A1063" s="76"/>
      <c r="B1063" s="77"/>
      <c r="C1063" s="78"/>
      <c r="D1063" s="78"/>
      <c r="E1063" s="78"/>
    </row>
    <row r="1064" spans="1:5">
      <c r="A1064" s="76" t="s">
        <v>2543</v>
      </c>
      <c r="B1064" s="77" t="s">
        <v>135</v>
      </c>
      <c r="C1064" s="78" t="s">
        <v>136</v>
      </c>
      <c r="D1064" s="78" t="s">
        <v>2534</v>
      </c>
      <c r="E1064" s="78" t="s">
        <v>2535</v>
      </c>
    </row>
    <row r="1065" ht="25.5" spans="1:5">
      <c r="A1065" s="76" t="s">
        <v>2813</v>
      </c>
      <c r="B1065" s="77" t="s">
        <v>466</v>
      </c>
      <c r="C1065" s="78">
        <v>0.26446281</v>
      </c>
      <c r="D1065" s="78">
        <v>23.97</v>
      </c>
      <c r="E1065" s="78">
        <f t="shared" ref="E1065:E1072" si="22">TRUNC(C1065*D1065,2)</f>
        <v>6.33</v>
      </c>
    </row>
    <row r="1066" ht="25.5" spans="1:5">
      <c r="A1066" s="76" t="s">
        <v>2814</v>
      </c>
      <c r="B1066" s="77" t="s">
        <v>215</v>
      </c>
      <c r="C1066" s="78">
        <v>0.1</v>
      </c>
      <c r="D1066" s="78">
        <v>7.16</v>
      </c>
      <c r="E1066" s="78">
        <f t="shared" si="22"/>
        <v>0.71</v>
      </c>
    </row>
    <row r="1067" ht="25.5" spans="1:5">
      <c r="A1067" s="76" t="s">
        <v>2582</v>
      </c>
      <c r="B1067" s="77" t="s">
        <v>112</v>
      </c>
      <c r="C1067" s="78">
        <v>3</v>
      </c>
      <c r="D1067" s="78">
        <v>7.78</v>
      </c>
      <c r="E1067" s="78">
        <f t="shared" si="22"/>
        <v>23.34</v>
      </c>
    </row>
    <row r="1068" spans="1:5">
      <c r="A1068" s="76" t="s">
        <v>2583</v>
      </c>
      <c r="B1068" s="77" t="s">
        <v>463</v>
      </c>
      <c r="C1068" s="78">
        <v>0.25</v>
      </c>
      <c r="D1068" s="78">
        <v>18.4</v>
      </c>
      <c r="E1068" s="78">
        <f t="shared" si="22"/>
        <v>4.6</v>
      </c>
    </row>
    <row r="1069" ht="25.5" spans="1:5">
      <c r="A1069" s="76" t="s">
        <v>2633</v>
      </c>
      <c r="B1069" s="77" t="s">
        <v>112</v>
      </c>
      <c r="C1069" s="78">
        <v>2.3</v>
      </c>
      <c r="D1069" s="78">
        <v>3.94</v>
      </c>
      <c r="E1069" s="78">
        <f t="shared" si="22"/>
        <v>9.06</v>
      </c>
    </row>
    <row r="1070" ht="25.5" spans="1:5">
      <c r="A1070" s="76" t="s">
        <v>2815</v>
      </c>
      <c r="B1070" s="77" t="s">
        <v>112</v>
      </c>
      <c r="C1070" s="78">
        <v>2.4</v>
      </c>
      <c r="D1070" s="78">
        <v>12.9</v>
      </c>
      <c r="E1070" s="78">
        <f t="shared" si="22"/>
        <v>30.96</v>
      </c>
    </row>
    <row r="1071" spans="1:5">
      <c r="A1071" s="76" t="s">
        <v>2576</v>
      </c>
      <c r="B1071" s="77" t="s">
        <v>839</v>
      </c>
      <c r="C1071" s="78">
        <v>1.35</v>
      </c>
      <c r="D1071" s="78">
        <v>24.4</v>
      </c>
      <c r="E1071" s="78">
        <f t="shared" si="22"/>
        <v>32.94</v>
      </c>
    </row>
    <row r="1072" spans="1:5">
      <c r="A1072" s="76" t="s">
        <v>2577</v>
      </c>
      <c r="B1072" s="77" t="s">
        <v>839</v>
      </c>
      <c r="C1072" s="78">
        <v>1.35</v>
      </c>
      <c r="D1072" s="78">
        <v>30.91</v>
      </c>
      <c r="E1072" s="78">
        <f t="shared" si="22"/>
        <v>41.72</v>
      </c>
    </row>
    <row r="1073" spans="1:5">
      <c r="A1073" s="76" t="s">
        <v>122</v>
      </c>
      <c r="B1073" s="77"/>
      <c r="C1073" s="78"/>
      <c r="D1073" s="78"/>
      <c r="E1073" s="78">
        <f>SUM(E1065:E1072)</f>
        <v>149.66</v>
      </c>
    </row>
    <row r="1074" spans="1:5">
      <c r="A1074" s="76"/>
      <c r="B1074" s="77"/>
      <c r="C1074" s="78"/>
      <c r="D1074" s="78"/>
      <c r="E1074" s="78"/>
    </row>
    <row r="1075" spans="1:5">
      <c r="A1075" s="76" t="s">
        <v>2538</v>
      </c>
      <c r="B1075" s="77"/>
      <c r="C1075" s="78"/>
      <c r="D1075" s="78"/>
      <c r="E1075" s="78">
        <f>E1073</f>
        <v>149.66</v>
      </c>
    </row>
    <row r="1076" spans="1:5">
      <c r="A1076" s="76" t="s">
        <v>2539</v>
      </c>
      <c r="B1076" s="77"/>
      <c r="C1076" s="78"/>
      <c r="D1076" s="78">
        <v>0</v>
      </c>
      <c r="E1076" s="78">
        <f>TRUNC(D1076*E1075/100,2)</f>
        <v>0</v>
      </c>
    </row>
    <row r="1077" spans="1:5">
      <c r="A1077" s="76" t="s">
        <v>2540</v>
      </c>
      <c r="B1077" s="77"/>
      <c r="C1077" s="78"/>
      <c r="D1077" s="78"/>
      <c r="E1077" s="78">
        <f>E1075+E1076</f>
        <v>149.66</v>
      </c>
    </row>
    <row r="1078" spans="1:5">
      <c r="A1078" s="76"/>
      <c r="B1078" s="77"/>
      <c r="C1078" s="78"/>
      <c r="D1078" s="78"/>
      <c r="E1078" s="78"/>
    </row>
    <row r="1079" spans="1:5">
      <c r="A1079" s="76" t="s">
        <v>2816</v>
      </c>
      <c r="B1079" s="77" t="s">
        <v>851</v>
      </c>
      <c r="C1079" s="78"/>
      <c r="D1079" s="78"/>
      <c r="E1079" s="78"/>
    </row>
    <row r="1080" ht="25.5" spans="1:5">
      <c r="A1080" s="76" t="s">
        <v>2817</v>
      </c>
      <c r="B1080" s="77"/>
      <c r="C1080" s="78"/>
      <c r="D1080" s="78"/>
      <c r="E1080" s="78"/>
    </row>
    <row r="1081" spans="1:5">
      <c r="A1081" s="76" t="s">
        <v>2619</v>
      </c>
      <c r="B1081" s="77"/>
      <c r="C1081" s="78"/>
      <c r="D1081" s="78"/>
      <c r="E1081" s="78"/>
    </row>
    <row r="1082" spans="1:5">
      <c r="A1082" s="76"/>
      <c r="B1082" s="77"/>
      <c r="C1082" s="78"/>
      <c r="D1082" s="78"/>
      <c r="E1082" s="78"/>
    </row>
    <row r="1083" spans="1:5">
      <c r="A1083" s="76" t="s">
        <v>2543</v>
      </c>
      <c r="B1083" s="77" t="s">
        <v>135</v>
      </c>
      <c r="C1083" s="78" t="s">
        <v>136</v>
      </c>
      <c r="D1083" s="78" t="s">
        <v>2534</v>
      </c>
      <c r="E1083" s="78" t="s">
        <v>2535</v>
      </c>
    </row>
    <row r="1084" spans="1:5">
      <c r="A1084" s="76" t="s">
        <v>2621</v>
      </c>
      <c r="B1084" s="77" t="s">
        <v>839</v>
      </c>
      <c r="C1084" s="78">
        <v>1.345</v>
      </c>
      <c r="D1084" s="78">
        <v>23.75</v>
      </c>
      <c r="E1084" s="78">
        <f>TRUNC(C1084*D1084,2)</f>
        <v>31.94</v>
      </c>
    </row>
    <row r="1085" spans="1:5">
      <c r="A1085" s="76" t="s">
        <v>2577</v>
      </c>
      <c r="B1085" s="77" t="s">
        <v>839</v>
      </c>
      <c r="C1085" s="78">
        <v>0.224</v>
      </c>
      <c r="D1085" s="78">
        <v>30.91</v>
      </c>
      <c r="E1085" s="78">
        <f>TRUNC(C1085*D1085,2)</f>
        <v>6.92</v>
      </c>
    </row>
    <row r="1086" spans="1:5">
      <c r="A1086" s="76" t="s">
        <v>2630</v>
      </c>
      <c r="B1086" s="77" t="s">
        <v>839</v>
      </c>
      <c r="C1086" s="78">
        <v>0.224</v>
      </c>
      <c r="D1086" s="78">
        <v>31.34</v>
      </c>
      <c r="E1086" s="78">
        <f>TRUNC(C1086*D1086,2)</f>
        <v>7.02</v>
      </c>
    </row>
    <row r="1087" ht="25.5" spans="1:5">
      <c r="A1087" s="76" t="s">
        <v>2818</v>
      </c>
      <c r="B1087" s="77" t="s">
        <v>977</v>
      </c>
      <c r="C1087" s="78">
        <v>0.094</v>
      </c>
      <c r="D1087" s="78">
        <v>1.23</v>
      </c>
      <c r="E1087" s="78">
        <f>TRUNC(C1087*D1087,2)</f>
        <v>0.11</v>
      </c>
    </row>
    <row r="1088" ht="25.5" spans="1:5">
      <c r="A1088" s="76" t="s">
        <v>2819</v>
      </c>
      <c r="B1088" s="77" t="s">
        <v>979</v>
      </c>
      <c r="C1088" s="78">
        <v>0.13</v>
      </c>
      <c r="D1088" s="78">
        <v>0.53</v>
      </c>
      <c r="E1088" s="78">
        <f>TRUNC(C1088*D1088,2)</f>
        <v>0.06</v>
      </c>
    </row>
    <row r="1089" spans="1:5">
      <c r="A1089" s="76" t="s">
        <v>122</v>
      </c>
      <c r="B1089" s="77"/>
      <c r="C1089" s="78"/>
      <c r="D1089" s="78"/>
      <c r="E1089" s="78">
        <f>SUM(E1084:E1088)</f>
        <v>46.05</v>
      </c>
    </row>
    <row r="1090" spans="1:5">
      <c r="A1090" s="76"/>
      <c r="B1090" s="77"/>
      <c r="C1090" s="78"/>
      <c r="D1090" s="78"/>
      <c r="E1090" s="78"/>
    </row>
    <row r="1091" spans="1:5">
      <c r="A1091" s="76" t="s">
        <v>2538</v>
      </c>
      <c r="B1091" s="77"/>
      <c r="C1091" s="78"/>
      <c r="D1091" s="78"/>
      <c r="E1091" s="78">
        <f>E1089</f>
        <v>46.05</v>
      </c>
    </row>
    <row r="1092" spans="1:5">
      <c r="A1092" s="76" t="s">
        <v>2539</v>
      </c>
      <c r="B1092" s="77"/>
      <c r="C1092" s="78"/>
      <c r="D1092" s="78">
        <v>0</v>
      </c>
      <c r="E1092" s="78">
        <f>TRUNC(D1092*E1091/100,2)</f>
        <v>0</v>
      </c>
    </row>
    <row r="1093" spans="1:5">
      <c r="A1093" s="76" t="s">
        <v>2540</v>
      </c>
      <c r="B1093" s="77"/>
      <c r="C1093" s="78"/>
      <c r="D1093" s="78"/>
      <c r="E1093" s="78">
        <f>E1091+E1092</f>
        <v>46.05</v>
      </c>
    </row>
    <row r="1094" spans="1:5">
      <c r="A1094" s="76"/>
      <c r="B1094" s="77"/>
      <c r="C1094" s="78"/>
      <c r="D1094" s="78"/>
      <c r="E1094" s="78"/>
    </row>
    <row r="1095" spans="1:5">
      <c r="A1095" s="76" t="s">
        <v>2820</v>
      </c>
      <c r="B1095" s="77" t="s">
        <v>853</v>
      </c>
      <c r="C1095" s="78"/>
      <c r="D1095" s="78"/>
      <c r="E1095" s="78"/>
    </row>
    <row r="1096" ht="25.5" spans="1:5">
      <c r="A1096" s="76" t="s">
        <v>2821</v>
      </c>
      <c r="B1096" s="77"/>
      <c r="C1096" s="78"/>
      <c r="D1096" s="78"/>
      <c r="E1096" s="78"/>
    </row>
    <row r="1097" spans="1:5">
      <c r="A1097" s="76" t="s">
        <v>2619</v>
      </c>
      <c r="B1097" s="77"/>
      <c r="C1097" s="78"/>
      <c r="D1097" s="78"/>
      <c r="E1097" s="78"/>
    </row>
    <row r="1098" spans="1:5">
      <c r="A1098" s="76"/>
      <c r="B1098" s="77"/>
      <c r="C1098" s="78"/>
      <c r="D1098" s="78"/>
      <c r="E1098" s="78"/>
    </row>
    <row r="1099" spans="1:5">
      <c r="A1099" s="76" t="s">
        <v>2543</v>
      </c>
      <c r="B1099" s="77" t="s">
        <v>135</v>
      </c>
      <c r="C1099" s="78" t="s">
        <v>136</v>
      </c>
      <c r="D1099" s="78" t="s">
        <v>2534</v>
      </c>
      <c r="E1099" s="78" t="s">
        <v>2535</v>
      </c>
    </row>
    <row r="1100" ht="25.5" spans="1:5">
      <c r="A1100" s="76" t="s">
        <v>2822</v>
      </c>
      <c r="B1100" s="77" t="s">
        <v>476</v>
      </c>
      <c r="C1100" s="78">
        <v>0.595</v>
      </c>
      <c r="D1100" s="78">
        <v>197.39</v>
      </c>
      <c r="E1100" s="78">
        <f t="shared" ref="E1100:E1105" si="23">TRUNC(C1100*D1100,2)</f>
        <v>117.44</v>
      </c>
    </row>
    <row r="1101" ht="25.5" spans="1:5">
      <c r="A1101" s="76" t="s">
        <v>2740</v>
      </c>
      <c r="B1101" s="77" t="s">
        <v>476</v>
      </c>
      <c r="C1101" s="78">
        <v>0.595</v>
      </c>
      <c r="D1101" s="78">
        <v>198.43</v>
      </c>
      <c r="E1101" s="78">
        <f t="shared" si="23"/>
        <v>118.06</v>
      </c>
    </row>
    <row r="1102" spans="1:5">
      <c r="A1102" s="76" t="s">
        <v>2621</v>
      </c>
      <c r="B1102" s="77" t="s">
        <v>839</v>
      </c>
      <c r="C1102" s="78">
        <v>0.634</v>
      </c>
      <c r="D1102" s="78">
        <v>23.75</v>
      </c>
      <c r="E1102" s="78">
        <f t="shared" si="23"/>
        <v>15.05</v>
      </c>
    </row>
    <row r="1103" spans="1:5">
      <c r="A1103" s="76" t="s">
        <v>2630</v>
      </c>
      <c r="B1103" s="77" t="s">
        <v>839</v>
      </c>
      <c r="C1103" s="78">
        <v>1.579</v>
      </c>
      <c r="D1103" s="78">
        <v>31.34</v>
      </c>
      <c r="E1103" s="78">
        <f t="shared" si="23"/>
        <v>49.48</v>
      </c>
    </row>
    <row r="1104" ht="38.25" spans="1:5">
      <c r="A1104" s="76" t="s">
        <v>2823</v>
      </c>
      <c r="B1104" s="77" t="s">
        <v>977</v>
      </c>
      <c r="C1104" s="78">
        <v>0.032</v>
      </c>
      <c r="D1104" s="78">
        <v>10.01</v>
      </c>
      <c r="E1104" s="78">
        <f t="shared" si="23"/>
        <v>0.32</v>
      </c>
    </row>
    <row r="1105" ht="38.25" spans="1:5">
      <c r="A1105" s="76" t="s">
        <v>2824</v>
      </c>
      <c r="B1105" s="77" t="s">
        <v>979</v>
      </c>
      <c r="C1105" s="78">
        <v>0.03</v>
      </c>
      <c r="D1105" s="78">
        <v>0.72</v>
      </c>
      <c r="E1105" s="78">
        <f t="shared" si="23"/>
        <v>0.02</v>
      </c>
    </row>
    <row r="1106" spans="1:5">
      <c r="A1106" s="76" t="s">
        <v>122</v>
      </c>
      <c r="B1106" s="77"/>
      <c r="C1106" s="78"/>
      <c r="D1106" s="78"/>
      <c r="E1106" s="78">
        <f>SUM(E1100:E1105)</f>
        <v>300.37</v>
      </c>
    </row>
    <row r="1107" spans="1:5">
      <c r="A1107" s="76"/>
      <c r="B1107" s="77"/>
      <c r="C1107" s="78"/>
      <c r="D1107" s="78"/>
      <c r="E1107" s="78"/>
    </row>
    <row r="1108" spans="1:5">
      <c r="A1108" s="76" t="s">
        <v>2538</v>
      </c>
      <c r="B1108" s="77"/>
      <c r="C1108" s="78"/>
      <c r="D1108" s="78"/>
      <c r="E1108" s="78">
        <f>E1106</f>
        <v>300.37</v>
      </c>
    </row>
    <row r="1109" spans="1:5">
      <c r="A1109" s="76" t="s">
        <v>2539</v>
      </c>
      <c r="B1109" s="77"/>
      <c r="C1109" s="78"/>
      <c r="D1109" s="78">
        <v>0</v>
      </c>
      <c r="E1109" s="78">
        <f>TRUNC(D1109*E1108/100,2)</f>
        <v>0</v>
      </c>
    </row>
    <row r="1110" spans="1:5">
      <c r="A1110" s="76" t="s">
        <v>2540</v>
      </c>
      <c r="B1110" s="77"/>
      <c r="C1110" s="78"/>
      <c r="D1110" s="78"/>
      <c r="E1110" s="78">
        <f>E1108+E1109</f>
        <v>300.37</v>
      </c>
    </row>
    <row r="1111" spans="1:5">
      <c r="A1111" s="76"/>
      <c r="B1111" s="77"/>
      <c r="C1111" s="78"/>
      <c r="D1111" s="78"/>
      <c r="E1111" s="78"/>
    </row>
    <row r="1112" spans="1:5">
      <c r="A1112" s="76" t="s">
        <v>2825</v>
      </c>
      <c r="B1112" s="77" t="s">
        <v>546</v>
      </c>
      <c r="C1112" s="78"/>
      <c r="D1112" s="78"/>
      <c r="E1112" s="78"/>
    </row>
    <row r="1113" ht="25.5" spans="1:5">
      <c r="A1113" s="76" t="s">
        <v>2826</v>
      </c>
      <c r="B1113" s="77"/>
      <c r="C1113" s="78"/>
      <c r="D1113" s="78"/>
      <c r="E1113" s="78"/>
    </row>
    <row r="1114" spans="1:5">
      <c r="A1114" s="76" t="s">
        <v>2619</v>
      </c>
      <c r="B1114" s="77"/>
      <c r="C1114" s="78"/>
      <c r="D1114" s="78"/>
      <c r="E1114" s="78"/>
    </row>
    <row r="1115" spans="1:5">
      <c r="A1115" s="76"/>
      <c r="B1115" s="77"/>
      <c r="C1115" s="78"/>
      <c r="D1115" s="78"/>
      <c r="E1115" s="78"/>
    </row>
    <row r="1116" spans="1:5">
      <c r="A1116" s="76" t="s">
        <v>2543</v>
      </c>
      <c r="B1116" s="77" t="s">
        <v>135</v>
      </c>
      <c r="C1116" s="78" t="s">
        <v>136</v>
      </c>
      <c r="D1116" s="78" t="s">
        <v>2534</v>
      </c>
      <c r="E1116" s="78" t="s">
        <v>2535</v>
      </c>
    </row>
    <row r="1117" ht="25.5" spans="1:5">
      <c r="A1117" s="76" t="s">
        <v>2740</v>
      </c>
      <c r="B1117" s="77" t="s">
        <v>476</v>
      </c>
      <c r="C1117" s="78">
        <v>1.19</v>
      </c>
      <c r="D1117" s="78">
        <v>198.43</v>
      </c>
      <c r="E1117" s="78">
        <f>TRUNC(C1117*D1117,2)</f>
        <v>236.13</v>
      </c>
    </row>
    <row r="1118" spans="1:5">
      <c r="A1118" s="76" t="s">
        <v>2621</v>
      </c>
      <c r="B1118" s="77" t="s">
        <v>839</v>
      </c>
      <c r="C1118" s="78">
        <v>0.634</v>
      </c>
      <c r="D1118" s="78">
        <v>23.75</v>
      </c>
      <c r="E1118" s="78">
        <f>TRUNC(C1118*D1118,2)</f>
        <v>15.05</v>
      </c>
    </row>
    <row r="1119" spans="1:5">
      <c r="A1119" s="76" t="s">
        <v>2630</v>
      </c>
      <c r="B1119" s="77" t="s">
        <v>839</v>
      </c>
      <c r="C1119" s="78">
        <v>1.579</v>
      </c>
      <c r="D1119" s="78">
        <v>31.34</v>
      </c>
      <c r="E1119" s="78">
        <f>TRUNC(C1119*D1119,2)</f>
        <v>49.48</v>
      </c>
    </row>
    <row r="1120" ht="38.25" spans="1:5">
      <c r="A1120" s="76" t="s">
        <v>2823</v>
      </c>
      <c r="B1120" s="77" t="s">
        <v>977</v>
      </c>
      <c r="C1120" s="78">
        <v>0.032</v>
      </c>
      <c r="D1120" s="78">
        <v>10.01</v>
      </c>
      <c r="E1120" s="78">
        <f>TRUNC(C1120*D1120,2)</f>
        <v>0.32</v>
      </c>
    </row>
    <row r="1121" ht="38.25" spans="1:5">
      <c r="A1121" s="76" t="s">
        <v>2824</v>
      </c>
      <c r="B1121" s="77" t="s">
        <v>979</v>
      </c>
      <c r="C1121" s="78">
        <v>0.03</v>
      </c>
      <c r="D1121" s="78">
        <v>0.72</v>
      </c>
      <c r="E1121" s="78">
        <f>TRUNC(C1121*D1121,2)</f>
        <v>0.02</v>
      </c>
    </row>
    <row r="1122" spans="1:5">
      <c r="A1122" s="76" t="s">
        <v>122</v>
      </c>
      <c r="B1122" s="77"/>
      <c r="C1122" s="78"/>
      <c r="D1122" s="78"/>
      <c r="E1122" s="78">
        <f>SUM(E1117:E1121)</f>
        <v>301</v>
      </c>
    </row>
    <row r="1123" spans="1:5">
      <c r="A1123" s="76"/>
      <c r="B1123" s="77"/>
      <c r="C1123" s="78"/>
      <c r="D1123" s="78"/>
      <c r="E1123" s="78"/>
    </row>
    <row r="1124" spans="1:5">
      <c r="A1124" s="76" t="s">
        <v>2538</v>
      </c>
      <c r="B1124" s="77"/>
      <c r="C1124" s="78"/>
      <c r="D1124" s="78"/>
      <c r="E1124" s="78">
        <f>E1122</f>
        <v>301</v>
      </c>
    </row>
    <row r="1125" spans="1:5">
      <c r="A1125" s="76" t="s">
        <v>2539</v>
      </c>
      <c r="B1125" s="77"/>
      <c r="C1125" s="78"/>
      <c r="D1125" s="78">
        <v>0</v>
      </c>
      <c r="E1125" s="78">
        <f>TRUNC(D1125*E1124/100,2)</f>
        <v>0</v>
      </c>
    </row>
    <row r="1126" spans="1:5">
      <c r="A1126" s="76" t="s">
        <v>2540</v>
      </c>
      <c r="B1126" s="77"/>
      <c r="C1126" s="78"/>
      <c r="D1126" s="78"/>
      <c r="E1126" s="78">
        <f>E1124+E1125</f>
        <v>301</v>
      </c>
    </row>
    <row r="1127" spans="1:5">
      <c r="A1127" s="76"/>
      <c r="B1127" s="77"/>
      <c r="C1127" s="78"/>
      <c r="D1127" s="78"/>
      <c r="E1127" s="78"/>
    </row>
    <row r="1128" spans="1:5">
      <c r="A1128" s="76" t="s">
        <v>2827</v>
      </c>
      <c r="B1128" s="77">
        <v>8004008020001</v>
      </c>
      <c r="C1128" s="78"/>
      <c r="D1128" s="78"/>
      <c r="E1128" s="78"/>
    </row>
    <row r="1129" ht="25.5" spans="1:5">
      <c r="A1129" s="76" t="s">
        <v>2828</v>
      </c>
      <c r="B1129" s="77"/>
      <c r="C1129" s="78"/>
      <c r="D1129" s="78"/>
      <c r="E1129" s="78"/>
    </row>
    <row r="1130" spans="1:5">
      <c r="A1130" s="76" t="s">
        <v>2619</v>
      </c>
      <c r="B1130" s="77"/>
      <c r="C1130" s="78"/>
      <c r="D1130" s="78"/>
      <c r="E1130" s="78"/>
    </row>
    <row r="1131" spans="1:5">
      <c r="A1131" s="76"/>
      <c r="B1131" s="77"/>
      <c r="C1131" s="78"/>
      <c r="D1131" s="78"/>
      <c r="E1131" s="78"/>
    </row>
    <row r="1132" spans="1:5">
      <c r="A1132" s="76" t="s">
        <v>2543</v>
      </c>
      <c r="B1132" s="77" t="s">
        <v>135</v>
      </c>
      <c r="C1132" s="78" t="s">
        <v>136</v>
      </c>
      <c r="D1132" s="78" t="s">
        <v>2534</v>
      </c>
      <c r="E1132" s="78" t="s">
        <v>2535</v>
      </c>
    </row>
    <row r="1133" ht="25.5" spans="1:5">
      <c r="A1133" s="76" t="s">
        <v>2829</v>
      </c>
      <c r="B1133" s="77" t="s">
        <v>476</v>
      </c>
      <c r="C1133" s="78">
        <v>1.15</v>
      </c>
      <c r="D1133" s="78">
        <v>207.68</v>
      </c>
      <c r="E1133" s="78">
        <f>TRUNC(C1133*D1133,2)</f>
        <v>238.83</v>
      </c>
    </row>
    <row r="1134" spans="1:5">
      <c r="A1134" s="76" t="s">
        <v>2621</v>
      </c>
      <c r="B1134" s="77" t="s">
        <v>839</v>
      </c>
      <c r="C1134" s="78">
        <v>2.5</v>
      </c>
      <c r="D1134" s="78">
        <v>23.75</v>
      </c>
      <c r="E1134" s="78">
        <f>TRUNC(C1134*D1134,2)</f>
        <v>59.37</v>
      </c>
    </row>
    <row r="1135" spans="1:5">
      <c r="A1135" s="76" t="s">
        <v>122</v>
      </c>
      <c r="B1135" s="77"/>
      <c r="C1135" s="78"/>
      <c r="D1135" s="78"/>
      <c r="E1135" s="78">
        <f>SUM(E1133:E1134)</f>
        <v>298.2</v>
      </c>
    </row>
    <row r="1136" spans="1:5">
      <c r="A1136" s="76"/>
      <c r="B1136" s="77"/>
      <c r="C1136" s="78"/>
      <c r="D1136" s="78"/>
      <c r="E1136" s="78"/>
    </row>
    <row r="1137" spans="1:5">
      <c r="A1137" s="76" t="s">
        <v>2538</v>
      </c>
      <c r="B1137" s="77"/>
      <c r="C1137" s="78"/>
      <c r="D1137" s="78"/>
      <c r="E1137" s="78">
        <f>E1135</f>
        <v>298.2</v>
      </c>
    </row>
    <row r="1138" spans="1:5">
      <c r="A1138" s="76" t="s">
        <v>2539</v>
      </c>
      <c r="B1138" s="77"/>
      <c r="C1138" s="78"/>
      <c r="D1138" s="78">
        <v>0</v>
      </c>
      <c r="E1138" s="78">
        <f>TRUNC(D1138*E1137/100,2)</f>
        <v>0</v>
      </c>
    </row>
    <row r="1139" spans="1:5">
      <c r="A1139" s="76" t="s">
        <v>2540</v>
      </c>
      <c r="B1139" s="77"/>
      <c r="C1139" s="78"/>
      <c r="D1139" s="78"/>
      <c r="E1139" s="78">
        <f>E1137+E1138</f>
        <v>298.2</v>
      </c>
    </row>
    <row r="1140" spans="1:5">
      <c r="A1140" s="76"/>
      <c r="B1140" s="77"/>
      <c r="C1140" s="78"/>
      <c r="D1140" s="78"/>
      <c r="E1140" s="78"/>
    </row>
    <row r="1141" spans="1:5">
      <c r="A1141" s="76" t="s">
        <v>2830</v>
      </c>
      <c r="B1141" s="77" t="s">
        <v>483</v>
      </c>
      <c r="C1141" s="78"/>
      <c r="D1141" s="78"/>
      <c r="E1141" s="78"/>
    </row>
    <row r="1142" ht="25.5" spans="1:5">
      <c r="A1142" s="76" t="s">
        <v>2831</v>
      </c>
      <c r="B1142" s="77"/>
      <c r="C1142" s="78"/>
      <c r="D1142" s="78"/>
      <c r="E1142" s="78"/>
    </row>
    <row r="1143" spans="1:5">
      <c r="A1143" s="76" t="s">
        <v>2619</v>
      </c>
      <c r="B1143" s="77"/>
      <c r="C1143" s="78"/>
      <c r="D1143" s="78"/>
      <c r="E1143" s="78"/>
    </row>
    <row r="1144" spans="1:5">
      <c r="A1144" s="76"/>
      <c r="B1144" s="77"/>
      <c r="C1144" s="78"/>
      <c r="D1144" s="78"/>
      <c r="E1144" s="78"/>
    </row>
    <row r="1145" spans="1:5">
      <c r="A1145" s="76" t="s">
        <v>2543</v>
      </c>
      <c r="B1145" s="77" t="s">
        <v>135</v>
      </c>
      <c r="C1145" s="78" t="s">
        <v>136</v>
      </c>
      <c r="D1145" s="78" t="s">
        <v>2534</v>
      </c>
      <c r="E1145" s="78" t="s">
        <v>2535</v>
      </c>
    </row>
    <row r="1146" ht="25.5" spans="1:5">
      <c r="A1146" s="76" t="s">
        <v>2832</v>
      </c>
      <c r="B1146" s="77" t="s">
        <v>466</v>
      </c>
      <c r="C1146" s="78">
        <v>1.9404</v>
      </c>
      <c r="D1146" s="78">
        <v>38.04</v>
      </c>
      <c r="E1146" s="78">
        <f t="shared" ref="E1146:E1159" si="24">TRUNC(C1146*D1146,2)</f>
        <v>73.81</v>
      </c>
    </row>
    <row r="1147" ht="25.5" spans="1:5">
      <c r="A1147" s="76" t="s">
        <v>2814</v>
      </c>
      <c r="B1147" s="77" t="s">
        <v>215</v>
      </c>
      <c r="C1147" s="78">
        <v>0.0833</v>
      </c>
      <c r="D1147" s="78">
        <v>7.16</v>
      </c>
      <c r="E1147" s="78">
        <f t="shared" si="24"/>
        <v>0.59</v>
      </c>
    </row>
    <row r="1148" spans="1:5">
      <c r="A1148" s="76" t="s">
        <v>2833</v>
      </c>
      <c r="B1148" s="77" t="s">
        <v>463</v>
      </c>
      <c r="C1148" s="78">
        <v>0.4365</v>
      </c>
      <c r="D1148" s="78">
        <v>20.72</v>
      </c>
      <c r="E1148" s="78">
        <f t="shared" si="24"/>
        <v>9.04</v>
      </c>
    </row>
    <row r="1149" ht="25.5" spans="1:5">
      <c r="A1149" s="76" t="s">
        <v>2834</v>
      </c>
      <c r="B1149" s="77" t="s">
        <v>112</v>
      </c>
      <c r="C1149" s="78">
        <v>5.6283</v>
      </c>
      <c r="D1149" s="78">
        <v>2.72</v>
      </c>
      <c r="E1149" s="78">
        <f t="shared" si="24"/>
        <v>15.3</v>
      </c>
    </row>
    <row r="1150" spans="1:5">
      <c r="A1150" s="76" t="s">
        <v>2621</v>
      </c>
      <c r="B1150" s="77" t="s">
        <v>839</v>
      </c>
      <c r="C1150" s="78">
        <v>31.3499</v>
      </c>
      <c r="D1150" s="78">
        <v>23.75</v>
      </c>
      <c r="E1150" s="78">
        <f t="shared" si="24"/>
        <v>744.56</v>
      </c>
    </row>
    <row r="1151" spans="1:5">
      <c r="A1151" s="76" t="s">
        <v>2576</v>
      </c>
      <c r="B1151" s="77" t="s">
        <v>839</v>
      </c>
      <c r="C1151" s="78">
        <v>1.192</v>
      </c>
      <c r="D1151" s="78">
        <v>24.4</v>
      </c>
      <c r="E1151" s="78">
        <f t="shared" si="24"/>
        <v>29.08</v>
      </c>
    </row>
    <row r="1152" spans="1:5">
      <c r="A1152" s="76" t="s">
        <v>2835</v>
      </c>
      <c r="B1152" s="77" t="s">
        <v>839</v>
      </c>
      <c r="C1152" s="78">
        <v>5.96</v>
      </c>
      <c r="D1152" s="78">
        <v>29.67</v>
      </c>
      <c r="E1152" s="78">
        <f t="shared" si="24"/>
        <v>176.83</v>
      </c>
    </row>
    <row r="1153" spans="1:5">
      <c r="A1153" s="76" t="s">
        <v>2630</v>
      </c>
      <c r="B1153" s="77" t="s">
        <v>839</v>
      </c>
      <c r="C1153" s="78">
        <v>31.3499</v>
      </c>
      <c r="D1153" s="78">
        <v>31.34</v>
      </c>
      <c r="E1153" s="78">
        <f t="shared" si="24"/>
        <v>982.5</v>
      </c>
    </row>
    <row r="1154" ht="25.5" spans="1:5">
      <c r="A1154" s="76" t="s">
        <v>2818</v>
      </c>
      <c r="B1154" s="77" t="s">
        <v>977</v>
      </c>
      <c r="C1154" s="78">
        <v>6.635</v>
      </c>
      <c r="D1154" s="78">
        <v>1.23</v>
      </c>
      <c r="E1154" s="78">
        <f t="shared" si="24"/>
        <v>8.16</v>
      </c>
    </row>
    <row r="1155" ht="25.5" spans="1:5">
      <c r="A1155" s="76" t="s">
        <v>2586</v>
      </c>
      <c r="B1155" s="77" t="s">
        <v>977</v>
      </c>
      <c r="C1155" s="78">
        <v>0.4877</v>
      </c>
      <c r="D1155" s="78">
        <v>27.22</v>
      </c>
      <c r="E1155" s="78">
        <f t="shared" si="24"/>
        <v>13.27</v>
      </c>
    </row>
    <row r="1156" ht="25.5" spans="1:5">
      <c r="A1156" s="76" t="s">
        <v>2819</v>
      </c>
      <c r="B1156" s="77" t="s">
        <v>979</v>
      </c>
      <c r="C1156" s="78">
        <v>18.0917</v>
      </c>
      <c r="D1156" s="78">
        <v>0.53</v>
      </c>
      <c r="E1156" s="78">
        <f t="shared" si="24"/>
        <v>9.58</v>
      </c>
    </row>
    <row r="1157" ht="25.5" spans="1:5">
      <c r="A1157" s="76" t="s">
        <v>2587</v>
      </c>
      <c r="B1157" s="77" t="s">
        <v>979</v>
      </c>
      <c r="C1157" s="78">
        <v>0.7043</v>
      </c>
      <c r="D1157" s="78">
        <v>26.18</v>
      </c>
      <c r="E1157" s="78">
        <f t="shared" si="24"/>
        <v>18.43</v>
      </c>
    </row>
    <row r="1158" ht="25.5" spans="1:5">
      <c r="A1158" s="76" t="s">
        <v>2836</v>
      </c>
      <c r="B1158" s="77" t="s">
        <v>463</v>
      </c>
      <c r="C1158" s="78">
        <v>27.8988</v>
      </c>
      <c r="D1158" s="78">
        <v>16.88</v>
      </c>
      <c r="E1158" s="78">
        <f t="shared" si="24"/>
        <v>470.93</v>
      </c>
    </row>
    <row r="1159" ht="38.25" spans="1:5">
      <c r="A1159" s="76" t="s">
        <v>2837</v>
      </c>
      <c r="B1159" s="77" t="s">
        <v>476</v>
      </c>
      <c r="C1159" s="78">
        <v>1.2</v>
      </c>
      <c r="D1159" s="78">
        <v>587.79</v>
      </c>
      <c r="E1159" s="78">
        <f t="shared" si="24"/>
        <v>705.34</v>
      </c>
    </row>
    <row r="1160" spans="1:5">
      <c r="A1160" s="76" t="s">
        <v>122</v>
      </c>
      <c r="B1160" s="77"/>
      <c r="C1160" s="78"/>
      <c r="D1160" s="78"/>
      <c r="E1160" s="78">
        <f>SUM(E1146:E1159)</f>
        <v>3257.42</v>
      </c>
    </row>
    <row r="1161" spans="1:5">
      <c r="A1161" s="76"/>
      <c r="B1161" s="77"/>
      <c r="C1161" s="78"/>
      <c r="D1161" s="78"/>
      <c r="E1161" s="78"/>
    </row>
    <row r="1162" spans="1:5">
      <c r="A1162" s="76" t="s">
        <v>2538</v>
      </c>
      <c r="B1162" s="77"/>
      <c r="C1162" s="78"/>
      <c r="D1162" s="78"/>
      <c r="E1162" s="78">
        <f>E1160</f>
        <v>3257.42</v>
      </c>
    </row>
    <row r="1163" spans="1:5">
      <c r="A1163" s="76" t="s">
        <v>2539</v>
      </c>
      <c r="B1163" s="77"/>
      <c r="C1163" s="78"/>
      <c r="D1163" s="78">
        <v>0</v>
      </c>
      <c r="E1163" s="78">
        <f>TRUNC(D1163*E1162/100,2)</f>
        <v>0</v>
      </c>
    </row>
    <row r="1164" spans="1:5">
      <c r="A1164" s="76" t="s">
        <v>2540</v>
      </c>
      <c r="B1164" s="77"/>
      <c r="C1164" s="78"/>
      <c r="D1164" s="78"/>
      <c r="E1164" s="78">
        <f>E1162+E1163</f>
        <v>3257.42</v>
      </c>
    </row>
    <row r="1165" spans="1:5">
      <c r="A1165" s="76"/>
      <c r="B1165" s="77"/>
      <c r="C1165" s="78"/>
      <c r="D1165" s="78"/>
      <c r="E1165" s="78"/>
    </row>
    <row r="1166" spans="1:5">
      <c r="A1166" s="76" t="s">
        <v>2838</v>
      </c>
      <c r="B1166" s="77" t="s">
        <v>858</v>
      </c>
      <c r="C1166" s="78"/>
      <c r="D1166" s="78"/>
      <c r="E1166" s="78"/>
    </row>
    <row r="1167" ht="38.25" spans="1:5">
      <c r="A1167" s="76" t="s">
        <v>2839</v>
      </c>
      <c r="B1167" s="77"/>
      <c r="C1167" s="78"/>
      <c r="D1167" s="78"/>
      <c r="E1167" s="78"/>
    </row>
    <row r="1168" spans="1:5">
      <c r="A1168" s="76" t="s">
        <v>2552</v>
      </c>
      <c r="B1168" s="77"/>
      <c r="C1168" s="78"/>
      <c r="D1168" s="78"/>
      <c r="E1168" s="78"/>
    </row>
    <row r="1169" spans="1:5">
      <c r="A1169" s="76"/>
      <c r="B1169" s="77"/>
      <c r="C1169" s="78"/>
      <c r="D1169" s="78"/>
      <c r="E1169" s="78"/>
    </row>
    <row r="1170" spans="1:5">
      <c r="A1170" s="76" t="s">
        <v>2543</v>
      </c>
      <c r="B1170" s="77" t="s">
        <v>135</v>
      </c>
      <c r="C1170" s="78" t="s">
        <v>136</v>
      </c>
      <c r="D1170" s="78" t="s">
        <v>2534</v>
      </c>
      <c r="E1170" s="78" t="s">
        <v>2535</v>
      </c>
    </row>
    <row r="1171" spans="1:5">
      <c r="A1171" s="76" t="s">
        <v>2621</v>
      </c>
      <c r="B1171" s="77" t="s">
        <v>839</v>
      </c>
      <c r="C1171" s="78">
        <v>0.9238</v>
      </c>
      <c r="D1171" s="78">
        <v>23.75</v>
      </c>
      <c r="E1171" s="78">
        <f>TRUNC(C1171*D1171,2)</f>
        <v>21.94</v>
      </c>
    </row>
    <row r="1172" spans="1:5">
      <c r="A1172" s="76" t="s">
        <v>2840</v>
      </c>
      <c r="B1172" s="77" t="s">
        <v>839</v>
      </c>
      <c r="C1172" s="78">
        <v>0.4619</v>
      </c>
      <c r="D1172" s="78">
        <v>25.46</v>
      </c>
      <c r="E1172" s="78">
        <f>TRUNC(C1172*D1172,2)</f>
        <v>11.75</v>
      </c>
    </row>
    <row r="1173" spans="1:5">
      <c r="A1173" s="76" t="s">
        <v>122</v>
      </c>
      <c r="B1173" s="77"/>
      <c r="C1173" s="78"/>
      <c r="D1173" s="78"/>
      <c r="E1173" s="78">
        <f>SUM(E1171:E1172)</f>
        <v>33.69</v>
      </c>
    </row>
    <row r="1174" spans="1:5">
      <c r="A1174" s="76"/>
      <c r="B1174" s="77"/>
      <c r="C1174" s="78"/>
      <c r="D1174" s="78"/>
      <c r="E1174" s="78"/>
    </row>
    <row r="1175" spans="1:5">
      <c r="A1175" s="76" t="s">
        <v>2538</v>
      </c>
      <c r="B1175" s="77"/>
      <c r="C1175" s="78"/>
      <c r="D1175" s="78"/>
      <c r="E1175" s="78">
        <f>E1173</f>
        <v>33.69</v>
      </c>
    </row>
    <row r="1176" spans="1:5">
      <c r="A1176" s="76" t="s">
        <v>2539</v>
      </c>
      <c r="B1176" s="77"/>
      <c r="C1176" s="78"/>
      <c r="D1176" s="78">
        <v>0</v>
      </c>
      <c r="E1176" s="78">
        <f>TRUNC(D1176*E1175/100,2)</f>
        <v>0</v>
      </c>
    </row>
    <row r="1177" spans="1:5">
      <c r="A1177" s="76" t="s">
        <v>2540</v>
      </c>
      <c r="B1177" s="77"/>
      <c r="C1177" s="78"/>
      <c r="D1177" s="78"/>
      <c r="E1177" s="78">
        <f>E1175+E1176</f>
        <v>33.69</v>
      </c>
    </row>
    <row r="1178" spans="1:5">
      <c r="A1178" s="76"/>
      <c r="B1178" s="77"/>
      <c r="C1178" s="78"/>
      <c r="D1178" s="78"/>
      <c r="E1178" s="78"/>
    </row>
    <row r="1179" spans="1:5">
      <c r="A1179" s="76" t="s">
        <v>2841</v>
      </c>
      <c r="B1179" s="77" t="s">
        <v>860</v>
      </c>
      <c r="C1179" s="78"/>
      <c r="D1179" s="78"/>
      <c r="E1179" s="78"/>
    </row>
    <row r="1180" ht="38.25" spans="1:5">
      <c r="A1180" s="76" t="s">
        <v>2842</v>
      </c>
      <c r="B1180" s="77"/>
      <c r="C1180" s="78"/>
      <c r="D1180" s="78"/>
      <c r="E1180" s="78"/>
    </row>
    <row r="1181" spans="1:5">
      <c r="A1181" s="76" t="s">
        <v>2552</v>
      </c>
      <c r="B1181" s="77"/>
      <c r="C1181" s="78"/>
      <c r="D1181" s="78"/>
      <c r="E1181" s="78"/>
    </row>
    <row r="1182" spans="1:5">
      <c r="A1182" s="76"/>
      <c r="B1182" s="77"/>
      <c r="C1182" s="78"/>
      <c r="D1182" s="78"/>
      <c r="E1182" s="78"/>
    </row>
    <row r="1183" spans="1:5">
      <c r="A1183" s="76" t="s">
        <v>2543</v>
      </c>
      <c r="B1183" s="77" t="s">
        <v>135</v>
      </c>
      <c r="C1183" s="78" t="s">
        <v>136</v>
      </c>
      <c r="D1183" s="78" t="s">
        <v>2534</v>
      </c>
      <c r="E1183" s="78" t="s">
        <v>2535</v>
      </c>
    </row>
    <row r="1184" spans="1:5">
      <c r="A1184" s="76" t="s">
        <v>2621</v>
      </c>
      <c r="B1184" s="77" t="s">
        <v>839</v>
      </c>
      <c r="C1184" s="78">
        <v>2.3095</v>
      </c>
      <c r="D1184" s="78">
        <v>23.75</v>
      </c>
      <c r="E1184" s="78">
        <f>TRUNC(C1184*D1184,2)</f>
        <v>54.85</v>
      </c>
    </row>
    <row r="1185" spans="1:5">
      <c r="A1185" s="76" t="s">
        <v>2840</v>
      </c>
      <c r="B1185" s="77" t="s">
        <v>839</v>
      </c>
      <c r="C1185" s="78">
        <v>1.1547</v>
      </c>
      <c r="D1185" s="78">
        <v>25.46</v>
      </c>
      <c r="E1185" s="78">
        <f>TRUNC(C1185*D1185,2)</f>
        <v>29.39</v>
      </c>
    </row>
    <row r="1186" spans="1:5">
      <c r="A1186" s="76" t="s">
        <v>122</v>
      </c>
      <c r="B1186" s="77"/>
      <c r="C1186" s="78"/>
      <c r="D1186" s="78"/>
      <c r="E1186" s="78">
        <f>SUM(E1184:E1185)</f>
        <v>84.24</v>
      </c>
    </row>
    <row r="1187" spans="1:5">
      <c r="A1187" s="76"/>
      <c r="B1187" s="77"/>
      <c r="C1187" s="78"/>
      <c r="D1187" s="78"/>
      <c r="E1187" s="78"/>
    </row>
    <row r="1188" spans="1:5">
      <c r="A1188" s="76" t="s">
        <v>2538</v>
      </c>
      <c r="B1188" s="77"/>
      <c r="C1188" s="78"/>
      <c r="D1188" s="78"/>
      <c r="E1188" s="78">
        <f>E1186</f>
        <v>84.24</v>
      </c>
    </row>
    <row r="1189" spans="1:5">
      <c r="A1189" s="76" t="s">
        <v>2539</v>
      </c>
      <c r="B1189" s="77"/>
      <c r="C1189" s="78"/>
      <c r="D1189" s="78">
        <v>0</v>
      </c>
      <c r="E1189" s="78">
        <f>TRUNC(D1189*E1188/100,2)</f>
        <v>0</v>
      </c>
    </row>
    <row r="1190" spans="1:5">
      <c r="A1190" s="76" t="s">
        <v>2540</v>
      </c>
      <c r="B1190" s="77"/>
      <c r="C1190" s="78"/>
      <c r="D1190" s="78"/>
      <c r="E1190" s="78">
        <f>E1188+E1189</f>
        <v>84.24</v>
      </c>
    </row>
    <row r="1191" spans="1:5">
      <c r="A1191" s="76"/>
      <c r="B1191" s="77"/>
      <c r="C1191" s="78"/>
      <c r="D1191" s="78"/>
      <c r="E1191" s="78"/>
    </row>
    <row r="1192" spans="1:5">
      <c r="A1192" s="76" t="s">
        <v>2843</v>
      </c>
      <c r="B1192" s="77" t="s">
        <v>862</v>
      </c>
      <c r="C1192" s="78"/>
      <c r="D1192" s="78"/>
      <c r="E1192" s="78"/>
    </row>
    <row r="1193" ht="25.5" spans="1:5">
      <c r="A1193" s="76" t="s">
        <v>2844</v>
      </c>
      <c r="B1193" s="77"/>
      <c r="C1193" s="78"/>
      <c r="D1193" s="78"/>
      <c r="E1193" s="78"/>
    </row>
    <row r="1194" spans="1:5">
      <c r="A1194" s="76" t="s">
        <v>2552</v>
      </c>
      <c r="B1194" s="77"/>
      <c r="C1194" s="78"/>
      <c r="D1194" s="78"/>
      <c r="E1194" s="78"/>
    </row>
    <row r="1195" spans="1:5">
      <c r="A1195" s="76"/>
      <c r="B1195" s="77"/>
      <c r="C1195" s="78"/>
      <c r="D1195" s="78"/>
      <c r="E1195" s="78"/>
    </row>
    <row r="1196" spans="1:5">
      <c r="A1196" s="76" t="s">
        <v>2543</v>
      </c>
      <c r="B1196" s="77" t="s">
        <v>135</v>
      </c>
      <c r="C1196" s="78" t="s">
        <v>136</v>
      </c>
      <c r="D1196" s="78" t="s">
        <v>2534</v>
      </c>
      <c r="E1196" s="78" t="s">
        <v>2535</v>
      </c>
    </row>
    <row r="1197" spans="1:5">
      <c r="A1197" s="76" t="s">
        <v>2621</v>
      </c>
      <c r="B1197" s="77" t="s">
        <v>839</v>
      </c>
      <c r="C1197" s="78">
        <v>0.5196</v>
      </c>
      <c r="D1197" s="78">
        <v>23.75</v>
      </c>
      <c r="E1197" s="78">
        <f>TRUNC(C1197*D1197,2)</f>
        <v>12.34</v>
      </c>
    </row>
    <row r="1198" spans="1:5">
      <c r="A1198" s="76" t="s">
        <v>2840</v>
      </c>
      <c r="B1198" s="77" t="s">
        <v>839</v>
      </c>
      <c r="C1198" s="78">
        <v>0.2598</v>
      </c>
      <c r="D1198" s="78">
        <v>25.46</v>
      </c>
      <c r="E1198" s="78">
        <f>TRUNC(C1198*D1198,2)</f>
        <v>6.61</v>
      </c>
    </row>
    <row r="1199" spans="1:5">
      <c r="A1199" s="76" t="s">
        <v>122</v>
      </c>
      <c r="B1199" s="77"/>
      <c r="C1199" s="78"/>
      <c r="D1199" s="78"/>
      <c r="E1199" s="78">
        <f>SUM(E1197:E1198)</f>
        <v>18.95</v>
      </c>
    </row>
    <row r="1200" spans="1:5">
      <c r="A1200" s="76"/>
      <c r="B1200" s="77"/>
      <c r="C1200" s="78"/>
      <c r="D1200" s="78"/>
      <c r="E1200" s="78"/>
    </row>
    <row r="1201" spans="1:5">
      <c r="A1201" s="76" t="s">
        <v>2538</v>
      </c>
      <c r="B1201" s="77"/>
      <c r="C1201" s="78"/>
      <c r="D1201" s="78"/>
      <c r="E1201" s="78">
        <f>E1199</f>
        <v>18.95</v>
      </c>
    </row>
    <row r="1202" spans="1:5">
      <c r="A1202" s="76" t="s">
        <v>2539</v>
      </c>
      <c r="B1202" s="77"/>
      <c r="C1202" s="78"/>
      <c r="D1202" s="78">
        <v>0</v>
      </c>
      <c r="E1202" s="78">
        <f>TRUNC(D1202*E1201/100,2)</f>
        <v>0</v>
      </c>
    </row>
    <row r="1203" spans="1:5">
      <c r="A1203" s="76" t="s">
        <v>2540</v>
      </c>
      <c r="B1203" s="77"/>
      <c r="C1203" s="78"/>
      <c r="D1203" s="78"/>
      <c r="E1203" s="78">
        <f>E1201+E1202</f>
        <v>18.95</v>
      </c>
    </row>
    <row r="1204" spans="1:5">
      <c r="A1204" s="76"/>
      <c r="B1204" s="77"/>
      <c r="C1204" s="78"/>
      <c r="D1204" s="78"/>
      <c r="E1204" s="78"/>
    </row>
    <row r="1205" spans="1:5">
      <c r="A1205" s="76" t="s">
        <v>2845</v>
      </c>
      <c r="B1205" s="77" t="s">
        <v>864</v>
      </c>
      <c r="C1205" s="78"/>
      <c r="D1205" s="78"/>
      <c r="E1205" s="78"/>
    </row>
    <row r="1206" ht="25.5" spans="1:5">
      <c r="A1206" s="76" t="s">
        <v>2846</v>
      </c>
      <c r="B1206" s="77"/>
      <c r="C1206" s="78"/>
      <c r="D1206" s="78"/>
      <c r="E1206" s="78"/>
    </row>
    <row r="1207" spans="1:5">
      <c r="A1207" s="76" t="s">
        <v>2552</v>
      </c>
      <c r="B1207" s="77"/>
      <c r="C1207" s="78"/>
      <c r="D1207" s="78"/>
      <c r="E1207" s="78"/>
    </row>
    <row r="1208" spans="1:5">
      <c r="A1208" s="76"/>
      <c r="B1208" s="77"/>
      <c r="C1208" s="78"/>
      <c r="D1208" s="78"/>
      <c r="E1208" s="78"/>
    </row>
    <row r="1209" spans="1:5">
      <c r="A1209" s="76" t="s">
        <v>2543</v>
      </c>
      <c r="B1209" s="77" t="s">
        <v>135</v>
      </c>
      <c r="C1209" s="78" t="s">
        <v>136</v>
      </c>
      <c r="D1209" s="78" t="s">
        <v>2534</v>
      </c>
      <c r="E1209" s="78" t="s">
        <v>2535</v>
      </c>
    </row>
    <row r="1210" ht="25.5" spans="1:5">
      <c r="A1210" s="76" t="s">
        <v>2847</v>
      </c>
      <c r="B1210" s="77" t="s">
        <v>839</v>
      </c>
      <c r="C1210" s="78">
        <v>0.1251</v>
      </c>
      <c r="D1210" s="78">
        <v>24.02</v>
      </c>
      <c r="E1210" s="78">
        <f>TRUNC(C1210*D1210,2)</f>
        <v>3</v>
      </c>
    </row>
    <row r="1211" ht="25.5" spans="1:5">
      <c r="A1211" s="76" t="s">
        <v>2848</v>
      </c>
      <c r="B1211" s="77" t="s">
        <v>839</v>
      </c>
      <c r="C1211" s="78">
        <v>0.4557</v>
      </c>
      <c r="D1211" s="78">
        <v>30.62</v>
      </c>
      <c r="E1211" s="78">
        <f>TRUNC(C1211*D1211,2)</f>
        <v>13.95</v>
      </c>
    </row>
    <row r="1212" ht="38.25" spans="1:5">
      <c r="A1212" s="76" t="s">
        <v>2578</v>
      </c>
      <c r="B1212" s="77" t="s">
        <v>977</v>
      </c>
      <c r="C1212" s="78">
        <v>0.1021</v>
      </c>
      <c r="D1212" s="78">
        <v>276.11</v>
      </c>
      <c r="E1212" s="78">
        <f>TRUNC(C1212*D1212,2)</f>
        <v>28.19</v>
      </c>
    </row>
    <row r="1213" ht="38.25" spans="1:5">
      <c r="A1213" s="76" t="s">
        <v>2579</v>
      </c>
      <c r="B1213" s="77" t="s">
        <v>979</v>
      </c>
      <c r="C1213" s="78">
        <v>0.2042</v>
      </c>
      <c r="D1213" s="78">
        <v>72.89</v>
      </c>
      <c r="E1213" s="78">
        <f>TRUNC(C1213*D1213,2)</f>
        <v>14.88</v>
      </c>
    </row>
    <row r="1214" spans="1:5">
      <c r="A1214" s="76" t="s">
        <v>122</v>
      </c>
      <c r="B1214" s="77"/>
      <c r="C1214" s="78"/>
      <c r="D1214" s="78"/>
      <c r="E1214" s="78">
        <f>SUM(E1210:E1213)</f>
        <v>60.02</v>
      </c>
    </row>
    <row r="1215" spans="1:5">
      <c r="A1215" s="76"/>
      <c r="B1215" s="77"/>
      <c r="C1215" s="78"/>
      <c r="D1215" s="78"/>
      <c r="E1215" s="78"/>
    </row>
    <row r="1216" spans="1:5">
      <c r="A1216" s="76" t="s">
        <v>2538</v>
      </c>
      <c r="B1216" s="77"/>
      <c r="C1216" s="78"/>
      <c r="D1216" s="78"/>
      <c r="E1216" s="78">
        <f>E1214</f>
        <v>60.02</v>
      </c>
    </row>
    <row r="1217" spans="1:5">
      <c r="A1217" s="76" t="s">
        <v>2539</v>
      </c>
      <c r="B1217" s="77"/>
      <c r="C1217" s="78"/>
      <c r="D1217" s="78">
        <v>0</v>
      </c>
      <c r="E1217" s="78">
        <f>TRUNC(D1217*E1216/100,2)</f>
        <v>0</v>
      </c>
    </row>
    <row r="1218" spans="1:5">
      <c r="A1218" s="76" t="s">
        <v>2540</v>
      </c>
      <c r="B1218" s="77"/>
      <c r="C1218" s="78"/>
      <c r="D1218" s="78"/>
      <c r="E1218" s="78">
        <f>E1216+E1217</f>
        <v>60.02</v>
      </c>
    </row>
    <row r="1219" spans="1:5">
      <c r="A1219" s="76"/>
      <c r="B1219" s="77"/>
      <c r="C1219" s="78"/>
      <c r="D1219" s="78"/>
      <c r="E1219" s="78"/>
    </row>
    <row r="1220" spans="1:5">
      <c r="A1220" s="76" t="s">
        <v>2849</v>
      </c>
      <c r="B1220" s="77" t="s">
        <v>866</v>
      </c>
      <c r="C1220" s="78"/>
      <c r="D1220" s="78"/>
      <c r="E1220" s="78"/>
    </row>
    <row r="1221" ht="25.5" spans="1:5">
      <c r="A1221" s="76" t="s">
        <v>2850</v>
      </c>
      <c r="B1221" s="77"/>
      <c r="C1221" s="78"/>
      <c r="D1221" s="78"/>
      <c r="E1221" s="78"/>
    </row>
    <row r="1222" spans="1:5">
      <c r="A1222" s="76" t="s">
        <v>2552</v>
      </c>
      <c r="B1222" s="77"/>
      <c r="C1222" s="78"/>
      <c r="D1222" s="78"/>
      <c r="E1222" s="78"/>
    </row>
    <row r="1223" spans="1:5">
      <c r="A1223" s="76"/>
      <c r="B1223" s="77"/>
      <c r="C1223" s="78"/>
      <c r="D1223" s="78"/>
      <c r="E1223" s="78"/>
    </row>
    <row r="1224" spans="1:5">
      <c r="A1224" s="76" t="s">
        <v>2543</v>
      </c>
      <c r="B1224" s="77" t="s">
        <v>135</v>
      </c>
      <c r="C1224" s="78" t="s">
        <v>136</v>
      </c>
      <c r="D1224" s="78" t="s">
        <v>2534</v>
      </c>
      <c r="E1224" s="78" t="s">
        <v>2535</v>
      </c>
    </row>
    <row r="1225" ht="25.5" spans="1:5">
      <c r="A1225" s="76" t="s">
        <v>2847</v>
      </c>
      <c r="B1225" s="77" t="s">
        <v>839</v>
      </c>
      <c r="C1225" s="78">
        <v>0.2728</v>
      </c>
      <c r="D1225" s="78">
        <v>24.02</v>
      </c>
      <c r="E1225" s="78">
        <f>TRUNC(C1225*D1225,2)</f>
        <v>6.55</v>
      </c>
    </row>
    <row r="1226" ht="25.5" spans="1:5">
      <c r="A1226" s="76" t="s">
        <v>2848</v>
      </c>
      <c r="B1226" s="77" t="s">
        <v>839</v>
      </c>
      <c r="C1226" s="78">
        <v>0.9936</v>
      </c>
      <c r="D1226" s="78">
        <v>30.62</v>
      </c>
      <c r="E1226" s="78">
        <f>TRUNC(C1226*D1226,2)</f>
        <v>30.42</v>
      </c>
    </row>
    <row r="1227" ht="38.25" spans="1:5">
      <c r="A1227" s="76" t="s">
        <v>2578</v>
      </c>
      <c r="B1227" s="77" t="s">
        <v>977</v>
      </c>
      <c r="C1227" s="78">
        <v>0.1715</v>
      </c>
      <c r="D1227" s="78">
        <v>276.11</v>
      </c>
      <c r="E1227" s="78">
        <f>TRUNC(C1227*D1227,2)</f>
        <v>47.35</v>
      </c>
    </row>
    <row r="1228" ht="38.25" spans="1:5">
      <c r="A1228" s="76" t="s">
        <v>2579</v>
      </c>
      <c r="B1228" s="77" t="s">
        <v>979</v>
      </c>
      <c r="C1228" s="78">
        <v>0.343</v>
      </c>
      <c r="D1228" s="78">
        <v>72.89</v>
      </c>
      <c r="E1228" s="78">
        <f>TRUNC(C1228*D1228,2)</f>
        <v>25</v>
      </c>
    </row>
    <row r="1229" spans="1:5">
      <c r="A1229" s="76" t="s">
        <v>122</v>
      </c>
      <c r="B1229" s="77"/>
      <c r="C1229" s="78"/>
      <c r="D1229" s="78"/>
      <c r="E1229" s="78">
        <f>SUM(E1225:E1228)</f>
        <v>109.32</v>
      </c>
    </row>
    <row r="1230" spans="1:5">
      <c r="A1230" s="76"/>
      <c r="B1230" s="77"/>
      <c r="C1230" s="78"/>
      <c r="D1230" s="78"/>
      <c r="E1230" s="78"/>
    </row>
    <row r="1231" spans="1:5">
      <c r="A1231" s="76" t="s">
        <v>2538</v>
      </c>
      <c r="B1231" s="77"/>
      <c r="C1231" s="78"/>
      <c r="D1231" s="78"/>
      <c r="E1231" s="78">
        <f>E1229</f>
        <v>109.32</v>
      </c>
    </row>
    <row r="1232" spans="1:5">
      <c r="A1232" s="76" t="s">
        <v>2539</v>
      </c>
      <c r="B1232" s="77"/>
      <c r="C1232" s="78"/>
      <c r="D1232" s="78">
        <v>0</v>
      </c>
      <c r="E1232" s="78">
        <f>TRUNC(D1232*E1231/100,2)</f>
        <v>0</v>
      </c>
    </row>
    <row r="1233" spans="1:5">
      <c r="A1233" s="76" t="s">
        <v>2540</v>
      </c>
      <c r="B1233" s="77"/>
      <c r="C1233" s="78"/>
      <c r="D1233" s="78"/>
      <c r="E1233" s="78">
        <f>E1231+E1232</f>
        <v>109.32</v>
      </c>
    </row>
    <row r="1234" spans="1:5">
      <c r="A1234" s="76"/>
      <c r="B1234" s="77"/>
      <c r="C1234" s="78"/>
      <c r="D1234" s="78"/>
      <c r="E1234" s="78"/>
    </row>
    <row r="1235" spans="1:5">
      <c r="A1235" s="76" t="s">
        <v>2851</v>
      </c>
      <c r="B1235" s="77" t="s">
        <v>868</v>
      </c>
      <c r="C1235" s="78"/>
      <c r="D1235" s="78"/>
      <c r="E1235" s="78"/>
    </row>
    <row r="1236" ht="25.5" spans="1:5">
      <c r="A1236" s="76" t="s">
        <v>2852</v>
      </c>
      <c r="B1236" s="77"/>
      <c r="C1236" s="78"/>
      <c r="D1236" s="78"/>
      <c r="E1236" s="78"/>
    </row>
    <row r="1237" spans="1:5">
      <c r="A1237" s="76" t="s">
        <v>2552</v>
      </c>
      <c r="B1237" s="77"/>
      <c r="C1237" s="78"/>
      <c r="D1237" s="78"/>
      <c r="E1237" s="78"/>
    </row>
    <row r="1238" spans="1:5">
      <c r="A1238" s="76"/>
      <c r="B1238" s="77"/>
      <c r="C1238" s="78"/>
      <c r="D1238" s="78"/>
      <c r="E1238" s="78"/>
    </row>
    <row r="1239" spans="1:5">
      <c r="A1239" s="76" t="s">
        <v>2543</v>
      </c>
      <c r="B1239" s="77" t="s">
        <v>135</v>
      </c>
      <c r="C1239" s="78" t="s">
        <v>136</v>
      </c>
      <c r="D1239" s="78" t="s">
        <v>2534</v>
      </c>
      <c r="E1239" s="78" t="s">
        <v>2535</v>
      </c>
    </row>
    <row r="1240" ht="25.5" spans="1:5">
      <c r="A1240" s="76" t="s">
        <v>2847</v>
      </c>
      <c r="B1240" s="77" t="s">
        <v>839</v>
      </c>
      <c r="C1240" s="78">
        <v>0.4853</v>
      </c>
      <c r="D1240" s="78">
        <v>24.02</v>
      </c>
      <c r="E1240" s="78">
        <f>TRUNC(C1240*D1240,2)</f>
        <v>11.65</v>
      </c>
    </row>
    <row r="1241" ht="25.5" spans="1:5">
      <c r="A1241" s="76" t="s">
        <v>2848</v>
      </c>
      <c r="B1241" s="77" t="s">
        <v>839</v>
      </c>
      <c r="C1241" s="78">
        <v>1.7679</v>
      </c>
      <c r="D1241" s="78">
        <v>30.62</v>
      </c>
      <c r="E1241" s="78">
        <f>TRUNC(C1241*D1241,2)</f>
        <v>54.13</v>
      </c>
    </row>
    <row r="1242" ht="38.25" spans="1:5">
      <c r="A1242" s="76" t="s">
        <v>2578</v>
      </c>
      <c r="B1242" s="77" t="s">
        <v>977</v>
      </c>
      <c r="C1242" s="78">
        <v>0.2714</v>
      </c>
      <c r="D1242" s="78">
        <v>276.11</v>
      </c>
      <c r="E1242" s="78">
        <f>TRUNC(C1242*D1242,2)</f>
        <v>74.93</v>
      </c>
    </row>
    <row r="1243" ht="38.25" spans="1:5">
      <c r="A1243" s="76" t="s">
        <v>2579</v>
      </c>
      <c r="B1243" s="77" t="s">
        <v>979</v>
      </c>
      <c r="C1243" s="78">
        <v>0.5428</v>
      </c>
      <c r="D1243" s="78">
        <v>72.89</v>
      </c>
      <c r="E1243" s="78">
        <f>TRUNC(C1243*D1243,2)</f>
        <v>39.56</v>
      </c>
    </row>
    <row r="1244" spans="1:5">
      <c r="A1244" s="76" t="s">
        <v>122</v>
      </c>
      <c r="B1244" s="77"/>
      <c r="C1244" s="78"/>
      <c r="D1244" s="78"/>
      <c r="E1244" s="78">
        <f>SUM(E1240:E1243)</f>
        <v>180.27</v>
      </c>
    </row>
    <row r="1245" spans="1:5">
      <c r="A1245" s="76"/>
      <c r="B1245" s="77"/>
      <c r="C1245" s="78"/>
      <c r="D1245" s="78"/>
      <c r="E1245" s="78"/>
    </row>
    <row r="1246" spans="1:5">
      <c r="A1246" s="76" t="s">
        <v>2538</v>
      </c>
      <c r="B1246" s="77"/>
      <c r="C1246" s="78"/>
      <c r="D1246" s="78"/>
      <c r="E1246" s="78">
        <f>E1244</f>
        <v>180.27</v>
      </c>
    </row>
    <row r="1247" spans="1:5">
      <c r="A1247" s="76" t="s">
        <v>2539</v>
      </c>
      <c r="B1247" s="77"/>
      <c r="C1247" s="78"/>
      <c r="D1247" s="78">
        <v>0</v>
      </c>
      <c r="E1247" s="78">
        <f>TRUNC(D1247*E1246/100,2)</f>
        <v>0</v>
      </c>
    </row>
    <row r="1248" spans="1:5">
      <c r="A1248" s="76" t="s">
        <v>2540</v>
      </c>
      <c r="B1248" s="77"/>
      <c r="C1248" s="78"/>
      <c r="D1248" s="78"/>
      <c r="E1248" s="78">
        <f>E1246+E1247</f>
        <v>180.27</v>
      </c>
    </row>
    <row r="1249" spans="1:5">
      <c r="A1249" s="76"/>
      <c r="B1249" s="77"/>
      <c r="C1249" s="78"/>
      <c r="D1249" s="78"/>
      <c r="E1249" s="78"/>
    </row>
    <row r="1250" spans="1:5">
      <c r="A1250" s="76" t="s">
        <v>2853</v>
      </c>
      <c r="B1250" s="77" t="s">
        <v>870</v>
      </c>
      <c r="C1250" s="78"/>
      <c r="D1250" s="78"/>
      <c r="E1250" s="78"/>
    </row>
    <row r="1251" ht="25.5" spans="1:5">
      <c r="A1251" s="76" t="s">
        <v>2854</v>
      </c>
      <c r="B1251" s="77"/>
      <c r="C1251" s="78"/>
      <c r="D1251" s="78"/>
      <c r="E1251" s="78"/>
    </row>
    <row r="1252" spans="1:5">
      <c r="A1252" s="76" t="s">
        <v>2552</v>
      </c>
      <c r="B1252" s="77"/>
      <c r="C1252" s="78"/>
      <c r="D1252" s="78"/>
      <c r="E1252" s="78"/>
    </row>
    <row r="1253" spans="1:5">
      <c r="A1253" s="76"/>
      <c r="B1253" s="77"/>
      <c r="C1253" s="78"/>
      <c r="D1253" s="78"/>
      <c r="E1253" s="78"/>
    </row>
    <row r="1254" spans="1:5">
      <c r="A1254" s="76" t="s">
        <v>2543</v>
      </c>
      <c r="B1254" s="77" t="s">
        <v>135</v>
      </c>
      <c r="C1254" s="78" t="s">
        <v>136</v>
      </c>
      <c r="D1254" s="78" t="s">
        <v>2534</v>
      </c>
      <c r="E1254" s="78" t="s">
        <v>2535</v>
      </c>
    </row>
    <row r="1255" ht="25.5" spans="1:5">
      <c r="A1255" s="76" t="s">
        <v>2847</v>
      </c>
      <c r="B1255" s="77" t="s">
        <v>839</v>
      </c>
      <c r="C1255" s="78">
        <v>0.8455</v>
      </c>
      <c r="D1255" s="78">
        <v>24.02</v>
      </c>
      <c r="E1255" s="78">
        <f>TRUNC(C1255*D1255,2)</f>
        <v>20.3</v>
      </c>
    </row>
    <row r="1256" ht="25.5" spans="1:5">
      <c r="A1256" s="76" t="s">
        <v>2848</v>
      </c>
      <c r="B1256" s="77" t="s">
        <v>839</v>
      </c>
      <c r="C1256" s="78">
        <v>3.08</v>
      </c>
      <c r="D1256" s="78">
        <v>30.62</v>
      </c>
      <c r="E1256" s="78">
        <f>TRUNC(C1256*D1256,2)</f>
        <v>94.3</v>
      </c>
    </row>
    <row r="1257" ht="38.25" spans="1:5">
      <c r="A1257" s="76" t="s">
        <v>2578</v>
      </c>
      <c r="B1257" s="77" t="s">
        <v>977</v>
      </c>
      <c r="C1257" s="78">
        <v>0.4407</v>
      </c>
      <c r="D1257" s="78">
        <v>276.11</v>
      </c>
      <c r="E1257" s="78">
        <f>TRUNC(C1257*D1257,2)</f>
        <v>121.68</v>
      </c>
    </row>
    <row r="1258" ht="38.25" spans="1:5">
      <c r="A1258" s="76" t="s">
        <v>2579</v>
      </c>
      <c r="B1258" s="77" t="s">
        <v>979</v>
      </c>
      <c r="C1258" s="78">
        <v>0.8814</v>
      </c>
      <c r="D1258" s="78">
        <v>72.89</v>
      </c>
      <c r="E1258" s="78">
        <f>TRUNC(C1258*D1258,2)</f>
        <v>64.24</v>
      </c>
    </row>
    <row r="1259" spans="1:5">
      <c r="A1259" s="76" t="s">
        <v>122</v>
      </c>
      <c r="B1259" s="77"/>
      <c r="C1259" s="78"/>
      <c r="D1259" s="78"/>
      <c r="E1259" s="78">
        <f>SUM(E1255:E1258)</f>
        <v>300.52</v>
      </c>
    </row>
    <row r="1260" spans="1:5">
      <c r="A1260" s="76"/>
      <c r="B1260" s="77"/>
      <c r="C1260" s="78"/>
      <c r="D1260" s="78"/>
      <c r="E1260" s="78"/>
    </row>
    <row r="1261" spans="1:5">
      <c r="A1261" s="76" t="s">
        <v>2538</v>
      </c>
      <c r="B1261" s="77"/>
      <c r="C1261" s="78"/>
      <c r="D1261" s="78"/>
      <c r="E1261" s="78">
        <f>E1259</f>
        <v>300.52</v>
      </c>
    </row>
    <row r="1262" spans="1:5">
      <c r="A1262" s="76" t="s">
        <v>2539</v>
      </c>
      <c r="B1262" s="77"/>
      <c r="C1262" s="78"/>
      <c r="D1262" s="78">
        <v>0</v>
      </c>
      <c r="E1262" s="78">
        <f>TRUNC(D1262*E1261/100,2)</f>
        <v>0</v>
      </c>
    </row>
    <row r="1263" spans="1:5">
      <c r="A1263" s="76" t="s">
        <v>2540</v>
      </c>
      <c r="B1263" s="77"/>
      <c r="C1263" s="78"/>
      <c r="D1263" s="78"/>
      <c r="E1263" s="78">
        <f>E1261+E1262</f>
        <v>300.52</v>
      </c>
    </row>
    <row r="1264" spans="1:5">
      <c r="A1264" s="76"/>
      <c r="B1264" s="77"/>
      <c r="C1264" s="78"/>
      <c r="D1264" s="78"/>
      <c r="E1264" s="78"/>
    </row>
    <row r="1265" spans="1:5">
      <c r="A1265" s="76" t="s">
        <v>2855</v>
      </c>
      <c r="B1265" s="77" t="s">
        <v>872</v>
      </c>
      <c r="C1265" s="78"/>
      <c r="D1265" s="78"/>
      <c r="E1265" s="78"/>
    </row>
    <row r="1266" ht="25.5" spans="1:5">
      <c r="A1266" s="76" t="s">
        <v>2856</v>
      </c>
      <c r="B1266" s="77"/>
      <c r="C1266" s="78"/>
      <c r="D1266" s="78"/>
      <c r="E1266" s="78"/>
    </row>
    <row r="1267" spans="1:5">
      <c r="A1267" s="76" t="s">
        <v>2552</v>
      </c>
      <c r="B1267" s="77"/>
      <c r="C1267" s="78"/>
      <c r="D1267" s="78"/>
      <c r="E1267" s="78"/>
    </row>
    <row r="1268" spans="1:5">
      <c r="A1268" s="76"/>
      <c r="B1268" s="77"/>
      <c r="C1268" s="78"/>
      <c r="D1268" s="78"/>
      <c r="E1268" s="78"/>
    </row>
    <row r="1269" spans="1:5">
      <c r="A1269" s="76" t="s">
        <v>2543</v>
      </c>
      <c r="B1269" s="77" t="s">
        <v>135</v>
      </c>
      <c r="C1269" s="78" t="s">
        <v>136</v>
      </c>
      <c r="D1269" s="78" t="s">
        <v>2534</v>
      </c>
      <c r="E1269" s="78" t="s">
        <v>2535</v>
      </c>
    </row>
    <row r="1270" ht="25.5" spans="1:5">
      <c r="A1270" s="76" t="s">
        <v>2847</v>
      </c>
      <c r="B1270" s="77" t="s">
        <v>839</v>
      </c>
      <c r="C1270" s="78">
        <v>1.2795</v>
      </c>
      <c r="D1270" s="78">
        <v>24.02</v>
      </c>
      <c r="E1270" s="78">
        <f>TRUNC(C1270*D1270,2)</f>
        <v>30.73</v>
      </c>
    </row>
    <row r="1271" ht="25.5" spans="1:5">
      <c r="A1271" s="76" t="s">
        <v>2848</v>
      </c>
      <c r="B1271" s="77" t="s">
        <v>839</v>
      </c>
      <c r="C1271" s="78">
        <v>4.6611</v>
      </c>
      <c r="D1271" s="78">
        <v>30.62</v>
      </c>
      <c r="E1271" s="78">
        <f>TRUNC(C1271*D1271,2)</f>
        <v>142.72</v>
      </c>
    </row>
    <row r="1272" ht="38.25" spans="1:5">
      <c r="A1272" s="76" t="s">
        <v>2578</v>
      </c>
      <c r="B1272" s="77" t="s">
        <v>977</v>
      </c>
      <c r="C1272" s="78">
        <v>0.6447</v>
      </c>
      <c r="D1272" s="78">
        <v>276.11</v>
      </c>
      <c r="E1272" s="78">
        <f>TRUNC(C1272*D1272,2)</f>
        <v>178</v>
      </c>
    </row>
    <row r="1273" ht="38.25" spans="1:5">
      <c r="A1273" s="76" t="s">
        <v>2579</v>
      </c>
      <c r="B1273" s="77" t="s">
        <v>979</v>
      </c>
      <c r="C1273" s="78">
        <v>1.2894</v>
      </c>
      <c r="D1273" s="78">
        <v>72.89</v>
      </c>
      <c r="E1273" s="78">
        <f>TRUNC(C1273*D1273,2)</f>
        <v>93.98</v>
      </c>
    </row>
    <row r="1274" spans="1:5">
      <c r="A1274" s="76" t="s">
        <v>122</v>
      </c>
      <c r="B1274" s="77"/>
      <c r="C1274" s="78"/>
      <c r="D1274" s="78"/>
      <c r="E1274" s="78">
        <f>SUM(E1270:E1273)</f>
        <v>445.43</v>
      </c>
    </row>
    <row r="1275" spans="1:5">
      <c r="A1275" s="76"/>
      <c r="B1275" s="77"/>
      <c r="C1275" s="78"/>
      <c r="D1275" s="78"/>
      <c r="E1275" s="78"/>
    </row>
    <row r="1276" spans="1:5">
      <c r="A1276" s="76" t="s">
        <v>2538</v>
      </c>
      <c r="B1276" s="77"/>
      <c r="C1276" s="78"/>
      <c r="D1276" s="78"/>
      <c r="E1276" s="78">
        <f>E1274</f>
        <v>445.43</v>
      </c>
    </row>
    <row r="1277" spans="1:5">
      <c r="A1277" s="76" t="s">
        <v>2539</v>
      </c>
      <c r="B1277" s="77"/>
      <c r="C1277" s="78"/>
      <c r="D1277" s="78">
        <v>0</v>
      </c>
      <c r="E1277" s="78">
        <f>TRUNC(D1277*E1276/100,2)</f>
        <v>0</v>
      </c>
    </row>
    <row r="1278" spans="1:5">
      <c r="A1278" s="76" t="s">
        <v>2540</v>
      </c>
      <c r="B1278" s="77"/>
      <c r="C1278" s="78"/>
      <c r="D1278" s="78"/>
      <c r="E1278" s="78">
        <f>E1276+E1277</f>
        <v>445.43</v>
      </c>
    </row>
    <row r="1279" spans="1:5">
      <c r="A1279" s="76"/>
      <c r="B1279" s="77"/>
      <c r="C1279" s="78"/>
      <c r="D1279" s="78"/>
      <c r="E1279" s="78"/>
    </row>
    <row r="1280" spans="1:5">
      <c r="A1280" s="76" t="s">
        <v>2857</v>
      </c>
      <c r="B1280" s="77" t="s">
        <v>874</v>
      </c>
      <c r="C1280" s="78"/>
      <c r="D1280" s="78"/>
      <c r="E1280" s="78"/>
    </row>
    <row r="1281" ht="25.5" spans="1:5">
      <c r="A1281" s="76" t="s">
        <v>2858</v>
      </c>
      <c r="B1281" s="77"/>
      <c r="C1281" s="78"/>
      <c r="D1281" s="78"/>
      <c r="E1281" s="78"/>
    </row>
    <row r="1282" spans="1:5">
      <c r="A1282" s="76" t="s">
        <v>2552</v>
      </c>
      <c r="B1282" s="77"/>
      <c r="C1282" s="78"/>
      <c r="D1282" s="78"/>
      <c r="E1282" s="78"/>
    </row>
    <row r="1283" spans="1:5">
      <c r="A1283" s="76"/>
      <c r="B1283" s="77"/>
      <c r="C1283" s="78"/>
      <c r="D1283" s="78"/>
      <c r="E1283" s="78"/>
    </row>
    <row r="1284" spans="1:5">
      <c r="A1284" s="76" t="s">
        <v>2543</v>
      </c>
      <c r="B1284" s="77" t="s">
        <v>135</v>
      </c>
      <c r="C1284" s="78" t="s">
        <v>136</v>
      </c>
      <c r="D1284" s="78" t="s">
        <v>2534</v>
      </c>
      <c r="E1284" s="78" t="s">
        <v>2535</v>
      </c>
    </row>
    <row r="1285" ht="25.5" spans="1:5">
      <c r="A1285" s="76" t="s">
        <v>2847</v>
      </c>
      <c r="B1285" s="77" t="s">
        <v>839</v>
      </c>
      <c r="C1285" s="78">
        <v>0.0956</v>
      </c>
      <c r="D1285" s="78">
        <v>24.02</v>
      </c>
      <c r="E1285" s="78">
        <f>TRUNC(C1285*D1285,2)</f>
        <v>2.29</v>
      </c>
    </row>
    <row r="1286" ht="25.5" spans="1:5">
      <c r="A1286" s="76" t="s">
        <v>2848</v>
      </c>
      <c r="B1286" s="77" t="s">
        <v>839</v>
      </c>
      <c r="C1286" s="78">
        <v>0.3482</v>
      </c>
      <c r="D1286" s="78">
        <v>30.62</v>
      </c>
      <c r="E1286" s="78">
        <f>TRUNC(C1286*D1286,2)</f>
        <v>10.66</v>
      </c>
    </row>
    <row r="1287" ht="38.25" spans="1:5">
      <c r="A1287" s="76" t="s">
        <v>2578</v>
      </c>
      <c r="B1287" s="77" t="s">
        <v>977</v>
      </c>
      <c r="C1287" s="78">
        <v>0.0882</v>
      </c>
      <c r="D1287" s="78">
        <v>276.11</v>
      </c>
      <c r="E1287" s="78">
        <f>TRUNC(C1287*D1287,2)</f>
        <v>24.35</v>
      </c>
    </row>
    <row r="1288" ht="38.25" spans="1:5">
      <c r="A1288" s="76" t="s">
        <v>2579</v>
      </c>
      <c r="B1288" s="77" t="s">
        <v>979</v>
      </c>
      <c r="C1288" s="78">
        <v>0.1764</v>
      </c>
      <c r="D1288" s="78">
        <v>72.89</v>
      </c>
      <c r="E1288" s="78">
        <f>TRUNC(C1288*D1288,2)</f>
        <v>12.85</v>
      </c>
    </row>
    <row r="1289" spans="1:5">
      <c r="A1289" s="76" t="s">
        <v>122</v>
      </c>
      <c r="B1289" s="77"/>
      <c r="C1289" s="78"/>
      <c r="D1289" s="78"/>
      <c r="E1289" s="78">
        <f>SUM(E1285:E1288)</f>
        <v>50.15</v>
      </c>
    </row>
    <row r="1290" spans="1:5">
      <c r="A1290" s="76"/>
      <c r="B1290" s="77"/>
      <c r="C1290" s="78"/>
      <c r="D1290" s="78"/>
      <c r="E1290" s="78"/>
    </row>
    <row r="1291" spans="1:5">
      <c r="A1291" s="76" t="s">
        <v>2538</v>
      </c>
      <c r="B1291" s="77"/>
      <c r="C1291" s="78"/>
      <c r="D1291" s="78"/>
      <c r="E1291" s="78">
        <f>E1289</f>
        <v>50.15</v>
      </c>
    </row>
    <row r="1292" spans="1:5">
      <c r="A1292" s="76" t="s">
        <v>2539</v>
      </c>
      <c r="B1292" s="77"/>
      <c r="C1292" s="78"/>
      <c r="D1292" s="78">
        <v>0</v>
      </c>
      <c r="E1292" s="78">
        <f>TRUNC(D1292*E1291/100,2)</f>
        <v>0</v>
      </c>
    </row>
    <row r="1293" spans="1:5">
      <c r="A1293" s="76" t="s">
        <v>2540</v>
      </c>
      <c r="B1293" s="77"/>
      <c r="C1293" s="78"/>
      <c r="D1293" s="78"/>
      <c r="E1293" s="78">
        <f>E1291+E1292</f>
        <v>50.15</v>
      </c>
    </row>
    <row r="1294" spans="1:5">
      <c r="A1294" s="76"/>
      <c r="B1294" s="77"/>
      <c r="C1294" s="78"/>
      <c r="D1294" s="78"/>
      <c r="E1294" s="78"/>
    </row>
    <row r="1295" spans="1:5">
      <c r="A1295" s="76" t="s">
        <v>2859</v>
      </c>
      <c r="B1295" s="77" t="s">
        <v>876</v>
      </c>
      <c r="C1295" s="78"/>
      <c r="D1295" s="78"/>
      <c r="E1295" s="78"/>
    </row>
    <row r="1296" ht="25.5" spans="1:5">
      <c r="A1296" s="76" t="s">
        <v>2860</v>
      </c>
      <c r="B1296" s="77"/>
      <c r="C1296" s="78"/>
      <c r="D1296" s="78"/>
      <c r="E1296" s="78"/>
    </row>
    <row r="1297" spans="1:5">
      <c r="A1297" s="76" t="s">
        <v>2552</v>
      </c>
      <c r="B1297" s="77"/>
      <c r="C1297" s="78"/>
      <c r="D1297" s="78"/>
      <c r="E1297" s="78"/>
    </row>
    <row r="1298" spans="1:5">
      <c r="A1298" s="76"/>
      <c r="B1298" s="77"/>
      <c r="C1298" s="78"/>
      <c r="D1298" s="78"/>
      <c r="E1298" s="78"/>
    </row>
    <row r="1299" spans="1:5">
      <c r="A1299" s="76" t="s">
        <v>2543</v>
      </c>
      <c r="B1299" s="77" t="s">
        <v>135</v>
      </c>
      <c r="C1299" s="78" t="s">
        <v>136</v>
      </c>
      <c r="D1299" s="78" t="s">
        <v>2534</v>
      </c>
      <c r="E1299" s="78" t="s">
        <v>2535</v>
      </c>
    </row>
    <row r="1300" ht="25.5" spans="1:5">
      <c r="A1300" s="76" t="s">
        <v>2847</v>
      </c>
      <c r="B1300" s="77" t="s">
        <v>839</v>
      </c>
      <c r="C1300" s="78">
        <v>1.2683</v>
      </c>
      <c r="D1300" s="78">
        <v>24.02</v>
      </c>
      <c r="E1300" s="78">
        <f>TRUNC(C1300*D1300,2)</f>
        <v>30.46</v>
      </c>
    </row>
    <row r="1301" ht="25.5" spans="1:5">
      <c r="A1301" s="76" t="s">
        <v>2848</v>
      </c>
      <c r="B1301" s="77" t="s">
        <v>839</v>
      </c>
      <c r="C1301" s="78">
        <v>4.6201</v>
      </c>
      <c r="D1301" s="78">
        <v>30.62</v>
      </c>
      <c r="E1301" s="78">
        <f>TRUNC(C1301*D1301,2)</f>
        <v>141.46</v>
      </c>
    </row>
    <row r="1302" ht="38.25" spans="1:5">
      <c r="A1302" s="76" t="s">
        <v>2578</v>
      </c>
      <c r="B1302" s="77" t="s">
        <v>977</v>
      </c>
      <c r="C1302" s="78">
        <v>0.6394</v>
      </c>
      <c r="D1302" s="78">
        <v>276.11</v>
      </c>
      <c r="E1302" s="78">
        <f>TRUNC(C1302*D1302,2)</f>
        <v>176.54</v>
      </c>
    </row>
    <row r="1303" ht="38.25" spans="1:5">
      <c r="A1303" s="76" t="s">
        <v>2579</v>
      </c>
      <c r="B1303" s="77" t="s">
        <v>979</v>
      </c>
      <c r="C1303" s="78">
        <v>1.2788</v>
      </c>
      <c r="D1303" s="78">
        <v>72.89</v>
      </c>
      <c r="E1303" s="78">
        <f>TRUNC(C1303*D1303,2)</f>
        <v>93.21</v>
      </c>
    </row>
    <row r="1304" spans="1:5">
      <c r="A1304" s="76" t="s">
        <v>122</v>
      </c>
      <c r="B1304" s="77"/>
      <c r="C1304" s="78"/>
      <c r="D1304" s="78"/>
      <c r="E1304" s="78">
        <f>SUM(E1300:E1303)</f>
        <v>441.67</v>
      </c>
    </row>
    <row r="1305" spans="1:5">
      <c r="A1305" s="76"/>
      <c r="B1305" s="77"/>
      <c r="C1305" s="78"/>
      <c r="D1305" s="78"/>
      <c r="E1305" s="78"/>
    </row>
    <row r="1306" spans="1:5">
      <c r="A1306" s="76" t="s">
        <v>2538</v>
      </c>
      <c r="B1306" s="77"/>
      <c r="C1306" s="78"/>
      <c r="D1306" s="78"/>
      <c r="E1306" s="78">
        <f>E1304</f>
        <v>441.67</v>
      </c>
    </row>
    <row r="1307" spans="1:5">
      <c r="A1307" s="76" t="s">
        <v>2539</v>
      </c>
      <c r="B1307" s="77"/>
      <c r="C1307" s="78"/>
      <c r="D1307" s="78">
        <v>0</v>
      </c>
      <c r="E1307" s="78">
        <f>TRUNC(D1307*E1306/100,2)</f>
        <v>0</v>
      </c>
    </row>
    <row r="1308" spans="1:5">
      <c r="A1308" s="76" t="s">
        <v>2540</v>
      </c>
      <c r="B1308" s="77"/>
      <c r="C1308" s="78"/>
      <c r="D1308" s="78"/>
      <c r="E1308" s="78">
        <f>E1306+E1307</f>
        <v>441.67</v>
      </c>
    </row>
    <row r="1309" spans="1:5">
      <c r="A1309" s="76"/>
      <c r="B1309" s="77"/>
      <c r="C1309" s="78"/>
      <c r="D1309" s="78"/>
      <c r="E1309" s="78"/>
    </row>
    <row r="1310" spans="1:5">
      <c r="A1310" s="76" t="s">
        <v>2861</v>
      </c>
      <c r="B1310" s="77" t="s">
        <v>878</v>
      </c>
      <c r="C1310" s="78"/>
      <c r="D1310" s="78"/>
      <c r="E1310" s="78"/>
    </row>
    <row r="1311" ht="25.5" spans="1:5">
      <c r="A1311" s="76" t="s">
        <v>2862</v>
      </c>
      <c r="B1311" s="77"/>
      <c r="C1311" s="78"/>
      <c r="D1311" s="78"/>
      <c r="E1311" s="78"/>
    </row>
    <row r="1312" spans="1:5">
      <c r="A1312" s="76" t="s">
        <v>2552</v>
      </c>
      <c r="B1312" s="77"/>
      <c r="C1312" s="78"/>
      <c r="D1312" s="78"/>
      <c r="E1312" s="78"/>
    </row>
    <row r="1313" spans="1:5">
      <c r="A1313" s="76"/>
      <c r="B1313" s="77"/>
      <c r="C1313" s="78"/>
      <c r="D1313" s="78"/>
      <c r="E1313" s="78"/>
    </row>
    <row r="1314" spans="1:5">
      <c r="A1314" s="76" t="s">
        <v>2543</v>
      </c>
      <c r="B1314" s="77" t="s">
        <v>135</v>
      </c>
      <c r="C1314" s="78" t="s">
        <v>136</v>
      </c>
      <c r="D1314" s="78" t="s">
        <v>2534</v>
      </c>
      <c r="E1314" s="78" t="s">
        <v>2535</v>
      </c>
    </row>
    <row r="1315" ht="25.5" spans="1:5">
      <c r="A1315" s="76" t="s">
        <v>2847</v>
      </c>
      <c r="B1315" s="77" t="s">
        <v>839</v>
      </c>
      <c r="C1315" s="78">
        <v>1.9193</v>
      </c>
      <c r="D1315" s="78">
        <v>24.02</v>
      </c>
      <c r="E1315" s="78">
        <f>TRUNC(C1315*D1315,2)</f>
        <v>46.1</v>
      </c>
    </row>
    <row r="1316" ht="25.5" spans="1:5">
      <c r="A1316" s="76" t="s">
        <v>2848</v>
      </c>
      <c r="B1316" s="77" t="s">
        <v>839</v>
      </c>
      <c r="C1316" s="78">
        <v>6.9917</v>
      </c>
      <c r="D1316" s="78">
        <v>30.62</v>
      </c>
      <c r="E1316" s="78">
        <f>TRUNC(C1316*D1316,2)</f>
        <v>214.08</v>
      </c>
    </row>
    <row r="1317" ht="38.25" spans="1:5">
      <c r="A1317" s="76" t="s">
        <v>2578</v>
      </c>
      <c r="B1317" s="77" t="s">
        <v>977</v>
      </c>
      <c r="C1317" s="78">
        <v>0.9454</v>
      </c>
      <c r="D1317" s="78">
        <v>276.11</v>
      </c>
      <c r="E1317" s="78">
        <f>TRUNC(C1317*D1317,2)</f>
        <v>261.03</v>
      </c>
    </row>
    <row r="1318" ht="38.25" spans="1:5">
      <c r="A1318" s="76" t="s">
        <v>2579</v>
      </c>
      <c r="B1318" s="77" t="s">
        <v>979</v>
      </c>
      <c r="C1318" s="78">
        <v>1.8908</v>
      </c>
      <c r="D1318" s="78">
        <v>72.89</v>
      </c>
      <c r="E1318" s="78">
        <f>TRUNC(C1318*D1318,2)</f>
        <v>137.82</v>
      </c>
    </row>
    <row r="1319" spans="1:5">
      <c r="A1319" s="76" t="s">
        <v>122</v>
      </c>
      <c r="B1319" s="77"/>
      <c r="C1319" s="78"/>
      <c r="D1319" s="78"/>
      <c r="E1319" s="78">
        <f>SUM(E1315:E1318)</f>
        <v>659.03</v>
      </c>
    </row>
    <row r="1320" spans="1:5">
      <c r="A1320" s="76"/>
      <c r="B1320" s="77"/>
      <c r="C1320" s="78"/>
      <c r="D1320" s="78"/>
      <c r="E1320" s="78"/>
    </row>
    <row r="1321" spans="1:5">
      <c r="A1321" s="76" t="s">
        <v>2538</v>
      </c>
      <c r="B1321" s="77"/>
      <c r="C1321" s="78"/>
      <c r="D1321" s="78"/>
      <c r="E1321" s="78">
        <f>E1319</f>
        <v>659.03</v>
      </c>
    </row>
    <row r="1322" spans="1:5">
      <c r="A1322" s="76" t="s">
        <v>2539</v>
      </c>
      <c r="B1322" s="77"/>
      <c r="C1322" s="78"/>
      <c r="D1322" s="78">
        <v>0</v>
      </c>
      <c r="E1322" s="78">
        <f>TRUNC(D1322*E1321/100,2)</f>
        <v>0</v>
      </c>
    </row>
    <row r="1323" spans="1:5">
      <c r="A1323" s="76" t="s">
        <v>2540</v>
      </c>
      <c r="B1323" s="77"/>
      <c r="C1323" s="78"/>
      <c r="D1323" s="78"/>
      <c r="E1323" s="78">
        <f>E1321+E1322</f>
        <v>659.03</v>
      </c>
    </row>
    <row r="1324" spans="1:5">
      <c r="A1324" s="76"/>
      <c r="B1324" s="77"/>
      <c r="C1324" s="78"/>
      <c r="D1324" s="78"/>
      <c r="E1324" s="78"/>
    </row>
    <row r="1325" spans="1:5">
      <c r="A1325" s="76" t="s">
        <v>2863</v>
      </c>
      <c r="B1325" s="77" t="s">
        <v>880</v>
      </c>
      <c r="C1325" s="78"/>
      <c r="D1325" s="78"/>
      <c r="E1325" s="78"/>
    </row>
    <row r="1326" ht="38.25" spans="1:5">
      <c r="A1326" s="76" t="s">
        <v>2864</v>
      </c>
      <c r="B1326" s="77"/>
      <c r="C1326" s="78"/>
      <c r="D1326" s="78"/>
      <c r="E1326" s="78"/>
    </row>
    <row r="1327" spans="1:5">
      <c r="A1327" s="76" t="s">
        <v>2591</v>
      </c>
      <c r="B1327" s="77"/>
      <c r="C1327" s="78"/>
      <c r="D1327" s="78"/>
      <c r="E1327" s="78"/>
    </row>
    <row r="1328" spans="1:5">
      <c r="A1328" s="76"/>
      <c r="B1328" s="77"/>
      <c r="C1328" s="78"/>
      <c r="D1328" s="78"/>
      <c r="E1328" s="78"/>
    </row>
    <row r="1329" spans="1:5">
      <c r="A1329" s="76" t="s">
        <v>2543</v>
      </c>
      <c r="B1329" s="77" t="s">
        <v>135</v>
      </c>
      <c r="C1329" s="78" t="s">
        <v>136</v>
      </c>
      <c r="D1329" s="78" t="s">
        <v>2534</v>
      </c>
      <c r="E1329" s="78" t="s">
        <v>2535</v>
      </c>
    </row>
    <row r="1330" ht="25.5" spans="1:5">
      <c r="A1330" s="76" t="s">
        <v>2865</v>
      </c>
      <c r="B1330" s="77" t="s">
        <v>494</v>
      </c>
      <c r="C1330" s="78">
        <v>0.0071</v>
      </c>
      <c r="D1330" s="78">
        <v>30.07</v>
      </c>
      <c r="E1330" s="78">
        <f>TRUNC(C1330*D1330,2)</f>
        <v>0.21</v>
      </c>
    </row>
    <row r="1331" spans="1:5">
      <c r="A1331" s="76" t="s">
        <v>2621</v>
      </c>
      <c r="B1331" s="77" t="s">
        <v>839</v>
      </c>
      <c r="C1331" s="78">
        <v>0.0554</v>
      </c>
      <c r="D1331" s="78">
        <v>23.75</v>
      </c>
      <c r="E1331" s="78">
        <f>TRUNC(C1331*D1331,2)</f>
        <v>1.31</v>
      </c>
    </row>
    <row r="1332" spans="1:5">
      <c r="A1332" s="76" t="s">
        <v>2840</v>
      </c>
      <c r="B1332" s="77" t="s">
        <v>839</v>
      </c>
      <c r="C1332" s="78">
        <v>0.0832</v>
      </c>
      <c r="D1332" s="78">
        <v>25.46</v>
      </c>
      <c r="E1332" s="78">
        <f>TRUNC(C1332*D1332,2)</f>
        <v>2.11</v>
      </c>
    </row>
    <row r="1333" ht="51" spans="1:5">
      <c r="A1333" s="76" t="s">
        <v>2720</v>
      </c>
      <c r="B1333" s="77" t="s">
        <v>977</v>
      </c>
      <c r="C1333" s="78">
        <v>0.0082</v>
      </c>
      <c r="D1333" s="78">
        <v>146.19</v>
      </c>
      <c r="E1333" s="78">
        <f>TRUNC(C1333*D1333,2)</f>
        <v>1.19</v>
      </c>
    </row>
    <row r="1334" ht="51" spans="1:5">
      <c r="A1334" s="76" t="s">
        <v>2721</v>
      </c>
      <c r="B1334" s="77" t="s">
        <v>979</v>
      </c>
      <c r="C1334" s="78">
        <v>0.0197</v>
      </c>
      <c r="D1334" s="78">
        <v>62.96</v>
      </c>
      <c r="E1334" s="78">
        <f>TRUNC(C1334*D1334,2)</f>
        <v>1.24</v>
      </c>
    </row>
    <row r="1335" spans="1:5">
      <c r="A1335" s="76" t="s">
        <v>122</v>
      </c>
      <c r="B1335" s="77"/>
      <c r="C1335" s="78"/>
      <c r="D1335" s="78"/>
      <c r="E1335" s="78">
        <f>SUM(E1330:E1334)</f>
        <v>6.06</v>
      </c>
    </row>
    <row r="1336" spans="1:5">
      <c r="A1336" s="76"/>
      <c r="B1336" s="77"/>
      <c r="C1336" s="78"/>
      <c r="D1336" s="78"/>
      <c r="E1336" s="78"/>
    </row>
    <row r="1337" spans="1:5">
      <c r="A1337" s="76" t="s">
        <v>2538</v>
      </c>
      <c r="B1337" s="77"/>
      <c r="C1337" s="78"/>
      <c r="D1337" s="78"/>
      <c r="E1337" s="78">
        <f>E1335</f>
        <v>6.06</v>
      </c>
    </row>
    <row r="1338" spans="1:5">
      <c r="A1338" s="76" t="s">
        <v>2539</v>
      </c>
      <c r="B1338" s="77"/>
      <c r="C1338" s="78"/>
      <c r="D1338" s="78">
        <v>0</v>
      </c>
      <c r="E1338" s="78">
        <f>TRUNC(D1338*E1337/100,2)</f>
        <v>0</v>
      </c>
    </row>
    <row r="1339" spans="1:5">
      <c r="A1339" s="76" t="s">
        <v>2540</v>
      </c>
      <c r="B1339" s="77"/>
      <c r="C1339" s="78"/>
      <c r="D1339" s="78"/>
      <c r="E1339" s="78">
        <f>E1337+E1338</f>
        <v>6.06</v>
      </c>
    </row>
    <row r="1340" spans="1:5">
      <c r="A1340" s="76"/>
      <c r="B1340" s="77"/>
      <c r="C1340" s="78"/>
      <c r="D1340" s="78"/>
      <c r="E1340" s="78"/>
    </row>
    <row r="1341" spans="1:5">
      <c r="A1341" s="76" t="s">
        <v>2866</v>
      </c>
      <c r="B1341" s="77" t="s">
        <v>881</v>
      </c>
      <c r="C1341" s="78"/>
      <c r="D1341" s="78"/>
      <c r="E1341" s="78"/>
    </row>
    <row r="1342" ht="38.25" spans="1:5">
      <c r="A1342" s="76" t="s">
        <v>2867</v>
      </c>
      <c r="B1342" s="77"/>
      <c r="C1342" s="78"/>
      <c r="D1342" s="78"/>
      <c r="E1342" s="78"/>
    </row>
    <row r="1343" spans="1:5">
      <c r="A1343" s="76" t="s">
        <v>2591</v>
      </c>
      <c r="B1343" s="77"/>
      <c r="C1343" s="78"/>
      <c r="D1343" s="78"/>
      <c r="E1343" s="78"/>
    </row>
    <row r="1344" spans="1:5">
      <c r="A1344" s="76"/>
      <c r="B1344" s="77"/>
      <c r="C1344" s="78"/>
      <c r="D1344" s="78"/>
      <c r="E1344" s="78"/>
    </row>
    <row r="1345" spans="1:5">
      <c r="A1345" s="76" t="s">
        <v>2543</v>
      </c>
      <c r="B1345" s="77" t="s">
        <v>135</v>
      </c>
      <c r="C1345" s="78" t="s">
        <v>136</v>
      </c>
      <c r="D1345" s="78" t="s">
        <v>2534</v>
      </c>
      <c r="E1345" s="78" t="s">
        <v>2535</v>
      </c>
    </row>
    <row r="1346" ht="25.5" spans="1:5">
      <c r="A1346" s="76" t="s">
        <v>2865</v>
      </c>
      <c r="B1346" s="77" t="s">
        <v>494</v>
      </c>
      <c r="C1346" s="78">
        <v>0.0087</v>
      </c>
      <c r="D1346" s="78">
        <v>30.07</v>
      </c>
      <c r="E1346" s="78">
        <f>TRUNC(C1346*D1346,2)</f>
        <v>0.26</v>
      </c>
    </row>
    <row r="1347" spans="1:5">
      <c r="A1347" s="76" t="s">
        <v>2621</v>
      </c>
      <c r="B1347" s="77" t="s">
        <v>839</v>
      </c>
      <c r="C1347" s="78">
        <v>0.0744</v>
      </c>
      <c r="D1347" s="78">
        <v>23.75</v>
      </c>
      <c r="E1347" s="78">
        <f>TRUNC(C1347*D1347,2)</f>
        <v>1.76</v>
      </c>
    </row>
    <row r="1348" spans="1:5">
      <c r="A1348" s="76" t="s">
        <v>2840</v>
      </c>
      <c r="B1348" s="77" t="s">
        <v>839</v>
      </c>
      <c r="C1348" s="78">
        <v>0.1116</v>
      </c>
      <c r="D1348" s="78">
        <v>25.46</v>
      </c>
      <c r="E1348" s="78">
        <f>TRUNC(C1348*D1348,2)</f>
        <v>2.84</v>
      </c>
    </row>
    <row r="1349" ht="51" spans="1:5">
      <c r="A1349" s="76" t="s">
        <v>2720</v>
      </c>
      <c r="B1349" s="77" t="s">
        <v>977</v>
      </c>
      <c r="C1349" s="78">
        <v>0.0095</v>
      </c>
      <c r="D1349" s="78">
        <v>146.19</v>
      </c>
      <c r="E1349" s="78">
        <f>TRUNC(C1349*D1349,2)</f>
        <v>1.38</v>
      </c>
    </row>
    <row r="1350" ht="51" spans="1:5">
      <c r="A1350" s="76" t="s">
        <v>2721</v>
      </c>
      <c r="B1350" s="77" t="s">
        <v>979</v>
      </c>
      <c r="C1350" s="78">
        <v>0.0229</v>
      </c>
      <c r="D1350" s="78">
        <v>62.96</v>
      </c>
      <c r="E1350" s="78">
        <f>TRUNC(C1350*D1350,2)</f>
        <v>1.44</v>
      </c>
    </row>
    <row r="1351" spans="1:5">
      <c r="A1351" s="76" t="s">
        <v>122</v>
      </c>
      <c r="B1351" s="77"/>
      <c r="C1351" s="78"/>
      <c r="D1351" s="78"/>
      <c r="E1351" s="78">
        <f>SUM(E1346:E1350)</f>
        <v>7.68</v>
      </c>
    </row>
    <row r="1352" spans="1:5">
      <c r="A1352" s="76"/>
      <c r="B1352" s="77"/>
      <c r="C1352" s="78"/>
      <c r="D1352" s="78"/>
      <c r="E1352" s="78"/>
    </row>
    <row r="1353" spans="1:5">
      <c r="A1353" s="76" t="s">
        <v>2538</v>
      </c>
      <c r="B1353" s="77"/>
      <c r="C1353" s="78"/>
      <c r="D1353" s="78"/>
      <c r="E1353" s="78">
        <f>E1351</f>
        <v>7.68</v>
      </c>
    </row>
    <row r="1354" spans="1:5">
      <c r="A1354" s="76" t="s">
        <v>2539</v>
      </c>
      <c r="B1354" s="77"/>
      <c r="C1354" s="78"/>
      <c r="D1354" s="78">
        <v>0</v>
      </c>
      <c r="E1354" s="78">
        <f>TRUNC(D1354*E1353/100,2)</f>
        <v>0</v>
      </c>
    </row>
    <row r="1355" spans="1:5">
      <c r="A1355" s="76" t="s">
        <v>2540</v>
      </c>
      <c r="B1355" s="77"/>
      <c r="C1355" s="78"/>
      <c r="D1355" s="78"/>
      <c r="E1355" s="78">
        <f>E1353+E1354</f>
        <v>7.68</v>
      </c>
    </row>
    <row r="1356" spans="1:5">
      <c r="A1356" s="76"/>
      <c r="B1356" s="77"/>
      <c r="C1356" s="78"/>
      <c r="D1356" s="78"/>
      <c r="E1356" s="78"/>
    </row>
    <row r="1357" spans="1:5">
      <c r="A1357" s="76" t="s">
        <v>2868</v>
      </c>
      <c r="B1357" s="77" t="s">
        <v>882</v>
      </c>
      <c r="C1357" s="78"/>
      <c r="D1357" s="78"/>
      <c r="E1357" s="78"/>
    </row>
    <row r="1358" ht="25.5" spans="1:5">
      <c r="A1358" s="76" t="s">
        <v>2869</v>
      </c>
      <c r="B1358" s="77"/>
      <c r="C1358" s="78"/>
      <c r="D1358" s="78"/>
      <c r="E1358" s="78"/>
    </row>
    <row r="1359" spans="1:5">
      <c r="A1359" s="76" t="s">
        <v>2591</v>
      </c>
      <c r="B1359" s="77"/>
      <c r="C1359" s="78"/>
      <c r="D1359" s="78"/>
      <c r="E1359" s="78"/>
    </row>
    <row r="1360" spans="1:5">
      <c r="A1360" s="76"/>
      <c r="B1360" s="77"/>
      <c r="C1360" s="78"/>
      <c r="D1360" s="78"/>
      <c r="E1360" s="78"/>
    </row>
    <row r="1361" spans="1:5">
      <c r="A1361" s="76" t="s">
        <v>2543</v>
      </c>
      <c r="B1361" s="77" t="s">
        <v>135</v>
      </c>
      <c r="C1361" s="78" t="s">
        <v>136</v>
      </c>
      <c r="D1361" s="78" t="s">
        <v>2534</v>
      </c>
      <c r="E1361" s="78" t="s">
        <v>2535</v>
      </c>
    </row>
    <row r="1362" ht="25.5" spans="1:5">
      <c r="A1362" s="76" t="s">
        <v>2847</v>
      </c>
      <c r="B1362" s="77" t="s">
        <v>839</v>
      </c>
      <c r="C1362" s="78">
        <v>0.0813</v>
      </c>
      <c r="D1362" s="78">
        <v>24.02</v>
      </c>
      <c r="E1362" s="78">
        <f>TRUNC(C1362*D1362,2)</f>
        <v>1.95</v>
      </c>
    </row>
    <row r="1363" ht="25.5" spans="1:5">
      <c r="A1363" s="76" t="s">
        <v>2848</v>
      </c>
      <c r="B1363" s="77" t="s">
        <v>839</v>
      </c>
      <c r="C1363" s="78">
        <v>0.2961</v>
      </c>
      <c r="D1363" s="78">
        <v>30.62</v>
      </c>
      <c r="E1363" s="78">
        <f>TRUNC(C1363*D1363,2)</f>
        <v>9.06</v>
      </c>
    </row>
    <row r="1364" ht="38.25" spans="1:5">
      <c r="A1364" s="76" t="s">
        <v>2578</v>
      </c>
      <c r="B1364" s="77" t="s">
        <v>977</v>
      </c>
      <c r="C1364" s="78">
        <v>0.0362</v>
      </c>
      <c r="D1364" s="78">
        <v>276.11</v>
      </c>
      <c r="E1364" s="78">
        <f>TRUNC(C1364*D1364,2)</f>
        <v>9.99</v>
      </c>
    </row>
    <row r="1365" ht="38.25" spans="1:5">
      <c r="A1365" s="76" t="s">
        <v>2579</v>
      </c>
      <c r="B1365" s="77" t="s">
        <v>979</v>
      </c>
      <c r="C1365" s="78">
        <v>0.0725</v>
      </c>
      <c r="D1365" s="78">
        <v>72.89</v>
      </c>
      <c r="E1365" s="78">
        <f>TRUNC(C1365*D1365,2)</f>
        <v>5.28</v>
      </c>
    </row>
    <row r="1366" spans="1:5">
      <c r="A1366" s="76" t="s">
        <v>122</v>
      </c>
      <c r="B1366" s="77"/>
      <c r="C1366" s="78"/>
      <c r="D1366" s="78"/>
      <c r="E1366" s="78">
        <f>SUM(E1362:E1365)</f>
        <v>26.28</v>
      </c>
    </row>
    <row r="1367" spans="1:5">
      <c r="A1367" s="76"/>
      <c r="B1367" s="77"/>
      <c r="C1367" s="78"/>
      <c r="D1367" s="78"/>
      <c r="E1367" s="78"/>
    </row>
    <row r="1368" spans="1:5">
      <c r="A1368" s="76" t="s">
        <v>2538</v>
      </c>
      <c r="B1368" s="77"/>
      <c r="C1368" s="78"/>
      <c r="D1368" s="78"/>
      <c r="E1368" s="78">
        <f>E1366</f>
        <v>26.28</v>
      </c>
    </row>
    <row r="1369" spans="1:5">
      <c r="A1369" s="76" t="s">
        <v>2539</v>
      </c>
      <c r="B1369" s="77"/>
      <c r="C1369" s="78"/>
      <c r="D1369" s="78">
        <v>0</v>
      </c>
      <c r="E1369" s="78">
        <f>TRUNC(D1369*E1368/100,2)</f>
        <v>0</v>
      </c>
    </row>
    <row r="1370" spans="1:5">
      <c r="A1370" s="76" t="s">
        <v>2540</v>
      </c>
      <c r="B1370" s="77"/>
      <c r="C1370" s="78"/>
      <c r="D1370" s="78"/>
      <c r="E1370" s="78">
        <f>E1368+E1369</f>
        <v>26.28</v>
      </c>
    </row>
    <row r="1371" spans="1:5">
      <c r="A1371" s="76"/>
      <c r="B1371" s="77"/>
      <c r="C1371" s="78"/>
      <c r="D1371" s="78"/>
      <c r="E1371" s="78"/>
    </row>
    <row r="1372" spans="1:5">
      <c r="A1372" s="76" t="s">
        <v>2870</v>
      </c>
      <c r="B1372" s="77" t="s">
        <v>883</v>
      </c>
      <c r="C1372" s="78"/>
      <c r="D1372" s="78"/>
      <c r="E1372" s="78"/>
    </row>
    <row r="1373" ht="25.5" spans="1:5">
      <c r="A1373" s="76" t="s">
        <v>2871</v>
      </c>
      <c r="B1373" s="77"/>
      <c r="C1373" s="78"/>
      <c r="D1373" s="78"/>
      <c r="E1373" s="78"/>
    </row>
    <row r="1374" spans="1:5">
      <c r="A1374" s="76" t="s">
        <v>2591</v>
      </c>
      <c r="B1374" s="77"/>
      <c r="C1374" s="78"/>
      <c r="D1374" s="78"/>
      <c r="E1374" s="78"/>
    </row>
    <row r="1375" spans="1:5">
      <c r="A1375" s="76"/>
      <c r="B1375" s="77"/>
      <c r="C1375" s="78"/>
      <c r="D1375" s="78"/>
      <c r="E1375" s="78"/>
    </row>
    <row r="1376" spans="1:5">
      <c r="A1376" s="76" t="s">
        <v>2543</v>
      </c>
      <c r="B1376" s="77" t="s">
        <v>135</v>
      </c>
      <c r="C1376" s="78" t="s">
        <v>136</v>
      </c>
      <c r="D1376" s="78" t="s">
        <v>2534</v>
      </c>
      <c r="E1376" s="78" t="s">
        <v>2535</v>
      </c>
    </row>
    <row r="1377" ht="25.5" spans="1:5">
      <c r="A1377" s="76" t="s">
        <v>2847</v>
      </c>
      <c r="B1377" s="77" t="s">
        <v>839</v>
      </c>
      <c r="C1377" s="78">
        <v>0.2075</v>
      </c>
      <c r="D1377" s="78">
        <v>24.02</v>
      </c>
      <c r="E1377" s="78">
        <f>TRUNC(C1377*D1377,2)</f>
        <v>4.98</v>
      </c>
    </row>
    <row r="1378" ht="25.5" spans="1:5">
      <c r="A1378" s="76" t="s">
        <v>2848</v>
      </c>
      <c r="B1378" s="77" t="s">
        <v>839</v>
      </c>
      <c r="C1378" s="78">
        <v>0.7561</v>
      </c>
      <c r="D1378" s="78">
        <v>30.62</v>
      </c>
      <c r="E1378" s="78">
        <f>TRUNC(C1378*D1378,2)</f>
        <v>23.15</v>
      </c>
    </row>
    <row r="1379" ht="38.25" spans="1:5">
      <c r="A1379" s="76" t="s">
        <v>2578</v>
      </c>
      <c r="B1379" s="77" t="s">
        <v>977</v>
      </c>
      <c r="C1379" s="78">
        <v>0.0897</v>
      </c>
      <c r="D1379" s="78">
        <v>276.11</v>
      </c>
      <c r="E1379" s="78">
        <f>TRUNC(C1379*D1379,2)</f>
        <v>24.76</v>
      </c>
    </row>
    <row r="1380" ht="38.25" spans="1:5">
      <c r="A1380" s="76" t="s">
        <v>2579</v>
      </c>
      <c r="B1380" s="77" t="s">
        <v>979</v>
      </c>
      <c r="C1380" s="78">
        <v>0.1793</v>
      </c>
      <c r="D1380" s="78">
        <v>72.89</v>
      </c>
      <c r="E1380" s="78">
        <f>TRUNC(C1380*D1380,2)</f>
        <v>13.06</v>
      </c>
    </row>
    <row r="1381" spans="1:5">
      <c r="A1381" s="76" t="s">
        <v>122</v>
      </c>
      <c r="B1381" s="77"/>
      <c r="C1381" s="78"/>
      <c r="D1381" s="78"/>
      <c r="E1381" s="78">
        <f>SUM(E1377:E1380)</f>
        <v>65.95</v>
      </c>
    </row>
    <row r="1382" spans="1:5">
      <c r="A1382" s="76"/>
      <c r="B1382" s="77"/>
      <c r="C1382" s="78"/>
      <c r="D1382" s="78"/>
      <c r="E1382" s="78"/>
    </row>
    <row r="1383" spans="1:5">
      <c r="A1383" s="76" t="s">
        <v>2538</v>
      </c>
      <c r="B1383" s="77"/>
      <c r="C1383" s="78"/>
      <c r="D1383" s="78"/>
      <c r="E1383" s="78">
        <f>E1381</f>
        <v>65.95</v>
      </c>
    </row>
    <row r="1384" spans="1:5">
      <c r="A1384" s="76" t="s">
        <v>2539</v>
      </c>
      <c r="B1384" s="77"/>
      <c r="C1384" s="78"/>
      <c r="D1384" s="78">
        <v>0</v>
      </c>
      <c r="E1384" s="78">
        <f>TRUNC(D1384*E1383/100,2)</f>
        <v>0</v>
      </c>
    </row>
    <row r="1385" spans="1:5">
      <c r="A1385" s="76" t="s">
        <v>2540</v>
      </c>
      <c r="B1385" s="77"/>
      <c r="C1385" s="78"/>
      <c r="D1385" s="78"/>
      <c r="E1385" s="78">
        <f>E1383+E1384</f>
        <v>65.95</v>
      </c>
    </row>
    <row r="1386" spans="1:5">
      <c r="A1386" s="76"/>
      <c r="B1386" s="77"/>
      <c r="C1386" s="78"/>
      <c r="D1386" s="78"/>
      <c r="E1386" s="78"/>
    </row>
    <row r="1387" spans="1:5">
      <c r="A1387" s="76" t="s">
        <v>2872</v>
      </c>
      <c r="B1387" s="77" t="s">
        <v>884</v>
      </c>
      <c r="C1387" s="78"/>
      <c r="D1387" s="78"/>
      <c r="E1387" s="78"/>
    </row>
    <row r="1388" ht="38.25" spans="1:5">
      <c r="A1388" s="76" t="s">
        <v>2873</v>
      </c>
      <c r="B1388" s="77"/>
      <c r="C1388" s="78"/>
      <c r="D1388" s="78"/>
      <c r="E1388" s="78"/>
    </row>
    <row r="1389" spans="1:5">
      <c r="A1389" s="76" t="s">
        <v>2591</v>
      </c>
      <c r="B1389" s="77"/>
      <c r="C1389" s="78"/>
      <c r="D1389" s="78"/>
      <c r="E1389" s="78"/>
    </row>
    <row r="1390" spans="1:5">
      <c r="A1390" s="76"/>
      <c r="B1390" s="77"/>
      <c r="C1390" s="78"/>
      <c r="D1390" s="78"/>
      <c r="E1390" s="78"/>
    </row>
    <row r="1391" spans="1:5">
      <c r="A1391" s="76" t="s">
        <v>2543</v>
      </c>
      <c r="B1391" s="77" t="s">
        <v>135</v>
      </c>
      <c r="C1391" s="78" t="s">
        <v>136</v>
      </c>
      <c r="D1391" s="78" t="s">
        <v>2534</v>
      </c>
      <c r="E1391" s="78" t="s">
        <v>2535</v>
      </c>
    </row>
    <row r="1392" ht="25.5" spans="1:5">
      <c r="A1392" s="76" t="s">
        <v>2865</v>
      </c>
      <c r="B1392" s="77" t="s">
        <v>494</v>
      </c>
      <c r="C1392" s="78">
        <v>0.0313</v>
      </c>
      <c r="D1392" s="78">
        <v>30.07</v>
      </c>
      <c r="E1392" s="78">
        <f>TRUNC(C1392*D1392,2)</f>
        <v>0.94</v>
      </c>
    </row>
    <row r="1393" spans="1:5">
      <c r="A1393" s="76" t="s">
        <v>2621</v>
      </c>
      <c r="B1393" s="77" t="s">
        <v>839</v>
      </c>
      <c r="C1393" s="78">
        <v>0.226</v>
      </c>
      <c r="D1393" s="78">
        <v>23.75</v>
      </c>
      <c r="E1393" s="78">
        <f>TRUNC(C1393*D1393,2)</f>
        <v>5.36</v>
      </c>
    </row>
    <row r="1394" spans="1:5">
      <c r="A1394" s="76" t="s">
        <v>2840</v>
      </c>
      <c r="B1394" s="77" t="s">
        <v>839</v>
      </c>
      <c r="C1394" s="78">
        <v>0.339</v>
      </c>
      <c r="D1394" s="78">
        <v>25.46</v>
      </c>
      <c r="E1394" s="78">
        <f>TRUNC(C1394*D1394,2)</f>
        <v>8.63</v>
      </c>
    </row>
    <row r="1395" ht="25.5" spans="1:5">
      <c r="A1395" s="76" t="s">
        <v>2643</v>
      </c>
      <c r="B1395" s="77" t="s">
        <v>977</v>
      </c>
      <c r="C1395" s="78">
        <v>0.0199</v>
      </c>
      <c r="D1395" s="78">
        <v>213.48</v>
      </c>
      <c r="E1395" s="78">
        <f>TRUNC(C1395*D1395,2)</f>
        <v>4.24</v>
      </c>
    </row>
    <row r="1396" ht="25.5" spans="1:5">
      <c r="A1396" s="76" t="s">
        <v>2646</v>
      </c>
      <c r="B1396" s="77" t="s">
        <v>979</v>
      </c>
      <c r="C1396" s="78">
        <v>0.048</v>
      </c>
      <c r="D1396" s="78">
        <v>90.12</v>
      </c>
      <c r="E1396" s="78">
        <f>TRUNC(C1396*D1396,2)</f>
        <v>4.32</v>
      </c>
    </row>
    <row r="1397" spans="1:5">
      <c r="A1397" s="76" t="s">
        <v>122</v>
      </c>
      <c r="B1397" s="77"/>
      <c r="C1397" s="78"/>
      <c r="D1397" s="78"/>
      <c r="E1397" s="78">
        <f>SUM(E1392:E1396)</f>
        <v>23.49</v>
      </c>
    </row>
    <row r="1398" spans="1:5">
      <c r="A1398" s="76"/>
      <c r="B1398" s="77"/>
      <c r="C1398" s="78"/>
      <c r="D1398" s="78"/>
      <c r="E1398" s="78"/>
    </row>
    <row r="1399" spans="1:5">
      <c r="A1399" s="76" t="s">
        <v>2538</v>
      </c>
      <c r="B1399" s="77"/>
      <c r="C1399" s="78"/>
      <c r="D1399" s="78"/>
      <c r="E1399" s="78">
        <f>E1397</f>
        <v>23.49</v>
      </c>
    </row>
    <row r="1400" spans="1:5">
      <c r="A1400" s="76" t="s">
        <v>2539</v>
      </c>
      <c r="B1400" s="77"/>
      <c r="C1400" s="78"/>
      <c r="D1400" s="78">
        <v>0</v>
      </c>
      <c r="E1400" s="78">
        <f>TRUNC(D1400*E1399/100,2)</f>
        <v>0</v>
      </c>
    </row>
    <row r="1401" spans="1:5">
      <c r="A1401" s="76" t="s">
        <v>2540</v>
      </c>
      <c r="B1401" s="77"/>
      <c r="C1401" s="78"/>
      <c r="D1401" s="78"/>
      <c r="E1401" s="78">
        <f>E1399+E1400</f>
        <v>23.49</v>
      </c>
    </row>
    <row r="1402" spans="1:5">
      <c r="A1402" s="76"/>
      <c r="B1402" s="77"/>
      <c r="C1402" s="78"/>
      <c r="D1402" s="78"/>
      <c r="E1402" s="78"/>
    </row>
    <row r="1403" spans="1:5">
      <c r="A1403" s="76" t="s">
        <v>2874</v>
      </c>
      <c r="B1403" s="77" t="s">
        <v>885</v>
      </c>
      <c r="C1403" s="78"/>
      <c r="D1403" s="78"/>
      <c r="E1403" s="78"/>
    </row>
    <row r="1404" ht="25.5" spans="1:5">
      <c r="A1404" s="76" t="s">
        <v>2875</v>
      </c>
      <c r="B1404" s="77"/>
      <c r="C1404" s="78"/>
      <c r="D1404" s="78"/>
      <c r="E1404" s="78"/>
    </row>
    <row r="1405" spans="1:5">
      <c r="A1405" s="76" t="s">
        <v>2591</v>
      </c>
      <c r="B1405" s="77"/>
      <c r="C1405" s="78"/>
      <c r="D1405" s="78"/>
      <c r="E1405" s="78"/>
    </row>
    <row r="1406" spans="1:5">
      <c r="A1406" s="76"/>
      <c r="B1406" s="77"/>
      <c r="C1406" s="78"/>
      <c r="D1406" s="78"/>
      <c r="E1406" s="78"/>
    </row>
    <row r="1407" spans="1:5">
      <c r="A1407" s="76" t="s">
        <v>2543</v>
      </c>
      <c r="B1407" s="77" t="s">
        <v>135</v>
      </c>
      <c r="C1407" s="78" t="s">
        <v>136</v>
      </c>
      <c r="D1407" s="78" t="s">
        <v>2534</v>
      </c>
      <c r="E1407" s="78" t="s">
        <v>2535</v>
      </c>
    </row>
    <row r="1408" ht="25.5" spans="1:5">
      <c r="A1408" s="76" t="s">
        <v>2847</v>
      </c>
      <c r="B1408" s="77" t="s">
        <v>839</v>
      </c>
      <c r="C1408" s="78">
        <v>0.3099</v>
      </c>
      <c r="D1408" s="78">
        <v>24.02</v>
      </c>
      <c r="E1408" s="78">
        <f>TRUNC(C1408*D1408,2)</f>
        <v>7.44</v>
      </c>
    </row>
    <row r="1409" ht="25.5" spans="1:5">
      <c r="A1409" s="76" t="s">
        <v>2848</v>
      </c>
      <c r="B1409" s="77" t="s">
        <v>839</v>
      </c>
      <c r="C1409" s="78">
        <v>1.1289</v>
      </c>
      <c r="D1409" s="78">
        <v>30.62</v>
      </c>
      <c r="E1409" s="78">
        <f>TRUNC(C1409*D1409,2)</f>
        <v>34.56</v>
      </c>
    </row>
    <row r="1410" ht="38.25" spans="1:5">
      <c r="A1410" s="76" t="s">
        <v>2578</v>
      </c>
      <c r="B1410" s="77" t="s">
        <v>977</v>
      </c>
      <c r="C1410" s="78">
        <v>0.1318</v>
      </c>
      <c r="D1410" s="78">
        <v>276.11</v>
      </c>
      <c r="E1410" s="78">
        <f>TRUNC(C1410*D1410,2)</f>
        <v>36.39</v>
      </c>
    </row>
    <row r="1411" ht="38.25" spans="1:5">
      <c r="A1411" s="76" t="s">
        <v>2579</v>
      </c>
      <c r="B1411" s="77" t="s">
        <v>979</v>
      </c>
      <c r="C1411" s="78">
        <v>0.2637</v>
      </c>
      <c r="D1411" s="78">
        <v>72.89</v>
      </c>
      <c r="E1411" s="78">
        <f>TRUNC(C1411*D1411,2)</f>
        <v>19.22</v>
      </c>
    </row>
    <row r="1412" spans="1:5">
      <c r="A1412" s="76" t="s">
        <v>122</v>
      </c>
      <c r="B1412" s="77"/>
      <c r="C1412" s="78"/>
      <c r="D1412" s="78"/>
      <c r="E1412" s="78">
        <f>SUM(E1408:E1411)</f>
        <v>97.61</v>
      </c>
    </row>
    <row r="1413" spans="1:5">
      <c r="A1413" s="76"/>
      <c r="B1413" s="77"/>
      <c r="C1413" s="78"/>
      <c r="D1413" s="78"/>
      <c r="E1413" s="78"/>
    </row>
    <row r="1414" spans="1:5">
      <c r="A1414" s="76" t="s">
        <v>2538</v>
      </c>
      <c r="B1414" s="77"/>
      <c r="C1414" s="78"/>
      <c r="D1414" s="78"/>
      <c r="E1414" s="78">
        <f>E1412</f>
        <v>97.61</v>
      </c>
    </row>
    <row r="1415" spans="1:5">
      <c r="A1415" s="76" t="s">
        <v>2539</v>
      </c>
      <c r="B1415" s="77"/>
      <c r="C1415" s="78"/>
      <c r="D1415" s="78">
        <v>0</v>
      </c>
      <c r="E1415" s="78">
        <f>TRUNC(D1415*E1414/100,2)</f>
        <v>0</v>
      </c>
    </row>
    <row r="1416" spans="1:5">
      <c r="A1416" s="76" t="s">
        <v>2540</v>
      </c>
      <c r="B1416" s="77"/>
      <c r="C1416" s="78"/>
      <c r="D1416" s="78"/>
      <c r="E1416" s="78">
        <f>E1414+E1415</f>
        <v>97.61</v>
      </c>
    </row>
    <row r="1417" spans="1:5">
      <c r="A1417" s="76"/>
      <c r="B1417" s="77"/>
      <c r="C1417" s="78"/>
      <c r="D1417" s="78"/>
      <c r="E1417" s="78"/>
    </row>
    <row r="1418" spans="1:5">
      <c r="A1418" s="76" t="s">
        <v>2876</v>
      </c>
      <c r="B1418" s="77">
        <v>8004508283066</v>
      </c>
      <c r="C1418" s="78"/>
      <c r="D1418" s="78"/>
      <c r="E1418" s="78"/>
    </row>
    <row r="1419" ht="38.25" spans="1:5">
      <c r="A1419" s="76" t="s">
        <v>2877</v>
      </c>
      <c r="B1419" s="77"/>
      <c r="C1419" s="78"/>
      <c r="D1419" s="78"/>
      <c r="E1419" s="78"/>
    </row>
    <row r="1420" spans="1:5">
      <c r="A1420" s="76" t="s">
        <v>2591</v>
      </c>
      <c r="B1420" s="77"/>
      <c r="C1420" s="78"/>
      <c r="D1420" s="78"/>
      <c r="E1420" s="78"/>
    </row>
    <row r="1421" spans="1:5">
      <c r="A1421" s="76"/>
      <c r="B1421" s="77"/>
      <c r="C1421" s="78"/>
      <c r="D1421" s="78"/>
      <c r="E1421" s="78"/>
    </row>
    <row r="1422" spans="1:5">
      <c r="A1422" s="76" t="s">
        <v>2543</v>
      </c>
      <c r="B1422" s="77" t="s">
        <v>135</v>
      </c>
      <c r="C1422" s="78" t="s">
        <v>136</v>
      </c>
      <c r="D1422" s="78" t="s">
        <v>2534</v>
      </c>
      <c r="E1422" s="78" t="s">
        <v>2535</v>
      </c>
    </row>
    <row r="1423" spans="1:5">
      <c r="A1423" s="76" t="s">
        <v>2621</v>
      </c>
      <c r="B1423" s="77" t="s">
        <v>839</v>
      </c>
      <c r="C1423" s="78">
        <v>0.091</v>
      </c>
      <c r="D1423" s="78">
        <v>23.75</v>
      </c>
      <c r="E1423" s="78">
        <f>TRUNC(C1423*D1423,2)</f>
        <v>2.16</v>
      </c>
    </row>
    <row r="1424" spans="1:5">
      <c r="A1424" s="76" t="s">
        <v>2840</v>
      </c>
      <c r="B1424" s="77" t="s">
        <v>839</v>
      </c>
      <c r="C1424" s="78">
        <v>0.0455</v>
      </c>
      <c r="D1424" s="78">
        <v>25.46</v>
      </c>
      <c r="E1424" s="78">
        <f>TRUNC(C1424*D1424,2)</f>
        <v>1.15</v>
      </c>
    </row>
    <row r="1425" ht="38.25" spans="1:5">
      <c r="A1425" s="76" t="s">
        <v>2578</v>
      </c>
      <c r="B1425" s="77" t="s">
        <v>977</v>
      </c>
      <c r="C1425" s="78">
        <v>0.0399</v>
      </c>
      <c r="D1425" s="78">
        <v>276.11</v>
      </c>
      <c r="E1425" s="78">
        <f>TRUNC(C1425*D1425,2)</f>
        <v>11.01</v>
      </c>
    </row>
    <row r="1426" ht="38.25" spans="1:5">
      <c r="A1426" s="76" t="s">
        <v>2579</v>
      </c>
      <c r="B1426" s="77" t="s">
        <v>979</v>
      </c>
      <c r="C1426" s="78">
        <v>0.1143</v>
      </c>
      <c r="D1426" s="78">
        <v>72.89</v>
      </c>
      <c r="E1426" s="78">
        <f>TRUNC(C1426*D1426,2)</f>
        <v>8.33</v>
      </c>
    </row>
    <row r="1427" spans="1:5">
      <c r="A1427" s="76" t="s">
        <v>122</v>
      </c>
      <c r="B1427" s="77"/>
      <c r="C1427" s="78"/>
      <c r="D1427" s="78"/>
      <c r="E1427" s="78">
        <f>SUM(E1423:E1426)</f>
        <v>22.65</v>
      </c>
    </row>
    <row r="1428" spans="1:5">
      <c r="A1428" s="76"/>
      <c r="B1428" s="77"/>
      <c r="C1428" s="78"/>
      <c r="D1428" s="78"/>
      <c r="E1428" s="78"/>
    </row>
    <row r="1429" spans="1:5">
      <c r="A1429" s="76" t="s">
        <v>2538</v>
      </c>
      <c r="B1429" s="77"/>
      <c r="C1429" s="78"/>
      <c r="D1429" s="78"/>
      <c r="E1429" s="78">
        <f>E1427</f>
        <v>22.65</v>
      </c>
    </row>
    <row r="1430" spans="1:5">
      <c r="A1430" s="76" t="s">
        <v>2539</v>
      </c>
      <c r="B1430" s="77"/>
      <c r="C1430" s="78"/>
      <c r="D1430" s="78">
        <v>0</v>
      </c>
      <c r="E1430" s="78">
        <f>TRUNC(D1430*E1429/100,2)</f>
        <v>0</v>
      </c>
    </row>
    <row r="1431" spans="1:5">
      <c r="A1431" s="76" t="s">
        <v>2540</v>
      </c>
      <c r="B1431" s="77"/>
      <c r="C1431" s="78"/>
      <c r="D1431" s="78"/>
      <c r="E1431" s="78">
        <f>E1429+E1430</f>
        <v>22.65</v>
      </c>
    </row>
    <row r="1432" spans="1:5">
      <c r="A1432" s="76"/>
      <c r="B1432" s="77"/>
      <c r="C1432" s="78"/>
      <c r="D1432" s="78"/>
      <c r="E1432" s="78"/>
    </row>
    <row r="1433" spans="1:5">
      <c r="A1433" s="76" t="s">
        <v>2878</v>
      </c>
      <c r="B1433" s="77">
        <v>8004508283005</v>
      </c>
      <c r="C1433" s="78"/>
      <c r="D1433" s="78"/>
      <c r="E1433" s="78"/>
    </row>
    <row r="1434" ht="38.25" spans="1:5">
      <c r="A1434" s="76" t="s">
        <v>2879</v>
      </c>
      <c r="B1434" s="77"/>
      <c r="C1434" s="78"/>
      <c r="D1434" s="78"/>
      <c r="E1434" s="78"/>
    </row>
    <row r="1435" spans="1:5">
      <c r="A1435" s="76" t="s">
        <v>2591</v>
      </c>
      <c r="B1435" s="77"/>
      <c r="C1435" s="78"/>
      <c r="D1435" s="78"/>
      <c r="E1435" s="78"/>
    </row>
    <row r="1436" spans="1:5">
      <c r="A1436" s="76"/>
      <c r="B1436" s="77"/>
      <c r="C1436" s="78"/>
      <c r="D1436" s="78"/>
      <c r="E1436" s="78"/>
    </row>
    <row r="1437" spans="1:5">
      <c r="A1437" s="76" t="s">
        <v>2543</v>
      </c>
      <c r="B1437" s="77" t="s">
        <v>135</v>
      </c>
      <c r="C1437" s="78" t="s">
        <v>136</v>
      </c>
      <c r="D1437" s="78" t="s">
        <v>2534</v>
      </c>
      <c r="E1437" s="78" t="s">
        <v>2535</v>
      </c>
    </row>
    <row r="1438" spans="1:5">
      <c r="A1438" s="76" t="s">
        <v>2621</v>
      </c>
      <c r="B1438" s="77" t="s">
        <v>839</v>
      </c>
      <c r="C1438" s="78">
        <v>0.0213</v>
      </c>
      <c r="D1438" s="78">
        <v>23.75</v>
      </c>
      <c r="E1438" s="78">
        <f>TRUNC(C1438*D1438,2)</f>
        <v>0.5</v>
      </c>
    </row>
    <row r="1439" spans="1:5">
      <c r="A1439" s="76" t="s">
        <v>2840</v>
      </c>
      <c r="B1439" s="77" t="s">
        <v>839</v>
      </c>
      <c r="C1439" s="78">
        <v>0.0106</v>
      </c>
      <c r="D1439" s="78">
        <v>25.46</v>
      </c>
      <c r="E1439" s="78">
        <f>TRUNC(C1439*D1439,2)</f>
        <v>0.26</v>
      </c>
    </row>
    <row r="1440" spans="1:5">
      <c r="A1440" s="76" t="s">
        <v>122</v>
      </c>
      <c r="B1440" s="77"/>
      <c r="C1440" s="78"/>
      <c r="D1440" s="78"/>
      <c r="E1440" s="78">
        <f>SUM(E1438:E1439)</f>
        <v>0.76</v>
      </c>
    </row>
    <row r="1441" spans="1:5">
      <c r="A1441" s="76"/>
      <c r="B1441" s="77"/>
      <c r="C1441" s="78"/>
      <c r="D1441" s="78"/>
      <c r="E1441" s="78"/>
    </row>
    <row r="1442" spans="1:5">
      <c r="A1442" s="76" t="s">
        <v>2538</v>
      </c>
      <c r="B1442" s="77"/>
      <c r="C1442" s="78"/>
      <c r="D1442" s="78"/>
      <c r="E1442" s="78">
        <f>E1440</f>
        <v>0.76</v>
      </c>
    </row>
    <row r="1443" spans="1:5">
      <c r="A1443" s="76" t="s">
        <v>2539</v>
      </c>
      <c r="B1443" s="77"/>
      <c r="C1443" s="78"/>
      <c r="D1443" s="78">
        <v>0</v>
      </c>
      <c r="E1443" s="78">
        <f>TRUNC(D1443*E1442/100,2)</f>
        <v>0</v>
      </c>
    </row>
    <row r="1444" spans="1:5">
      <c r="A1444" s="76" t="s">
        <v>2540</v>
      </c>
      <c r="B1444" s="77"/>
      <c r="C1444" s="78"/>
      <c r="D1444" s="78"/>
      <c r="E1444" s="78">
        <f>E1442+E1443</f>
        <v>0.76</v>
      </c>
    </row>
    <row r="1445" spans="1:5">
      <c r="A1445" s="76"/>
      <c r="B1445" s="77"/>
      <c r="C1445" s="78"/>
      <c r="D1445" s="78"/>
      <c r="E1445" s="78"/>
    </row>
    <row r="1446" spans="1:5">
      <c r="A1446" s="76" t="s">
        <v>2880</v>
      </c>
      <c r="B1446" s="77">
        <v>8004508130031</v>
      </c>
      <c r="C1446" s="78"/>
      <c r="D1446" s="78"/>
      <c r="E1446" s="78"/>
    </row>
    <row r="1447" ht="38.25" spans="1:5">
      <c r="A1447" s="76" t="s">
        <v>2881</v>
      </c>
      <c r="B1447" s="77"/>
      <c r="C1447" s="78"/>
      <c r="D1447" s="78"/>
      <c r="E1447" s="78"/>
    </row>
    <row r="1448" spans="1:5">
      <c r="A1448" s="76" t="s">
        <v>2552</v>
      </c>
      <c r="B1448" s="77"/>
      <c r="C1448" s="78"/>
      <c r="D1448" s="78"/>
      <c r="E1448" s="78"/>
    </row>
    <row r="1449" spans="1:5">
      <c r="A1449" s="76"/>
      <c r="B1449" s="77"/>
      <c r="C1449" s="78"/>
      <c r="D1449" s="78"/>
      <c r="E1449" s="78"/>
    </row>
    <row r="1450" spans="1:5">
      <c r="A1450" s="76" t="s">
        <v>2543</v>
      </c>
      <c r="B1450" s="77" t="s">
        <v>135</v>
      </c>
      <c r="C1450" s="78" t="s">
        <v>136</v>
      </c>
      <c r="D1450" s="78" t="s">
        <v>2534</v>
      </c>
      <c r="E1450" s="78" t="s">
        <v>2535</v>
      </c>
    </row>
    <row r="1451" spans="1:5">
      <c r="A1451" s="76" t="s">
        <v>2621</v>
      </c>
      <c r="B1451" s="77" t="s">
        <v>839</v>
      </c>
      <c r="C1451" s="78">
        <v>3.956</v>
      </c>
      <c r="D1451" s="78">
        <v>23.75</v>
      </c>
      <c r="E1451" s="78">
        <f>TRUNC(C1451*D1451,2)</f>
        <v>93.95</v>
      </c>
    </row>
    <row r="1452" ht="25.5" spans="1:5">
      <c r="A1452" s="76" t="s">
        <v>2882</v>
      </c>
      <c r="B1452" s="77" t="s">
        <v>977</v>
      </c>
      <c r="C1452" s="78">
        <v>0.3602</v>
      </c>
      <c r="D1452" s="78">
        <v>76.55</v>
      </c>
      <c r="E1452" s="78">
        <f>TRUNC(C1452*D1452,2)</f>
        <v>27.57</v>
      </c>
    </row>
    <row r="1453" ht="25.5" spans="1:5">
      <c r="A1453" s="76" t="s">
        <v>2883</v>
      </c>
      <c r="B1453" s="77" t="s">
        <v>979</v>
      </c>
      <c r="C1453" s="78">
        <v>4.1399</v>
      </c>
      <c r="D1453" s="78">
        <v>6.07</v>
      </c>
      <c r="E1453" s="78">
        <f>TRUNC(C1453*D1453,2)</f>
        <v>25.12</v>
      </c>
    </row>
    <row r="1454" ht="38.25" spans="1:5">
      <c r="A1454" s="76" t="s">
        <v>2884</v>
      </c>
      <c r="B1454" s="77" t="s">
        <v>979</v>
      </c>
      <c r="C1454" s="78">
        <v>4.1399</v>
      </c>
      <c r="D1454" s="78">
        <v>1.66</v>
      </c>
      <c r="E1454" s="78">
        <f>TRUNC(C1454*D1454,2)</f>
        <v>6.87</v>
      </c>
    </row>
    <row r="1455" ht="38.25" spans="1:5">
      <c r="A1455" s="76" t="s">
        <v>2885</v>
      </c>
      <c r="B1455" s="77" t="s">
        <v>977</v>
      </c>
      <c r="C1455" s="78">
        <v>0.3602</v>
      </c>
      <c r="D1455" s="78">
        <v>3.36</v>
      </c>
      <c r="E1455" s="78">
        <f>TRUNC(C1455*D1455,2)</f>
        <v>1.21</v>
      </c>
    </row>
    <row r="1456" spans="1:5">
      <c r="A1456" s="76" t="s">
        <v>122</v>
      </c>
      <c r="B1456" s="77"/>
      <c r="C1456" s="78"/>
      <c r="D1456" s="78"/>
      <c r="E1456" s="78">
        <f>SUM(E1451:E1455)</f>
        <v>154.72</v>
      </c>
    </row>
    <row r="1457" spans="1:5">
      <c r="A1457" s="76"/>
      <c r="B1457" s="77"/>
      <c r="C1457" s="78"/>
      <c r="D1457" s="78"/>
      <c r="E1457" s="78"/>
    </row>
    <row r="1458" spans="1:5">
      <c r="A1458" s="76" t="s">
        <v>2538</v>
      </c>
      <c r="B1458" s="77"/>
      <c r="C1458" s="78"/>
      <c r="D1458" s="78"/>
      <c r="E1458" s="78">
        <f>E1456</f>
        <v>154.72</v>
      </c>
    </row>
    <row r="1459" spans="1:5">
      <c r="A1459" s="76" t="s">
        <v>2539</v>
      </c>
      <c r="B1459" s="77"/>
      <c r="C1459" s="78"/>
      <c r="D1459" s="78">
        <v>0</v>
      </c>
      <c r="E1459" s="78">
        <f>TRUNC(D1459*E1458/100,2)</f>
        <v>0</v>
      </c>
    </row>
    <row r="1460" spans="1:5">
      <c r="A1460" s="76" t="s">
        <v>2540</v>
      </c>
      <c r="B1460" s="77"/>
      <c r="C1460" s="78"/>
      <c r="D1460" s="78"/>
      <c r="E1460" s="78">
        <f>E1458+E1459</f>
        <v>154.72</v>
      </c>
    </row>
    <row r="1461" spans="1:5">
      <c r="A1461" s="76"/>
      <c r="B1461" s="77"/>
      <c r="C1461" s="78"/>
      <c r="D1461" s="78"/>
      <c r="E1461" s="78"/>
    </row>
    <row r="1462" spans="1:5">
      <c r="A1462" s="76" t="s">
        <v>2886</v>
      </c>
      <c r="B1462" s="77">
        <v>8004508130018</v>
      </c>
      <c r="C1462" s="78"/>
      <c r="D1462" s="78"/>
      <c r="E1462" s="78"/>
    </row>
    <row r="1463" ht="38.25" spans="1:5">
      <c r="A1463" s="76" t="s">
        <v>2887</v>
      </c>
      <c r="B1463" s="77"/>
      <c r="C1463" s="78"/>
      <c r="D1463" s="78"/>
      <c r="E1463" s="78"/>
    </row>
    <row r="1464" spans="1:5">
      <c r="A1464" s="76" t="s">
        <v>2552</v>
      </c>
      <c r="B1464" s="77"/>
      <c r="C1464" s="78"/>
      <c r="D1464" s="78"/>
      <c r="E1464" s="78"/>
    </row>
    <row r="1465" spans="1:5">
      <c r="A1465" s="76"/>
      <c r="B1465" s="77"/>
      <c r="C1465" s="78"/>
      <c r="D1465" s="78"/>
      <c r="E1465" s="78"/>
    </row>
    <row r="1466" spans="1:5">
      <c r="A1466" s="76" t="s">
        <v>2543</v>
      </c>
      <c r="B1466" s="77" t="s">
        <v>135</v>
      </c>
      <c r="C1466" s="78" t="s">
        <v>136</v>
      </c>
      <c r="D1466" s="78" t="s">
        <v>2534</v>
      </c>
      <c r="E1466" s="78" t="s">
        <v>2535</v>
      </c>
    </row>
    <row r="1467" spans="1:5">
      <c r="A1467" s="76" t="s">
        <v>2621</v>
      </c>
      <c r="B1467" s="77" t="s">
        <v>839</v>
      </c>
      <c r="C1467" s="78">
        <v>0.2118</v>
      </c>
      <c r="D1467" s="78">
        <v>23.75</v>
      </c>
      <c r="E1467" s="78">
        <f>TRUNC(C1467*D1467,2)</f>
        <v>5.03</v>
      </c>
    </row>
    <row r="1468" ht="25.5" spans="1:5">
      <c r="A1468" s="76" t="s">
        <v>2882</v>
      </c>
      <c r="B1468" s="77" t="s">
        <v>977</v>
      </c>
      <c r="C1468" s="78">
        <v>0.0315</v>
      </c>
      <c r="D1468" s="78">
        <v>76.55</v>
      </c>
      <c r="E1468" s="78">
        <f>TRUNC(C1468*D1468,2)</f>
        <v>2.41</v>
      </c>
    </row>
    <row r="1469" ht="25.5" spans="1:5">
      <c r="A1469" s="76" t="s">
        <v>2883</v>
      </c>
      <c r="B1469" s="77" t="s">
        <v>979</v>
      </c>
      <c r="C1469" s="78">
        <v>0.7371</v>
      </c>
      <c r="D1469" s="78">
        <v>6.07</v>
      </c>
      <c r="E1469" s="78">
        <f>TRUNC(C1469*D1469,2)</f>
        <v>4.47</v>
      </c>
    </row>
    <row r="1470" ht="38.25" spans="1:5">
      <c r="A1470" s="76" t="s">
        <v>2884</v>
      </c>
      <c r="B1470" s="77" t="s">
        <v>979</v>
      </c>
      <c r="C1470" s="78">
        <v>0.7371</v>
      </c>
      <c r="D1470" s="78">
        <v>1.66</v>
      </c>
      <c r="E1470" s="78">
        <f>TRUNC(C1470*D1470,2)</f>
        <v>1.22</v>
      </c>
    </row>
    <row r="1471" ht="38.25" spans="1:5">
      <c r="A1471" s="76" t="s">
        <v>2885</v>
      </c>
      <c r="B1471" s="77" t="s">
        <v>977</v>
      </c>
      <c r="C1471" s="78">
        <v>0.0315</v>
      </c>
      <c r="D1471" s="78">
        <v>3.36</v>
      </c>
      <c r="E1471" s="78">
        <f>TRUNC(C1471*D1471,2)</f>
        <v>0.1</v>
      </c>
    </row>
    <row r="1472" spans="1:5">
      <c r="A1472" s="76" t="s">
        <v>122</v>
      </c>
      <c r="B1472" s="77"/>
      <c r="C1472" s="78"/>
      <c r="D1472" s="78"/>
      <c r="E1472" s="78">
        <f>SUM(E1467:E1471)</f>
        <v>13.23</v>
      </c>
    </row>
    <row r="1473" spans="1:5">
      <c r="A1473" s="76"/>
      <c r="B1473" s="77"/>
      <c r="C1473" s="78"/>
      <c r="D1473" s="78"/>
      <c r="E1473" s="78"/>
    </row>
    <row r="1474" spans="1:5">
      <c r="A1474" s="76" t="s">
        <v>2538</v>
      </c>
      <c r="B1474" s="77"/>
      <c r="C1474" s="78"/>
      <c r="D1474" s="78"/>
      <c r="E1474" s="78">
        <f>E1472</f>
        <v>13.23</v>
      </c>
    </row>
    <row r="1475" spans="1:5">
      <c r="A1475" s="76" t="s">
        <v>2539</v>
      </c>
      <c r="B1475" s="77"/>
      <c r="C1475" s="78"/>
      <c r="D1475" s="78">
        <v>0</v>
      </c>
      <c r="E1475" s="78">
        <f>TRUNC(D1475*E1474/100,2)</f>
        <v>0</v>
      </c>
    </row>
    <row r="1476" spans="1:5">
      <c r="A1476" s="76" t="s">
        <v>2540</v>
      </c>
      <c r="B1476" s="77"/>
      <c r="C1476" s="78"/>
      <c r="D1476" s="78"/>
      <c r="E1476" s="78">
        <f>E1474+E1475</f>
        <v>13.23</v>
      </c>
    </row>
    <row r="1477" spans="1:5">
      <c r="A1477" s="76"/>
      <c r="B1477" s="77"/>
      <c r="C1477" s="78"/>
      <c r="D1477" s="78"/>
      <c r="E1477" s="78"/>
    </row>
    <row r="1478" spans="1:5">
      <c r="A1478" s="76" t="s">
        <v>2888</v>
      </c>
      <c r="B1478" s="77">
        <v>8004508135033</v>
      </c>
      <c r="C1478" s="78"/>
      <c r="D1478" s="78"/>
      <c r="E1478" s="78"/>
    </row>
    <row r="1479" ht="38.25" spans="1:5">
      <c r="A1479" s="76" t="s">
        <v>2889</v>
      </c>
      <c r="B1479" s="77"/>
      <c r="C1479" s="78"/>
      <c r="D1479" s="78"/>
      <c r="E1479" s="78"/>
    </row>
    <row r="1480" spans="1:5">
      <c r="A1480" s="76" t="s">
        <v>2552</v>
      </c>
      <c r="B1480" s="77"/>
      <c r="C1480" s="78"/>
      <c r="D1480" s="78"/>
      <c r="E1480" s="78"/>
    </row>
    <row r="1481" spans="1:5">
      <c r="A1481" s="76"/>
      <c r="B1481" s="77"/>
      <c r="C1481" s="78"/>
      <c r="D1481" s="78"/>
      <c r="E1481" s="78"/>
    </row>
    <row r="1482" spans="1:5">
      <c r="A1482" s="76" t="s">
        <v>2543</v>
      </c>
      <c r="B1482" s="77" t="s">
        <v>135</v>
      </c>
      <c r="C1482" s="78" t="s">
        <v>136</v>
      </c>
      <c r="D1482" s="78" t="s">
        <v>2534</v>
      </c>
      <c r="E1482" s="78" t="s">
        <v>2535</v>
      </c>
    </row>
    <row r="1483" spans="1:5">
      <c r="A1483" s="76" t="s">
        <v>2621</v>
      </c>
      <c r="B1483" s="77" t="s">
        <v>839</v>
      </c>
      <c r="C1483" s="78">
        <v>1.4306</v>
      </c>
      <c r="D1483" s="78">
        <v>23.75</v>
      </c>
      <c r="E1483" s="78">
        <f>TRUNC(C1483*D1483,2)</f>
        <v>33.97</v>
      </c>
    </row>
    <row r="1484" ht="25.5" spans="1:5">
      <c r="A1484" s="76" t="s">
        <v>2882</v>
      </c>
      <c r="B1484" s="77" t="s">
        <v>977</v>
      </c>
      <c r="C1484" s="78">
        <v>0.4181</v>
      </c>
      <c r="D1484" s="78">
        <v>76.55</v>
      </c>
      <c r="E1484" s="78">
        <f>TRUNC(C1484*D1484,2)</f>
        <v>32</v>
      </c>
    </row>
    <row r="1485" ht="25.5" spans="1:5">
      <c r="A1485" s="76" t="s">
        <v>2883</v>
      </c>
      <c r="B1485" s="77" t="s">
        <v>979</v>
      </c>
      <c r="C1485" s="78">
        <v>0.6952</v>
      </c>
      <c r="D1485" s="78">
        <v>6.07</v>
      </c>
      <c r="E1485" s="78">
        <f>TRUNC(C1485*D1485,2)</f>
        <v>4.21</v>
      </c>
    </row>
    <row r="1486" ht="25.5" spans="1:5">
      <c r="A1486" s="76" t="s">
        <v>2890</v>
      </c>
      <c r="B1486" s="77" t="s">
        <v>977</v>
      </c>
      <c r="C1486" s="78">
        <v>0.4181</v>
      </c>
      <c r="D1486" s="78">
        <v>11.14</v>
      </c>
      <c r="E1486" s="78">
        <f>TRUNC(C1486*D1486,2)</f>
        <v>4.65</v>
      </c>
    </row>
    <row r="1487" ht="25.5" spans="1:5">
      <c r="A1487" s="76" t="s">
        <v>2891</v>
      </c>
      <c r="B1487" s="77" t="s">
        <v>979</v>
      </c>
      <c r="C1487" s="78">
        <v>0.6952</v>
      </c>
      <c r="D1487" s="78">
        <v>5.69</v>
      </c>
      <c r="E1487" s="78">
        <f>TRUNC(C1487*D1487,2)</f>
        <v>3.95</v>
      </c>
    </row>
    <row r="1488" spans="1:5">
      <c r="A1488" s="76" t="s">
        <v>122</v>
      </c>
      <c r="B1488" s="77"/>
      <c r="C1488" s="78"/>
      <c r="D1488" s="78"/>
      <c r="E1488" s="78">
        <f>SUM(E1483:E1487)</f>
        <v>78.78</v>
      </c>
    </row>
    <row r="1489" spans="1:5">
      <c r="A1489" s="76"/>
      <c r="B1489" s="77"/>
      <c r="C1489" s="78"/>
      <c r="D1489" s="78"/>
      <c r="E1489" s="78"/>
    </row>
    <row r="1490" spans="1:5">
      <c r="A1490" s="76" t="s">
        <v>2538</v>
      </c>
      <c r="B1490" s="77"/>
      <c r="C1490" s="78"/>
      <c r="D1490" s="78"/>
      <c r="E1490" s="78">
        <f>E1488</f>
        <v>78.78</v>
      </c>
    </row>
    <row r="1491" spans="1:5">
      <c r="A1491" s="76" t="s">
        <v>2539</v>
      </c>
      <c r="B1491" s="77"/>
      <c r="C1491" s="78"/>
      <c r="D1491" s="78">
        <v>0</v>
      </c>
      <c r="E1491" s="78">
        <f>TRUNC(D1491*E1490/100,2)</f>
        <v>0</v>
      </c>
    </row>
    <row r="1492" spans="1:5">
      <c r="A1492" s="76" t="s">
        <v>2540</v>
      </c>
      <c r="B1492" s="77"/>
      <c r="C1492" s="78"/>
      <c r="D1492" s="78"/>
      <c r="E1492" s="78">
        <f>E1490+E1491</f>
        <v>78.78</v>
      </c>
    </row>
    <row r="1493" spans="1:5">
      <c r="A1493" s="76"/>
      <c r="B1493" s="77"/>
      <c r="C1493" s="78"/>
      <c r="D1493" s="78"/>
      <c r="E1493" s="78"/>
    </row>
    <row r="1494" spans="1:5">
      <c r="A1494" s="76" t="s">
        <v>2892</v>
      </c>
      <c r="B1494" s="77">
        <v>8004508135038</v>
      </c>
      <c r="C1494" s="78"/>
      <c r="D1494" s="78"/>
      <c r="E1494" s="78"/>
    </row>
    <row r="1495" ht="38.25" spans="1:5">
      <c r="A1495" s="76" t="s">
        <v>2893</v>
      </c>
      <c r="B1495" s="77"/>
      <c r="C1495" s="78"/>
      <c r="D1495" s="78"/>
      <c r="E1495" s="78"/>
    </row>
    <row r="1496" spans="1:5">
      <c r="A1496" s="76" t="s">
        <v>2552</v>
      </c>
      <c r="B1496" s="77"/>
      <c r="C1496" s="78"/>
      <c r="D1496" s="78"/>
      <c r="E1496" s="78"/>
    </row>
    <row r="1497" spans="1:5">
      <c r="A1497" s="76"/>
      <c r="B1497" s="77"/>
      <c r="C1497" s="78"/>
      <c r="D1497" s="78"/>
      <c r="E1497" s="78"/>
    </row>
    <row r="1498" spans="1:5">
      <c r="A1498" s="76" t="s">
        <v>2543</v>
      </c>
      <c r="B1498" s="77" t="s">
        <v>135</v>
      </c>
      <c r="C1498" s="78" t="s">
        <v>136</v>
      </c>
      <c r="D1498" s="78" t="s">
        <v>2534</v>
      </c>
      <c r="E1498" s="78" t="s">
        <v>2535</v>
      </c>
    </row>
    <row r="1499" spans="1:5">
      <c r="A1499" s="76" t="s">
        <v>2621</v>
      </c>
      <c r="B1499" s="77" t="s">
        <v>839</v>
      </c>
      <c r="C1499" s="78">
        <v>6.6602</v>
      </c>
      <c r="D1499" s="78">
        <v>23.75</v>
      </c>
      <c r="E1499" s="78">
        <f t="shared" ref="E1499:E1505" si="25">TRUNC(C1499*D1499,2)</f>
        <v>158.17</v>
      </c>
    </row>
    <row r="1500" ht="38.25" spans="1:5">
      <c r="A1500" s="76" t="s">
        <v>2578</v>
      </c>
      <c r="B1500" s="77" t="s">
        <v>977</v>
      </c>
      <c r="C1500" s="78">
        <v>0.6417</v>
      </c>
      <c r="D1500" s="78">
        <v>276.11</v>
      </c>
      <c r="E1500" s="78">
        <f t="shared" si="25"/>
        <v>177.17</v>
      </c>
    </row>
    <row r="1501" ht="25.5" spans="1:5">
      <c r="A1501" s="76" t="s">
        <v>2882</v>
      </c>
      <c r="B1501" s="77" t="s">
        <v>977</v>
      </c>
      <c r="C1501" s="78">
        <v>0.9732</v>
      </c>
      <c r="D1501" s="78">
        <v>76.55</v>
      </c>
      <c r="E1501" s="78">
        <f t="shared" si="25"/>
        <v>74.49</v>
      </c>
    </row>
    <row r="1502" ht="38.25" spans="1:5">
      <c r="A1502" s="76" t="s">
        <v>2579</v>
      </c>
      <c r="B1502" s="77" t="s">
        <v>979</v>
      </c>
      <c r="C1502" s="78">
        <v>1.6685</v>
      </c>
      <c r="D1502" s="78">
        <v>72.89</v>
      </c>
      <c r="E1502" s="78">
        <f t="shared" si="25"/>
        <v>121.61</v>
      </c>
    </row>
    <row r="1503" ht="25.5" spans="1:5">
      <c r="A1503" s="76" t="s">
        <v>2883</v>
      </c>
      <c r="B1503" s="77" t="s">
        <v>979</v>
      </c>
      <c r="C1503" s="78">
        <v>1.6184</v>
      </c>
      <c r="D1503" s="78">
        <v>6.07</v>
      </c>
      <c r="E1503" s="78">
        <f t="shared" si="25"/>
        <v>9.82</v>
      </c>
    </row>
    <row r="1504" ht="25.5" spans="1:5">
      <c r="A1504" s="76" t="s">
        <v>2894</v>
      </c>
      <c r="B1504" s="77" t="s">
        <v>977</v>
      </c>
      <c r="C1504" s="78">
        <v>0.9732</v>
      </c>
      <c r="D1504" s="78">
        <v>23.22</v>
      </c>
      <c r="E1504" s="78">
        <f t="shared" si="25"/>
        <v>22.59</v>
      </c>
    </row>
    <row r="1505" ht="25.5" spans="1:5">
      <c r="A1505" s="76" t="s">
        <v>2895</v>
      </c>
      <c r="B1505" s="77" t="s">
        <v>979</v>
      </c>
      <c r="C1505" s="78">
        <v>1.6184</v>
      </c>
      <c r="D1505" s="78">
        <v>11.87</v>
      </c>
      <c r="E1505" s="78">
        <f t="shared" si="25"/>
        <v>19.21</v>
      </c>
    </row>
    <row r="1506" spans="1:5">
      <c r="A1506" s="76" t="s">
        <v>122</v>
      </c>
      <c r="B1506" s="77"/>
      <c r="C1506" s="78"/>
      <c r="D1506" s="78"/>
      <c r="E1506" s="78">
        <f>SUM(E1499:E1505)</f>
        <v>583.06</v>
      </c>
    </row>
    <row r="1507" spans="1:5">
      <c r="A1507" s="76"/>
      <c r="B1507" s="77"/>
      <c r="C1507" s="78"/>
      <c r="D1507" s="78"/>
      <c r="E1507" s="78"/>
    </row>
    <row r="1508" spans="1:5">
      <c r="A1508" s="76" t="s">
        <v>2538</v>
      </c>
      <c r="B1508" s="77"/>
      <c r="C1508" s="78"/>
      <c r="D1508" s="78"/>
      <c r="E1508" s="78">
        <f>E1506</f>
        <v>583.06</v>
      </c>
    </row>
    <row r="1509" spans="1:5">
      <c r="A1509" s="76" t="s">
        <v>2539</v>
      </c>
      <c r="B1509" s="77"/>
      <c r="C1509" s="78"/>
      <c r="D1509" s="78">
        <v>0</v>
      </c>
      <c r="E1509" s="78">
        <f>TRUNC(D1509*E1508/100,2)</f>
        <v>0</v>
      </c>
    </row>
    <row r="1510" spans="1:5">
      <c r="A1510" s="76" t="s">
        <v>2540</v>
      </c>
      <c r="B1510" s="77"/>
      <c r="C1510" s="78"/>
      <c r="D1510" s="78"/>
      <c r="E1510" s="78">
        <f>E1508+E1509</f>
        <v>583.06</v>
      </c>
    </row>
    <row r="1511" spans="1:5">
      <c r="A1511" s="76"/>
      <c r="B1511" s="77"/>
      <c r="C1511" s="78"/>
      <c r="D1511" s="78"/>
      <c r="E1511" s="78"/>
    </row>
    <row r="1512" spans="1:5">
      <c r="A1512" s="76" t="s">
        <v>2896</v>
      </c>
      <c r="B1512" s="77" t="s">
        <v>890</v>
      </c>
      <c r="C1512" s="78"/>
      <c r="D1512" s="78"/>
      <c r="E1512" s="78"/>
    </row>
    <row r="1513" ht="38.25" spans="1:5">
      <c r="A1513" s="76" t="s">
        <v>2897</v>
      </c>
      <c r="B1513" s="77"/>
      <c r="C1513" s="78"/>
      <c r="D1513" s="78"/>
      <c r="E1513" s="78"/>
    </row>
    <row r="1514" spans="1:5">
      <c r="A1514" s="76" t="s">
        <v>2591</v>
      </c>
      <c r="B1514" s="77"/>
      <c r="C1514" s="78"/>
      <c r="D1514" s="78"/>
      <c r="E1514" s="78"/>
    </row>
    <row r="1515" spans="1:5">
      <c r="A1515" s="76"/>
      <c r="B1515" s="77"/>
      <c r="C1515" s="78"/>
      <c r="D1515" s="78"/>
      <c r="E1515" s="78"/>
    </row>
    <row r="1516" spans="1:5">
      <c r="A1516" s="76" t="s">
        <v>2543</v>
      </c>
      <c r="B1516" s="77" t="s">
        <v>135</v>
      </c>
      <c r="C1516" s="78" t="s">
        <v>136</v>
      </c>
      <c r="D1516" s="78" t="s">
        <v>2534</v>
      </c>
      <c r="E1516" s="78" t="s">
        <v>2535</v>
      </c>
    </row>
    <row r="1517" ht="25.5" spans="1:5">
      <c r="A1517" s="76" t="s">
        <v>2898</v>
      </c>
      <c r="B1517" s="77" t="s">
        <v>112</v>
      </c>
      <c r="C1517" s="78">
        <v>1.03</v>
      </c>
      <c r="D1517" s="78">
        <v>149.05</v>
      </c>
      <c r="E1517" s="78">
        <f t="shared" ref="E1517:E1522" si="26">TRUNC(C1517*D1517,2)</f>
        <v>153.52</v>
      </c>
    </row>
    <row r="1518" spans="1:5">
      <c r="A1518" s="76" t="s">
        <v>2621</v>
      </c>
      <c r="B1518" s="77" t="s">
        <v>839</v>
      </c>
      <c r="C1518" s="78">
        <v>0.5471</v>
      </c>
      <c r="D1518" s="78">
        <v>23.75</v>
      </c>
      <c r="E1518" s="78">
        <f t="shared" si="26"/>
        <v>12.99</v>
      </c>
    </row>
    <row r="1519" spans="1:5">
      <c r="A1519" s="76" t="s">
        <v>2840</v>
      </c>
      <c r="B1519" s="77" t="s">
        <v>839</v>
      </c>
      <c r="C1519" s="78">
        <v>0.2735</v>
      </c>
      <c r="D1519" s="78">
        <v>25.46</v>
      </c>
      <c r="E1519" s="78">
        <f t="shared" si="26"/>
        <v>6.96</v>
      </c>
    </row>
    <row r="1520" ht="25.5" spans="1:5">
      <c r="A1520" s="76" t="s">
        <v>2643</v>
      </c>
      <c r="B1520" s="77" t="s">
        <v>977</v>
      </c>
      <c r="C1520" s="78">
        <v>0.0612</v>
      </c>
      <c r="D1520" s="78">
        <v>213.48</v>
      </c>
      <c r="E1520" s="78">
        <f t="shared" si="26"/>
        <v>13.06</v>
      </c>
    </row>
    <row r="1521" ht="25.5" spans="1:5">
      <c r="A1521" s="76" t="s">
        <v>2646</v>
      </c>
      <c r="B1521" s="77" t="s">
        <v>979</v>
      </c>
      <c r="C1521" s="78">
        <v>0.1188</v>
      </c>
      <c r="D1521" s="78">
        <v>90.12</v>
      </c>
      <c r="E1521" s="78">
        <f t="shared" si="26"/>
        <v>10.7</v>
      </c>
    </row>
    <row r="1522" ht="25.5" spans="1:5">
      <c r="A1522" s="76" t="s">
        <v>2899</v>
      </c>
      <c r="B1522" s="77" t="s">
        <v>476</v>
      </c>
      <c r="C1522" s="78">
        <v>0.003</v>
      </c>
      <c r="D1522" s="78">
        <v>736.8</v>
      </c>
      <c r="E1522" s="78">
        <f t="shared" si="26"/>
        <v>2.21</v>
      </c>
    </row>
    <row r="1523" spans="1:5">
      <c r="A1523" s="76" t="s">
        <v>122</v>
      </c>
      <c r="B1523" s="77"/>
      <c r="C1523" s="78"/>
      <c r="D1523" s="78"/>
      <c r="E1523" s="78">
        <f>SUM(E1517:E1522)</f>
        <v>199.44</v>
      </c>
    </row>
    <row r="1524" spans="1:5">
      <c r="A1524" s="76"/>
      <c r="B1524" s="77"/>
      <c r="C1524" s="78"/>
      <c r="D1524" s="78"/>
      <c r="E1524" s="78"/>
    </row>
    <row r="1525" spans="1:5">
      <c r="A1525" s="76" t="s">
        <v>2538</v>
      </c>
      <c r="B1525" s="77"/>
      <c r="C1525" s="78"/>
      <c r="D1525" s="78"/>
      <c r="E1525" s="78">
        <f>E1523</f>
        <v>199.44</v>
      </c>
    </row>
    <row r="1526" spans="1:5">
      <c r="A1526" s="76" t="s">
        <v>2539</v>
      </c>
      <c r="B1526" s="77"/>
      <c r="C1526" s="78"/>
      <c r="D1526" s="78">
        <v>0</v>
      </c>
      <c r="E1526" s="78">
        <f>TRUNC(D1526*E1525/100,2)</f>
        <v>0</v>
      </c>
    </row>
    <row r="1527" spans="1:5">
      <c r="A1527" s="76" t="s">
        <v>2540</v>
      </c>
      <c r="B1527" s="77"/>
      <c r="C1527" s="78"/>
      <c r="D1527" s="78"/>
      <c r="E1527" s="78">
        <f>E1525+E1526</f>
        <v>199.44</v>
      </c>
    </row>
    <row r="1528" spans="1:5">
      <c r="A1528" s="76"/>
      <c r="B1528" s="77"/>
      <c r="C1528" s="78"/>
      <c r="D1528" s="78"/>
      <c r="E1528" s="78"/>
    </row>
    <row r="1529" spans="1:5">
      <c r="A1529" s="76" t="s">
        <v>2900</v>
      </c>
      <c r="B1529" s="77" t="s">
        <v>893</v>
      </c>
      <c r="C1529" s="78"/>
      <c r="D1529" s="78"/>
      <c r="E1529" s="78"/>
    </row>
    <row r="1530" spans="1:5">
      <c r="A1530" s="76" t="s">
        <v>2901</v>
      </c>
      <c r="B1530" s="77"/>
      <c r="C1530" s="78"/>
      <c r="D1530" s="78"/>
      <c r="E1530" s="78"/>
    </row>
    <row r="1531" spans="1:5">
      <c r="A1531" s="76" t="s">
        <v>2619</v>
      </c>
      <c r="B1531" s="77"/>
      <c r="C1531" s="78"/>
      <c r="D1531" s="78"/>
      <c r="E1531" s="78"/>
    </row>
    <row r="1532" spans="1:5">
      <c r="A1532" s="76"/>
      <c r="B1532" s="77"/>
      <c r="C1532" s="78"/>
      <c r="D1532" s="78"/>
      <c r="E1532" s="78"/>
    </row>
    <row r="1533" spans="1:5">
      <c r="A1533" s="76" t="s">
        <v>2543</v>
      </c>
      <c r="B1533" s="77" t="s">
        <v>135</v>
      </c>
      <c r="C1533" s="78" t="s">
        <v>136</v>
      </c>
      <c r="D1533" s="78" t="s">
        <v>2534</v>
      </c>
      <c r="E1533" s="78" t="s">
        <v>2535</v>
      </c>
    </row>
    <row r="1534" spans="1:5">
      <c r="A1534" s="76" t="s">
        <v>2621</v>
      </c>
      <c r="B1534" s="77" t="s">
        <v>839</v>
      </c>
      <c r="C1534" s="78">
        <v>0.008626</v>
      </c>
      <c r="D1534" s="78">
        <v>23.75</v>
      </c>
      <c r="E1534" s="78">
        <f>TRUNC(C1534*D1534,2)</f>
        <v>0.2</v>
      </c>
    </row>
    <row r="1535" ht="25.5" spans="1:5">
      <c r="A1535" s="76" t="s">
        <v>2902</v>
      </c>
      <c r="B1535" s="77" t="s">
        <v>977</v>
      </c>
      <c r="C1535" s="78">
        <v>0.0025226</v>
      </c>
      <c r="D1535" s="78">
        <v>259.54</v>
      </c>
      <c r="E1535" s="78">
        <f>TRUNC(C1535*D1535,2)</f>
        <v>0.65</v>
      </c>
    </row>
    <row r="1536" ht="25.5" spans="1:5">
      <c r="A1536" s="76" t="s">
        <v>2903</v>
      </c>
      <c r="B1536" s="77" t="s">
        <v>979</v>
      </c>
      <c r="C1536" s="78">
        <v>0.0061034</v>
      </c>
      <c r="D1536" s="78">
        <v>88.78</v>
      </c>
      <c r="E1536" s="78">
        <f>TRUNC(C1536*D1536,2)</f>
        <v>0.54</v>
      </c>
    </row>
    <row r="1537" spans="1:5">
      <c r="A1537" s="76" t="s">
        <v>122</v>
      </c>
      <c r="B1537" s="77"/>
      <c r="C1537" s="78"/>
      <c r="D1537" s="78"/>
      <c r="E1537" s="78">
        <f>SUM(E1534:E1536)</f>
        <v>1.39</v>
      </c>
    </row>
    <row r="1538" spans="1:5">
      <c r="A1538" s="76"/>
      <c r="B1538" s="77"/>
      <c r="C1538" s="78"/>
      <c r="D1538" s="78"/>
      <c r="E1538" s="78"/>
    </row>
    <row r="1539" spans="1:5">
      <c r="A1539" s="76" t="s">
        <v>2538</v>
      </c>
      <c r="B1539" s="77"/>
      <c r="C1539" s="78"/>
      <c r="D1539" s="78"/>
      <c r="E1539" s="78">
        <f>E1537</f>
        <v>1.39</v>
      </c>
    </row>
    <row r="1540" spans="1:5">
      <c r="A1540" s="76" t="s">
        <v>2539</v>
      </c>
      <c r="B1540" s="77"/>
      <c r="C1540" s="78"/>
      <c r="D1540" s="78">
        <v>0</v>
      </c>
      <c r="E1540" s="78">
        <f>TRUNC(D1540*E1539/100,2)</f>
        <v>0</v>
      </c>
    </row>
    <row r="1541" spans="1:5">
      <c r="A1541" s="76" t="s">
        <v>2540</v>
      </c>
      <c r="B1541" s="77"/>
      <c r="C1541" s="78"/>
      <c r="D1541" s="78"/>
      <c r="E1541" s="78">
        <f>E1539+E1540</f>
        <v>1.39</v>
      </c>
    </row>
    <row r="1542" spans="1:5">
      <c r="A1542" s="76"/>
      <c r="B1542" s="77"/>
      <c r="C1542" s="78"/>
      <c r="D1542" s="78"/>
      <c r="E1542" s="78"/>
    </row>
    <row r="1543" spans="1:5">
      <c r="A1543" s="76" t="s">
        <v>2904</v>
      </c>
      <c r="B1543" s="77">
        <v>8005008010081</v>
      </c>
      <c r="C1543" s="78"/>
      <c r="D1543" s="78"/>
      <c r="E1543" s="78"/>
    </row>
    <row r="1544" ht="25.5" spans="1:5">
      <c r="A1544" s="76" t="s">
        <v>2905</v>
      </c>
      <c r="B1544" s="77"/>
      <c r="C1544" s="78"/>
      <c r="D1544" s="78"/>
      <c r="E1544" s="78"/>
    </row>
    <row r="1545" spans="1:5">
      <c r="A1545" s="76" t="s">
        <v>2563</v>
      </c>
      <c r="B1545" s="77"/>
      <c r="C1545" s="78"/>
      <c r="D1545" s="78"/>
      <c r="E1545" s="78"/>
    </row>
    <row r="1546" spans="1:5">
      <c r="A1546" s="76"/>
      <c r="B1546" s="77"/>
      <c r="C1546" s="78"/>
      <c r="D1546" s="78"/>
      <c r="E1546" s="78"/>
    </row>
    <row r="1547" spans="1:5">
      <c r="A1547" s="76" t="s">
        <v>2543</v>
      </c>
      <c r="B1547" s="77" t="s">
        <v>135</v>
      </c>
      <c r="C1547" s="78" t="s">
        <v>136</v>
      </c>
      <c r="D1547" s="78" t="s">
        <v>2534</v>
      </c>
      <c r="E1547" s="78" t="s">
        <v>2535</v>
      </c>
    </row>
    <row r="1548" ht="25.5" spans="1:5">
      <c r="A1548" s="76" t="s">
        <v>2906</v>
      </c>
      <c r="B1548" s="77" t="s">
        <v>463</v>
      </c>
      <c r="C1548" s="78">
        <v>1.2</v>
      </c>
      <c r="D1548" s="78">
        <v>7.17</v>
      </c>
      <c r="E1548" s="78">
        <f t="shared" ref="E1548:E1555" si="27">TRUNC(C1548*D1548,2)</f>
        <v>8.6</v>
      </c>
    </row>
    <row r="1549" spans="1:5">
      <c r="A1549" s="76" t="s">
        <v>2621</v>
      </c>
      <c r="B1549" s="77" t="s">
        <v>839</v>
      </c>
      <c r="C1549" s="78">
        <v>0.0055976</v>
      </c>
      <c r="D1549" s="78">
        <v>23.75</v>
      </c>
      <c r="E1549" s="78">
        <f t="shared" si="27"/>
        <v>0.13</v>
      </c>
    </row>
    <row r="1550" ht="25.5" spans="1:5">
      <c r="A1550" s="76" t="s">
        <v>2907</v>
      </c>
      <c r="B1550" s="77" t="s">
        <v>977</v>
      </c>
      <c r="C1550" s="78">
        <v>0.001637</v>
      </c>
      <c r="D1550" s="78">
        <v>9.89</v>
      </c>
      <c r="E1550" s="78">
        <f t="shared" si="27"/>
        <v>0.01</v>
      </c>
    </row>
    <row r="1551" ht="51" spans="1:5">
      <c r="A1551" s="76" t="s">
        <v>2908</v>
      </c>
      <c r="B1551" s="77" t="s">
        <v>977</v>
      </c>
      <c r="C1551" s="78">
        <v>0.0009134</v>
      </c>
      <c r="D1551" s="78">
        <v>266.09</v>
      </c>
      <c r="E1551" s="78">
        <f t="shared" si="27"/>
        <v>0.24</v>
      </c>
    </row>
    <row r="1552" ht="25.5" spans="1:5">
      <c r="A1552" s="76" t="s">
        <v>2909</v>
      </c>
      <c r="B1552" s="77" t="s">
        <v>977</v>
      </c>
      <c r="C1552" s="78">
        <v>0.001637</v>
      </c>
      <c r="D1552" s="78">
        <v>126.17</v>
      </c>
      <c r="E1552" s="78">
        <f t="shared" si="27"/>
        <v>0.2</v>
      </c>
    </row>
    <row r="1553" ht="25.5" spans="1:5">
      <c r="A1553" s="76" t="s">
        <v>2910</v>
      </c>
      <c r="B1553" s="77" t="s">
        <v>979</v>
      </c>
      <c r="C1553" s="78">
        <v>0.0039606</v>
      </c>
      <c r="D1553" s="78">
        <v>4.97</v>
      </c>
      <c r="E1553" s="78">
        <f t="shared" si="27"/>
        <v>0.01</v>
      </c>
    </row>
    <row r="1554" ht="25.5" spans="1:5">
      <c r="A1554" s="76" t="s">
        <v>2911</v>
      </c>
      <c r="B1554" s="77" t="s">
        <v>979</v>
      </c>
      <c r="C1554" s="78">
        <v>0.0046842</v>
      </c>
      <c r="D1554" s="78">
        <v>43.96</v>
      </c>
      <c r="E1554" s="78">
        <f t="shared" si="27"/>
        <v>0.2</v>
      </c>
    </row>
    <row r="1555" ht="51" spans="1:5">
      <c r="A1555" s="76" t="s">
        <v>2912</v>
      </c>
      <c r="B1555" s="77" t="s">
        <v>979</v>
      </c>
      <c r="C1555" s="78">
        <v>0.0046842</v>
      </c>
      <c r="D1555" s="78">
        <v>69.55</v>
      </c>
      <c r="E1555" s="78">
        <f t="shared" si="27"/>
        <v>0.32</v>
      </c>
    </row>
    <row r="1556" spans="1:5">
      <c r="A1556" s="76" t="s">
        <v>122</v>
      </c>
      <c r="B1556" s="77"/>
      <c r="C1556" s="78"/>
      <c r="D1556" s="78"/>
      <c r="E1556" s="78">
        <f>SUM(E1548:E1555)</f>
        <v>9.71</v>
      </c>
    </row>
    <row r="1557" spans="1:5">
      <c r="A1557" s="76"/>
      <c r="B1557" s="77"/>
      <c r="C1557" s="78"/>
      <c r="D1557" s="78"/>
      <c r="E1557" s="78"/>
    </row>
    <row r="1558" spans="1:5">
      <c r="A1558" s="76" t="s">
        <v>2538</v>
      </c>
      <c r="B1558" s="77"/>
      <c r="C1558" s="78"/>
      <c r="D1558" s="78"/>
      <c r="E1558" s="78">
        <f>E1556</f>
        <v>9.71</v>
      </c>
    </row>
    <row r="1559" spans="1:5">
      <c r="A1559" s="76" t="s">
        <v>2539</v>
      </c>
      <c r="B1559" s="77"/>
      <c r="C1559" s="78"/>
      <c r="D1559" s="78">
        <v>0</v>
      </c>
      <c r="E1559" s="78">
        <f>TRUNC(D1559*E1558/100,2)</f>
        <v>0</v>
      </c>
    </row>
    <row r="1560" spans="1:5">
      <c r="A1560" s="76" t="s">
        <v>2540</v>
      </c>
      <c r="B1560" s="77"/>
      <c r="C1560" s="78"/>
      <c r="D1560" s="78"/>
      <c r="E1560" s="78">
        <f>E1558+E1559</f>
        <v>9.71</v>
      </c>
    </row>
    <row r="1561" spans="1:5">
      <c r="A1561" s="76"/>
      <c r="B1561" s="77"/>
      <c r="C1561" s="78"/>
      <c r="D1561" s="78"/>
      <c r="E1561" s="78"/>
    </row>
    <row r="1562" spans="1:5">
      <c r="A1562" s="76" t="s">
        <v>2913</v>
      </c>
      <c r="B1562" s="77" t="s">
        <v>581</v>
      </c>
      <c r="C1562" s="78"/>
      <c r="D1562" s="78"/>
      <c r="E1562" s="78"/>
    </row>
    <row r="1563" ht="38.25" spans="1:5">
      <c r="A1563" s="76" t="s">
        <v>2914</v>
      </c>
      <c r="B1563" s="77"/>
      <c r="C1563" s="78"/>
      <c r="D1563" s="78"/>
      <c r="E1563" s="78"/>
    </row>
    <row r="1564" spans="1:5">
      <c r="A1564" s="76" t="s">
        <v>2563</v>
      </c>
      <c r="B1564" s="77"/>
      <c r="C1564" s="78"/>
      <c r="D1564" s="78"/>
      <c r="E1564" s="78"/>
    </row>
    <row r="1565" spans="1:5">
      <c r="A1565" s="76"/>
      <c r="B1565" s="77"/>
      <c r="C1565" s="78"/>
      <c r="D1565" s="78"/>
      <c r="E1565" s="78"/>
    </row>
    <row r="1566" spans="1:5">
      <c r="A1566" s="76" t="s">
        <v>2543</v>
      </c>
      <c r="B1566" s="77" t="s">
        <v>135</v>
      </c>
      <c r="C1566" s="78" t="s">
        <v>136</v>
      </c>
      <c r="D1566" s="78" t="s">
        <v>2534</v>
      </c>
      <c r="E1566" s="78" t="s">
        <v>2535</v>
      </c>
    </row>
    <row r="1567" ht="25.5" spans="1:5">
      <c r="A1567" s="76" t="s">
        <v>2814</v>
      </c>
      <c r="B1567" s="77" t="s">
        <v>215</v>
      </c>
      <c r="C1567" s="78">
        <v>0.0017</v>
      </c>
      <c r="D1567" s="78">
        <v>7.16</v>
      </c>
      <c r="E1567" s="78">
        <f t="shared" ref="E1567:E1575" si="28">TRUNC(C1567*D1567,2)</f>
        <v>0.01</v>
      </c>
    </row>
    <row r="1568" spans="1:5">
      <c r="A1568" s="76" t="s">
        <v>2611</v>
      </c>
      <c r="B1568" s="77" t="s">
        <v>463</v>
      </c>
      <c r="C1568" s="78">
        <v>0.024</v>
      </c>
      <c r="D1568" s="78">
        <v>18.72</v>
      </c>
      <c r="E1568" s="78">
        <f t="shared" si="28"/>
        <v>0.44</v>
      </c>
    </row>
    <row r="1569" ht="25.5" spans="1:5">
      <c r="A1569" s="76" t="s">
        <v>2633</v>
      </c>
      <c r="B1569" s="77" t="s">
        <v>112</v>
      </c>
      <c r="C1569" s="78">
        <v>0.25</v>
      </c>
      <c r="D1569" s="78">
        <v>3.94</v>
      </c>
      <c r="E1569" s="78">
        <f t="shared" si="28"/>
        <v>0.98</v>
      </c>
    </row>
    <row r="1570" ht="25.5" spans="1:5">
      <c r="A1570" s="76" t="s">
        <v>2834</v>
      </c>
      <c r="B1570" s="77" t="s">
        <v>112</v>
      </c>
      <c r="C1570" s="78">
        <v>0.2</v>
      </c>
      <c r="D1570" s="78">
        <v>2.72</v>
      </c>
      <c r="E1570" s="78">
        <f t="shared" si="28"/>
        <v>0.54</v>
      </c>
    </row>
    <row r="1571" ht="25.5" spans="1:5">
      <c r="A1571" s="76" t="s">
        <v>2915</v>
      </c>
      <c r="B1571" s="77" t="s">
        <v>466</v>
      </c>
      <c r="C1571" s="78">
        <v>1.0816</v>
      </c>
      <c r="D1571" s="78">
        <v>27.68</v>
      </c>
      <c r="E1571" s="78">
        <f t="shared" si="28"/>
        <v>29.93</v>
      </c>
    </row>
    <row r="1572" spans="1:5">
      <c r="A1572" s="76" t="s">
        <v>2621</v>
      </c>
      <c r="B1572" s="77" t="s">
        <v>839</v>
      </c>
      <c r="C1572" s="78">
        <v>0.3183</v>
      </c>
      <c r="D1572" s="78">
        <v>23.75</v>
      </c>
      <c r="E1572" s="78">
        <f t="shared" si="28"/>
        <v>7.55</v>
      </c>
    </row>
    <row r="1573" spans="1:5">
      <c r="A1573" s="76" t="s">
        <v>2577</v>
      </c>
      <c r="B1573" s="77" t="s">
        <v>839</v>
      </c>
      <c r="C1573" s="78">
        <v>0.1301</v>
      </c>
      <c r="D1573" s="78">
        <v>30.91</v>
      </c>
      <c r="E1573" s="78">
        <f t="shared" si="28"/>
        <v>4.02</v>
      </c>
    </row>
    <row r="1574" spans="1:5">
      <c r="A1574" s="76" t="s">
        <v>2630</v>
      </c>
      <c r="B1574" s="77" t="s">
        <v>839</v>
      </c>
      <c r="C1574" s="78">
        <v>0.1882</v>
      </c>
      <c r="D1574" s="78">
        <v>31.34</v>
      </c>
      <c r="E1574" s="78">
        <f t="shared" si="28"/>
        <v>5.89</v>
      </c>
    </row>
    <row r="1575" ht="38.25" spans="1:5">
      <c r="A1575" s="76" t="s">
        <v>2916</v>
      </c>
      <c r="B1575" s="77" t="s">
        <v>476</v>
      </c>
      <c r="C1575" s="78">
        <v>0.0985</v>
      </c>
      <c r="D1575" s="78">
        <v>584.28</v>
      </c>
      <c r="E1575" s="78">
        <f t="shared" si="28"/>
        <v>57.55</v>
      </c>
    </row>
    <row r="1576" spans="1:5">
      <c r="A1576" s="76" t="s">
        <v>122</v>
      </c>
      <c r="B1576" s="77"/>
      <c r="C1576" s="78"/>
      <c r="D1576" s="78"/>
      <c r="E1576" s="78">
        <f>SUM(E1567:E1575)</f>
        <v>106.91</v>
      </c>
    </row>
    <row r="1577" spans="1:5">
      <c r="A1577" s="76"/>
      <c r="B1577" s="77"/>
      <c r="C1577" s="78"/>
      <c r="D1577" s="78"/>
      <c r="E1577" s="78"/>
    </row>
    <row r="1578" spans="1:5">
      <c r="A1578" s="76" t="s">
        <v>2538</v>
      </c>
      <c r="B1578" s="77"/>
      <c r="C1578" s="78"/>
      <c r="D1578" s="78"/>
      <c r="E1578" s="78">
        <f>E1576</f>
        <v>106.91</v>
      </c>
    </row>
    <row r="1579" spans="1:5">
      <c r="A1579" s="76" t="s">
        <v>2539</v>
      </c>
      <c r="B1579" s="77"/>
      <c r="C1579" s="78"/>
      <c r="D1579" s="78">
        <v>0</v>
      </c>
      <c r="E1579" s="78">
        <f>TRUNC(D1579*E1578/100,2)</f>
        <v>0</v>
      </c>
    </row>
    <row r="1580" spans="1:5">
      <c r="A1580" s="76" t="s">
        <v>2540</v>
      </c>
      <c r="B1580" s="77"/>
      <c r="C1580" s="78"/>
      <c r="D1580" s="78"/>
      <c r="E1580" s="78">
        <f>E1578+E1579</f>
        <v>106.91</v>
      </c>
    </row>
    <row r="1581" spans="1:5">
      <c r="A1581" s="76"/>
      <c r="B1581" s="77"/>
      <c r="C1581" s="78"/>
      <c r="D1581" s="78"/>
      <c r="E1581" s="78"/>
    </row>
    <row r="1582" spans="1:5">
      <c r="A1582" s="76" t="s">
        <v>2917</v>
      </c>
      <c r="B1582" s="77">
        <v>8005008010085</v>
      </c>
      <c r="C1582" s="78"/>
      <c r="D1582" s="78"/>
      <c r="E1582" s="78"/>
    </row>
    <row r="1583" spans="1:5">
      <c r="A1583" s="76" t="s">
        <v>2918</v>
      </c>
      <c r="B1583" s="77"/>
      <c r="C1583" s="78"/>
      <c r="D1583" s="78"/>
      <c r="E1583" s="78"/>
    </row>
    <row r="1584" spans="1:5">
      <c r="A1584" s="76" t="s">
        <v>2563</v>
      </c>
      <c r="B1584" s="77"/>
      <c r="C1584" s="78"/>
      <c r="D1584" s="78"/>
      <c r="E1584" s="78"/>
    </row>
    <row r="1585" spans="1:5">
      <c r="A1585" s="76"/>
      <c r="B1585" s="77"/>
      <c r="C1585" s="78"/>
      <c r="D1585" s="78"/>
      <c r="E1585" s="78"/>
    </row>
    <row r="1586" spans="1:5">
      <c r="A1586" s="76" t="s">
        <v>2543</v>
      </c>
      <c r="B1586" s="77" t="s">
        <v>135</v>
      </c>
      <c r="C1586" s="78" t="s">
        <v>136</v>
      </c>
      <c r="D1586" s="78" t="s">
        <v>2534</v>
      </c>
      <c r="E1586" s="78" t="s">
        <v>2535</v>
      </c>
    </row>
    <row r="1587" ht="25.5" spans="1:5">
      <c r="A1587" s="76" t="s">
        <v>2919</v>
      </c>
      <c r="B1587" s="77" t="s">
        <v>463</v>
      </c>
      <c r="C1587" s="78">
        <v>0.45</v>
      </c>
      <c r="D1587" s="78">
        <v>4.76</v>
      </c>
      <c r="E1587" s="78">
        <f t="shared" ref="E1587:E1594" si="29">TRUNC(C1587*D1587,2)</f>
        <v>2.14</v>
      </c>
    </row>
    <row r="1588" spans="1:5">
      <c r="A1588" s="76" t="s">
        <v>2621</v>
      </c>
      <c r="B1588" s="77" t="s">
        <v>839</v>
      </c>
      <c r="C1588" s="78">
        <v>0.005274</v>
      </c>
      <c r="D1588" s="78">
        <v>23.75</v>
      </c>
      <c r="E1588" s="78">
        <f t="shared" si="29"/>
        <v>0.12</v>
      </c>
    </row>
    <row r="1589" ht="25.5" spans="1:5">
      <c r="A1589" s="76" t="s">
        <v>2907</v>
      </c>
      <c r="B1589" s="77" t="s">
        <v>977</v>
      </c>
      <c r="C1589" s="78">
        <v>0.001637</v>
      </c>
      <c r="D1589" s="78">
        <v>9.89</v>
      </c>
      <c r="E1589" s="78">
        <f t="shared" si="29"/>
        <v>0.01</v>
      </c>
    </row>
    <row r="1590" ht="51" spans="1:5">
      <c r="A1590" s="76" t="s">
        <v>2908</v>
      </c>
      <c r="B1590" s="77" t="s">
        <v>977</v>
      </c>
      <c r="C1590" s="78">
        <v>0.0004229</v>
      </c>
      <c r="D1590" s="78">
        <v>266.09</v>
      </c>
      <c r="E1590" s="78">
        <f t="shared" si="29"/>
        <v>0.11</v>
      </c>
    </row>
    <row r="1591" ht="25.5" spans="1:5">
      <c r="A1591" s="76" t="s">
        <v>2909</v>
      </c>
      <c r="B1591" s="77" t="s">
        <v>977</v>
      </c>
      <c r="C1591" s="78">
        <v>0.001637</v>
      </c>
      <c r="D1591" s="78">
        <v>126.17</v>
      </c>
      <c r="E1591" s="78">
        <f t="shared" si="29"/>
        <v>0.2</v>
      </c>
    </row>
    <row r="1592" ht="25.5" spans="1:5">
      <c r="A1592" s="76" t="s">
        <v>2910</v>
      </c>
      <c r="B1592" s="77" t="s">
        <v>979</v>
      </c>
      <c r="C1592" s="78">
        <v>0.003637</v>
      </c>
      <c r="D1592" s="78">
        <v>4.97</v>
      </c>
      <c r="E1592" s="78">
        <f t="shared" si="29"/>
        <v>0.01</v>
      </c>
    </row>
    <row r="1593" ht="25.5" spans="1:5">
      <c r="A1593" s="76" t="s">
        <v>2911</v>
      </c>
      <c r="B1593" s="77" t="s">
        <v>979</v>
      </c>
      <c r="C1593" s="78">
        <v>0.0048511</v>
      </c>
      <c r="D1593" s="78">
        <v>43.96</v>
      </c>
      <c r="E1593" s="78">
        <f t="shared" si="29"/>
        <v>0.21</v>
      </c>
    </row>
    <row r="1594" ht="51" spans="1:5">
      <c r="A1594" s="76" t="s">
        <v>2912</v>
      </c>
      <c r="B1594" s="77" t="s">
        <v>979</v>
      </c>
      <c r="C1594" s="78">
        <v>0.0048511</v>
      </c>
      <c r="D1594" s="78">
        <v>69.55</v>
      </c>
      <c r="E1594" s="78">
        <f t="shared" si="29"/>
        <v>0.33</v>
      </c>
    </row>
    <row r="1595" spans="1:5">
      <c r="A1595" s="76" t="s">
        <v>122</v>
      </c>
      <c r="B1595" s="77"/>
      <c r="C1595" s="78"/>
      <c r="D1595" s="78"/>
      <c r="E1595" s="78">
        <f>SUM(E1587:E1594)</f>
        <v>3.13</v>
      </c>
    </row>
    <row r="1596" spans="1:5">
      <c r="A1596" s="76"/>
      <c r="B1596" s="77"/>
      <c r="C1596" s="78"/>
      <c r="D1596" s="78"/>
      <c r="E1596" s="78"/>
    </row>
    <row r="1597" spans="1:5">
      <c r="A1597" s="76" t="s">
        <v>2538</v>
      </c>
      <c r="B1597" s="77"/>
      <c r="C1597" s="78"/>
      <c r="D1597" s="78"/>
      <c r="E1597" s="78">
        <f>E1595</f>
        <v>3.13</v>
      </c>
    </row>
    <row r="1598" spans="1:5">
      <c r="A1598" s="76" t="s">
        <v>2539</v>
      </c>
      <c r="B1598" s="77"/>
      <c r="C1598" s="78"/>
      <c r="D1598" s="78">
        <v>0</v>
      </c>
      <c r="E1598" s="78">
        <f>TRUNC(D1598*E1597/100,2)</f>
        <v>0</v>
      </c>
    </row>
    <row r="1599" spans="1:5">
      <c r="A1599" s="76" t="s">
        <v>2540</v>
      </c>
      <c r="B1599" s="77"/>
      <c r="C1599" s="78"/>
      <c r="D1599" s="78"/>
      <c r="E1599" s="78">
        <f>E1597+E1598</f>
        <v>3.13</v>
      </c>
    </row>
    <row r="1600" spans="1:5">
      <c r="A1600" s="76"/>
      <c r="B1600" s="77"/>
      <c r="C1600" s="78"/>
      <c r="D1600" s="78"/>
      <c r="E1600" s="78"/>
    </row>
    <row r="1601" spans="1:5">
      <c r="A1601" s="76" t="s">
        <v>2920</v>
      </c>
      <c r="B1601" s="77" t="s">
        <v>897</v>
      </c>
      <c r="C1601" s="78"/>
      <c r="D1601" s="78"/>
      <c r="E1601" s="78"/>
    </row>
    <row r="1602" ht="38.25" spans="1:5">
      <c r="A1602" s="76" t="s">
        <v>2921</v>
      </c>
      <c r="B1602" s="77"/>
      <c r="C1602" s="78"/>
      <c r="D1602" s="78"/>
      <c r="E1602" s="78"/>
    </row>
    <row r="1603" spans="1:5">
      <c r="A1603" s="76" t="s">
        <v>2619</v>
      </c>
      <c r="B1603" s="77"/>
      <c r="C1603" s="78"/>
      <c r="D1603" s="78"/>
      <c r="E1603" s="78"/>
    </row>
    <row r="1604" spans="1:5">
      <c r="A1604" s="76"/>
      <c r="B1604" s="77"/>
      <c r="C1604" s="78"/>
      <c r="D1604" s="78"/>
      <c r="E1604" s="78"/>
    </row>
    <row r="1605" spans="1:5">
      <c r="A1605" s="76" t="s">
        <v>2543</v>
      </c>
      <c r="B1605" s="77" t="s">
        <v>135</v>
      </c>
      <c r="C1605" s="78" t="s">
        <v>136</v>
      </c>
      <c r="D1605" s="78" t="s">
        <v>2534</v>
      </c>
      <c r="E1605" s="78" t="s">
        <v>2535</v>
      </c>
    </row>
    <row r="1606" ht="38.25" spans="1:5">
      <c r="A1606" s="76" t="s">
        <v>2922</v>
      </c>
      <c r="B1606" s="77" t="s">
        <v>601</v>
      </c>
      <c r="C1606" s="78">
        <v>2.5548</v>
      </c>
      <c r="D1606" s="78">
        <v>660</v>
      </c>
      <c r="E1606" s="78">
        <f>TRUNC(C1606*D1606,2)</f>
        <v>1686.16</v>
      </c>
    </row>
    <row r="1607" spans="1:5">
      <c r="A1607" s="76" t="s">
        <v>2621</v>
      </c>
      <c r="B1607" s="77" t="s">
        <v>839</v>
      </c>
      <c r="C1607" s="78">
        <v>3.1573</v>
      </c>
      <c r="D1607" s="78">
        <v>23.75</v>
      </c>
      <c r="E1607" s="78">
        <f>TRUNC(C1607*D1607,2)</f>
        <v>74.98</v>
      </c>
    </row>
    <row r="1608" ht="38.25" spans="1:5">
      <c r="A1608" s="76" t="s">
        <v>2923</v>
      </c>
      <c r="B1608" s="77" t="s">
        <v>977</v>
      </c>
      <c r="C1608" s="78">
        <v>0.1111</v>
      </c>
      <c r="D1608" s="78">
        <v>171.06</v>
      </c>
      <c r="E1608" s="78">
        <f>TRUNC(C1608*D1608,2)</f>
        <v>19</v>
      </c>
    </row>
    <row r="1609" ht="38.25" spans="1:5">
      <c r="A1609" s="76" t="s">
        <v>2924</v>
      </c>
      <c r="B1609" s="77" t="s">
        <v>979</v>
      </c>
      <c r="C1609" s="78">
        <v>0.6782</v>
      </c>
      <c r="D1609" s="78">
        <v>78.63</v>
      </c>
      <c r="E1609" s="78">
        <f>TRUNC(C1609*D1609,2)</f>
        <v>53.32</v>
      </c>
    </row>
    <row r="1610" ht="25.5" spans="1:5">
      <c r="A1610" s="76" t="s">
        <v>2925</v>
      </c>
      <c r="B1610" s="77" t="s">
        <v>466</v>
      </c>
      <c r="C1610" s="78">
        <v>20</v>
      </c>
      <c r="D1610" s="78">
        <v>23.29</v>
      </c>
      <c r="E1610" s="78">
        <f>TRUNC(C1610*D1610,2)</f>
        <v>465.8</v>
      </c>
    </row>
    <row r="1611" spans="1:5">
      <c r="A1611" s="76" t="s">
        <v>122</v>
      </c>
      <c r="B1611" s="77"/>
      <c r="C1611" s="78"/>
      <c r="D1611" s="78"/>
      <c r="E1611" s="78">
        <f>SUM(E1606:E1610)</f>
        <v>2299.26</v>
      </c>
    </row>
    <row r="1612" spans="1:5">
      <c r="A1612" s="76"/>
      <c r="B1612" s="77"/>
      <c r="C1612" s="78"/>
      <c r="D1612" s="78"/>
      <c r="E1612" s="78"/>
    </row>
    <row r="1613" spans="1:5">
      <c r="A1613" s="76" t="s">
        <v>2538</v>
      </c>
      <c r="B1613" s="77"/>
      <c r="C1613" s="78"/>
      <c r="D1613" s="78"/>
      <c r="E1613" s="78">
        <f>E1611</f>
        <v>2299.26</v>
      </c>
    </row>
    <row r="1614" spans="1:5">
      <c r="A1614" s="76" t="s">
        <v>2539</v>
      </c>
      <c r="B1614" s="77"/>
      <c r="C1614" s="78"/>
      <c r="D1614" s="78">
        <v>0</v>
      </c>
      <c r="E1614" s="78">
        <f>TRUNC(D1614*E1613/100,2)</f>
        <v>0</v>
      </c>
    </row>
    <row r="1615" spans="1:5">
      <c r="A1615" s="76" t="s">
        <v>2540</v>
      </c>
      <c r="B1615" s="77"/>
      <c r="C1615" s="78"/>
      <c r="D1615" s="78"/>
      <c r="E1615" s="78">
        <f>E1613+E1614</f>
        <v>2299.26</v>
      </c>
    </row>
    <row r="1616" spans="1:5">
      <c r="A1616" s="76"/>
      <c r="B1616" s="77"/>
      <c r="C1616" s="78"/>
      <c r="D1616" s="78"/>
      <c r="E1616" s="78"/>
    </row>
    <row r="1617" spans="1:5">
      <c r="A1617" s="76" t="s">
        <v>2926</v>
      </c>
      <c r="B1617" s="77" t="s">
        <v>898</v>
      </c>
      <c r="C1617" s="78"/>
      <c r="D1617" s="78"/>
      <c r="E1617" s="78"/>
    </row>
    <row r="1618" spans="1:5">
      <c r="A1618" s="76" t="s">
        <v>2927</v>
      </c>
      <c r="B1618" s="77"/>
      <c r="C1618" s="78"/>
      <c r="D1618" s="78"/>
      <c r="E1618" s="78"/>
    </row>
    <row r="1619" spans="1:5">
      <c r="A1619" s="76" t="s">
        <v>2563</v>
      </c>
      <c r="B1619" s="77"/>
      <c r="C1619" s="78"/>
      <c r="D1619" s="78"/>
      <c r="E1619" s="78"/>
    </row>
    <row r="1620" spans="1:5">
      <c r="A1620" s="76"/>
      <c r="B1620" s="77"/>
      <c r="C1620" s="78"/>
      <c r="D1620" s="78"/>
      <c r="E1620" s="78"/>
    </row>
    <row r="1621" spans="1:5">
      <c r="A1621" s="76" t="s">
        <v>2543</v>
      </c>
      <c r="B1621" s="77" t="s">
        <v>135</v>
      </c>
      <c r="C1621" s="78" t="s">
        <v>136</v>
      </c>
      <c r="D1621" s="78" t="s">
        <v>2534</v>
      </c>
      <c r="E1621" s="78" t="s">
        <v>2535</v>
      </c>
    </row>
    <row r="1622" spans="1:5">
      <c r="A1622" s="76" t="s">
        <v>2621</v>
      </c>
      <c r="B1622" s="77" t="s">
        <v>839</v>
      </c>
      <c r="C1622" s="78">
        <v>0.0010343</v>
      </c>
      <c r="D1622" s="78">
        <v>23.75</v>
      </c>
      <c r="E1622" s="78">
        <f t="shared" ref="E1622:E1628" si="30">TRUNC(C1622*D1622,2)</f>
        <v>0.02</v>
      </c>
    </row>
    <row r="1623" ht="38.25" spans="1:5">
      <c r="A1623" s="76" t="s">
        <v>2644</v>
      </c>
      <c r="B1623" s="77" t="s">
        <v>977</v>
      </c>
      <c r="C1623" s="78">
        <v>0.0010702</v>
      </c>
      <c r="D1623" s="78">
        <v>317.85</v>
      </c>
      <c r="E1623" s="78">
        <f t="shared" si="30"/>
        <v>0.34</v>
      </c>
    </row>
    <row r="1624" ht="25.5" spans="1:5">
      <c r="A1624" s="76" t="s">
        <v>2928</v>
      </c>
      <c r="B1624" s="77" t="s">
        <v>977</v>
      </c>
      <c r="C1624" s="78">
        <v>0.0003025</v>
      </c>
      <c r="D1624" s="78">
        <v>259.29</v>
      </c>
      <c r="E1624" s="78">
        <f t="shared" si="30"/>
        <v>0.07</v>
      </c>
    </row>
    <row r="1625" ht="38.25" spans="1:5">
      <c r="A1625" s="76" t="s">
        <v>2676</v>
      </c>
      <c r="B1625" s="77" t="s">
        <v>977</v>
      </c>
      <c r="C1625" s="78">
        <v>0.0025195</v>
      </c>
      <c r="D1625" s="78">
        <v>171.22</v>
      </c>
      <c r="E1625" s="78">
        <f t="shared" si="30"/>
        <v>0.43</v>
      </c>
    </row>
    <row r="1626" ht="38.25" spans="1:5">
      <c r="A1626" s="76" t="s">
        <v>2647</v>
      </c>
      <c r="B1626" s="77" t="s">
        <v>979</v>
      </c>
      <c r="C1626" s="78">
        <v>0.007545</v>
      </c>
      <c r="D1626" s="78">
        <v>75.08</v>
      </c>
      <c r="E1626" s="78">
        <f t="shared" si="30"/>
        <v>0.56</v>
      </c>
    </row>
    <row r="1627" ht="25.5" spans="1:5">
      <c r="A1627" s="76" t="s">
        <v>2929</v>
      </c>
      <c r="B1627" s="77" t="s">
        <v>979</v>
      </c>
      <c r="C1627" s="78">
        <v>0.0007318</v>
      </c>
      <c r="D1627" s="78">
        <v>102.39</v>
      </c>
      <c r="E1627" s="78">
        <f t="shared" si="30"/>
        <v>0.07</v>
      </c>
    </row>
    <row r="1628" ht="38.25" spans="1:5">
      <c r="A1628" s="76" t="s">
        <v>2677</v>
      </c>
      <c r="B1628" s="77" t="s">
        <v>979</v>
      </c>
      <c r="C1628" s="78">
        <v>0.0060957</v>
      </c>
      <c r="D1628" s="78">
        <v>70.62</v>
      </c>
      <c r="E1628" s="78">
        <f t="shared" si="30"/>
        <v>0.43</v>
      </c>
    </row>
    <row r="1629" spans="1:5">
      <c r="A1629" s="76" t="s">
        <v>122</v>
      </c>
      <c r="B1629" s="77"/>
      <c r="C1629" s="78"/>
      <c r="D1629" s="78"/>
      <c r="E1629" s="78">
        <f>SUM(E1622:E1628)</f>
        <v>1.92</v>
      </c>
    </row>
    <row r="1630" spans="1:5">
      <c r="A1630" s="76"/>
      <c r="B1630" s="77"/>
      <c r="C1630" s="78"/>
      <c r="D1630" s="78"/>
      <c r="E1630" s="78"/>
    </row>
    <row r="1631" spans="1:5">
      <c r="A1631" s="76" t="s">
        <v>2538</v>
      </c>
      <c r="B1631" s="77"/>
      <c r="C1631" s="78"/>
      <c r="D1631" s="78"/>
      <c r="E1631" s="78">
        <f>E1629</f>
        <v>1.92</v>
      </c>
    </row>
    <row r="1632" spans="1:5">
      <c r="A1632" s="76" t="s">
        <v>2539</v>
      </c>
      <c r="B1632" s="77"/>
      <c r="C1632" s="78"/>
      <c r="D1632" s="78">
        <v>0</v>
      </c>
      <c r="E1632" s="78">
        <f>TRUNC(D1632*E1631/100,2)</f>
        <v>0</v>
      </c>
    </row>
    <row r="1633" spans="1:5">
      <c r="A1633" s="76" t="s">
        <v>2540</v>
      </c>
      <c r="B1633" s="77"/>
      <c r="C1633" s="78"/>
      <c r="D1633" s="78"/>
      <c r="E1633" s="78">
        <f>E1631+E1632</f>
        <v>1.92</v>
      </c>
    </row>
    <row r="1634" spans="1:5">
      <c r="A1634" s="76"/>
      <c r="B1634" s="77"/>
      <c r="C1634" s="78"/>
      <c r="D1634" s="78"/>
      <c r="E1634" s="78"/>
    </row>
    <row r="1635" spans="1:5">
      <c r="A1635" s="76" t="s">
        <v>2930</v>
      </c>
      <c r="B1635" s="77">
        <v>8005508100001</v>
      </c>
      <c r="C1635" s="78"/>
      <c r="D1635" s="78"/>
      <c r="E1635" s="78"/>
    </row>
    <row r="1636" spans="1:5">
      <c r="A1636" s="76" t="s">
        <v>2931</v>
      </c>
      <c r="B1636" s="77"/>
      <c r="C1636" s="78"/>
      <c r="D1636" s="78"/>
      <c r="E1636" s="78"/>
    </row>
    <row r="1637" spans="1:5">
      <c r="A1637" s="76" t="s">
        <v>2552</v>
      </c>
      <c r="B1637" s="77"/>
      <c r="C1637" s="78"/>
      <c r="D1637" s="78"/>
      <c r="E1637" s="78"/>
    </row>
    <row r="1638" spans="1:5">
      <c r="A1638" s="76"/>
      <c r="B1638" s="77"/>
      <c r="C1638" s="78"/>
      <c r="D1638" s="78"/>
      <c r="E1638" s="78"/>
    </row>
    <row r="1639" spans="1:5">
      <c r="A1639" s="76" t="s">
        <v>2543</v>
      </c>
      <c r="B1639" s="77" t="s">
        <v>135</v>
      </c>
      <c r="C1639" s="78" t="s">
        <v>136</v>
      </c>
      <c r="D1639" s="78" t="s">
        <v>2534</v>
      </c>
      <c r="E1639" s="78" t="s">
        <v>2535</v>
      </c>
    </row>
    <row r="1640" spans="1:5">
      <c r="A1640" s="76" t="s">
        <v>2932</v>
      </c>
      <c r="B1640" s="77" t="s">
        <v>494</v>
      </c>
      <c r="C1640" s="78">
        <v>0.0106</v>
      </c>
      <c r="D1640" s="78">
        <v>14.38</v>
      </c>
      <c r="E1640" s="78">
        <f>TRUNC(C1640*D1640,2)</f>
        <v>0.15</v>
      </c>
    </row>
    <row r="1641" ht="25.5" spans="1:5">
      <c r="A1641" s="76" t="s">
        <v>2847</v>
      </c>
      <c r="B1641" s="77" t="s">
        <v>839</v>
      </c>
      <c r="C1641" s="78">
        <v>0.4315</v>
      </c>
      <c r="D1641" s="78">
        <v>24.02</v>
      </c>
      <c r="E1641" s="78">
        <f>TRUNC(C1641*D1641,2)</f>
        <v>10.36</v>
      </c>
    </row>
    <row r="1642" ht="25.5" spans="1:5">
      <c r="A1642" s="76" t="s">
        <v>2848</v>
      </c>
      <c r="B1642" s="77" t="s">
        <v>839</v>
      </c>
      <c r="C1642" s="78">
        <v>0.4315</v>
      </c>
      <c r="D1642" s="78">
        <v>30.62</v>
      </c>
      <c r="E1642" s="78">
        <f>TRUNC(C1642*D1642,2)</f>
        <v>13.21</v>
      </c>
    </row>
    <row r="1643" spans="1:5">
      <c r="A1643" s="76" t="s">
        <v>122</v>
      </c>
      <c r="B1643" s="77"/>
      <c r="C1643" s="78"/>
      <c r="D1643" s="78"/>
      <c r="E1643" s="78">
        <f>SUM(E1640:E1642)</f>
        <v>23.72</v>
      </c>
    </row>
    <row r="1644" spans="1:5">
      <c r="A1644" s="76"/>
      <c r="B1644" s="77"/>
      <c r="C1644" s="78"/>
      <c r="D1644" s="78"/>
      <c r="E1644" s="78"/>
    </row>
    <row r="1645" spans="1:5">
      <c r="A1645" s="76" t="s">
        <v>2538</v>
      </c>
      <c r="B1645" s="77"/>
      <c r="C1645" s="78"/>
      <c r="D1645" s="78"/>
      <c r="E1645" s="78">
        <f>E1643</f>
        <v>23.72</v>
      </c>
    </row>
    <row r="1646" spans="1:5">
      <c r="A1646" s="76" t="s">
        <v>2539</v>
      </c>
      <c r="B1646" s="77"/>
      <c r="C1646" s="78"/>
      <c r="D1646" s="78">
        <v>0</v>
      </c>
      <c r="E1646" s="78">
        <f>TRUNC(D1646*E1645/100,2)</f>
        <v>0</v>
      </c>
    </row>
    <row r="1647" spans="1:5">
      <c r="A1647" s="76" t="s">
        <v>2540</v>
      </c>
      <c r="B1647" s="77"/>
      <c r="C1647" s="78"/>
      <c r="D1647" s="78"/>
      <c r="E1647" s="78">
        <f>E1645+E1646</f>
        <v>23.72</v>
      </c>
    </row>
    <row r="1648" spans="1:5">
      <c r="A1648" s="76"/>
      <c r="B1648" s="77"/>
      <c r="C1648" s="78"/>
      <c r="D1648" s="78"/>
      <c r="E1648" s="78"/>
    </row>
    <row r="1649" spans="1:5">
      <c r="A1649" s="76" t="s">
        <v>2933</v>
      </c>
      <c r="B1649" s="77" t="s">
        <v>902</v>
      </c>
      <c r="C1649" s="78"/>
      <c r="D1649" s="78"/>
      <c r="E1649" s="78"/>
    </row>
    <row r="1650" ht="25.5" spans="1:5">
      <c r="A1650" s="76" t="s">
        <v>2934</v>
      </c>
      <c r="B1650" s="77"/>
      <c r="C1650" s="78"/>
      <c r="D1650" s="78"/>
      <c r="E1650" s="78"/>
    </row>
    <row r="1651" spans="1:5">
      <c r="A1651" s="76" t="s">
        <v>2552</v>
      </c>
      <c r="B1651" s="77"/>
      <c r="C1651" s="78"/>
      <c r="D1651" s="78"/>
      <c r="E1651" s="78"/>
    </row>
    <row r="1652" spans="1:5">
      <c r="A1652" s="76"/>
      <c r="B1652" s="77"/>
      <c r="C1652" s="78"/>
      <c r="D1652" s="78"/>
      <c r="E1652" s="78"/>
    </row>
    <row r="1653" spans="1:5">
      <c r="A1653" s="76" t="s">
        <v>2543</v>
      </c>
      <c r="B1653" s="77" t="s">
        <v>135</v>
      </c>
      <c r="C1653" s="78" t="s">
        <v>136</v>
      </c>
      <c r="D1653" s="78" t="s">
        <v>2534</v>
      </c>
      <c r="E1653" s="78" t="s">
        <v>2535</v>
      </c>
    </row>
    <row r="1654" ht="25.5" spans="1:5">
      <c r="A1654" s="76" t="s">
        <v>2935</v>
      </c>
      <c r="B1654" s="77" t="s">
        <v>494</v>
      </c>
      <c r="C1654" s="78">
        <v>1</v>
      </c>
      <c r="D1654" s="78">
        <v>123.7</v>
      </c>
      <c r="E1654" s="78">
        <f>TRUNC(C1654*D1654,2)</f>
        <v>123.7</v>
      </c>
    </row>
    <row r="1655" ht="25.5" spans="1:5">
      <c r="A1655" s="76" t="s">
        <v>2847</v>
      </c>
      <c r="B1655" s="77" t="s">
        <v>839</v>
      </c>
      <c r="C1655" s="78">
        <v>0.2632</v>
      </c>
      <c r="D1655" s="78">
        <v>24.02</v>
      </c>
      <c r="E1655" s="78">
        <f>TRUNC(C1655*D1655,2)</f>
        <v>6.32</v>
      </c>
    </row>
    <row r="1656" ht="25.5" spans="1:5">
      <c r="A1656" s="76" t="s">
        <v>2848</v>
      </c>
      <c r="B1656" s="77" t="s">
        <v>839</v>
      </c>
      <c r="C1656" s="78">
        <v>0.2632</v>
      </c>
      <c r="D1656" s="78">
        <v>30.62</v>
      </c>
      <c r="E1656" s="78">
        <f>TRUNC(C1656*D1656,2)</f>
        <v>8.05</v>
      </c>
    </row>
    <row r="1657" spans="1:5">
      <c r="A1657" s="76" t="s">
        <v>122</v>
      </c>
      <c r="B1657" s="77"/>
      <c r="C1657" s="78"/>
      <c r="D1657" s="78"/>
      <c r="E1657" s="78">
        <f>SUM(E1654:E1656)</f>
        <v>138.07</v>
      </c>
    </row>
    <row r="1658" spans="1:5">
      <c r="A1658" s="76"/>
      <c r="B1658" s="77"/>
      <c r="C1658" s="78"/>
      <c r="D1658" s="78"/>
      <c r="E1658" s="78"/>
    </row>
    <row r="1659" spans="1:5">
      <c r="A1659" s="76" t="s">
        <v>2538</v>
      </c>
      <c r="B1659" s="77"/>
      <c r="C1659" s="78"/>
      <c r="D1659" s="78"/>
      <c r="E1659" s="78">
        <f>E1657</f>
        <v>138.07</v>
      </c>
    </row>
    <row r="1660" spans="1:5">
      <c r="A1660" s="76" t="s">
        <v>2539</v>
      </c>
      <c r="B1660" s="77"/>
      <c r="C1660" s="78"/>
      <c r="D1660" s="78">
        <v>0</v>
      </c>
      <c r="E1660" s="78">
        <f>TRUNC(D1660*E1659/100,2)</f>
        <v>0</v>
      </c>
    </row>
    <row r="1661" spans="1:5">
      <c r="A1661" s="76" t="s">
        <v>2540</v>
      </c>
      <c r="B1661" s="77"/>
      <c r="C1661" s="78"/>
      <c r="D1661" s="78"/>
      <c r="E1661" s="78">
        <f>E1659+E1660</f>
        <v>138.07</v>
      </c>
    </row>
    <row r="1662" spans="1:5">
      <c r="A1662" s="76"/>
      <c r="B1662" s="77"/>
      <c r="C1662" s="78"/>
      <c r="D1662" s="78"/>
      <c r="E1662" s="78"/>
    </row>
    <row r="1663" spans="1:5">
      <c r="A1663" s="76" t="s">
        <v>2936</v>
      </c>
      <c r="B1663" s="77" t="s">
        <v>904</v>
      </c>
      <c r="C1663" s="78"/>
      <c r="D1663" s="78"/>
      <c r="E1663" s="78"/>
    </row>
    <row r="1664" ht="38.25" spans="1:5">
      <c r="A1664" s="76" t="s">
        <v>2937</v>
      </c>
      <c r="B1664" s="77"/>
      <c r="C1664" s="78"/>
      <c r="D1664" s="78"/>
      <c r="E1664" s="78"/>
    </row>
    <row r="1665" spans="1:5">
      <c r="A1665" s="76" t="s">
        <v>2552</v>
      </c>
      <c r="B1665" s="77"/>
      <c r="C1665" s="78"/>
      <c r="D1665" s="78"/>
      <c r="E1665" s="78"/>
    </row>
    <row r="1666" spans="1:5">
      <c r="A1666" s="76"/>
      <c r="B1666" s="77"/>
      <c r="C1666" s="78"/>
      <c r="D1666" s="78"/>
      <c r="E1666" s="78"/>
    </row>
    <row r="1667" spans="1:5">
      <c r="A1667" s="76" t="s">
        <v>2543</v>
      </c>
      <c r="B1667" s="77" t="s">
        <v>135</v>
      </c>
      <c r="C1667" s="78" t="s">
        <v>136</v>
      </c>
      <c r="D1667" s="78" t="s">
        <v>2534</v>
      </c>
      <c r="E1667" s="78" t="s">
        <v>2535</v>
      </c>
    </row>
    <row r="1668" ht="25.5" spans="1:5">
      <c r="A1668" s="76" t="s">
        <v>2938</v>
      </c>
      <c r="B1668" s="77" t="s">
        <v>494</v>
      </c>
      <c r="C1668" s="78">
        <v>2</v>
      </c>
      <c r="D1668" s="78">
        <v>0.96</v>
      </c>
      <c r="E1668" s="78">
        <f t="shared" ref="E1668:E1680" si="31">TRUNC(C1668*D1668,2)</f>
        <v>1.92</v>
      </c>
    </row>
    <row r="1669" spans="1:5">
      <c r="A1669" s="76" t="s">
        <v>2939</v>
      </c>
      <c r="B1669" s="77" t="s">
        <v>494</v>
      </c>
      <c r="C1669" s="78">
        <v>0.0729</v>
      </c>
      <c r="D1669" s="78">
        <v>72.86</v>
      </c>
      <c r="E1669" s="78">
        <f t="shared" si="31"/>
        <v>5.31</v>
      </c>
    </row>
    <row r="1670" ht="25.5" spans="1:5">
      <c r="A1670" s="76" t="s">
        <v>2940</v>
      </c>
      <c r="B1670" s="77" t="s">
        <v>494</v>
      </c>
      <c r="C1670" s="78">
        <v>1</v>
      </c>
      <c r="D1670" s="78">
        <v>4.55</v>
      </c>
      <c r="E1670" s="78">
        <f t="shared" si="31"/>
        <v>4.55</v>
      </c>
    </row>
    <row r="1671" spans="1:5">
      <c r="A1671" s="76" t="s">
        <v>2932</v>
      </c>
      <c r="B1671" s="77" t="s">
        <v>494</v>
      </c>
      <c r="C1671" s="78">
        <v>0.0132</v>
      </c>
      <c r="D1671" s="78">
        <v>14.38</v>
      </c>
      <c r="E1671" s="78">
        <f t="shared" si="31"/>
        <v>0.18</v>
      </c>
    </row>
    <row r="1672" ht="25.5" spans="1:5">
      <c r="A1672" s="76" t="s">
        <v>2941</v>
      </c>
      <c r="B1672" s="77" t="s">
        <v>494</v>
      </c>
      <c r="C1672" s="78">
        <v>2</v>
      </c>
      <c r="D1672" s="78">
        <v>0.78</v>
      </c>
      <c r="E1672" s="78">
        <f t="shared" si="31"/>
        <v>1.56</v>
      </c>
    </row>
    <row r="1673" ht="25.5" spans="1:5">
      <c r="A1673" s="76" t="s">
        <v>2942</v>
      </c>
      <c r="B1673" s="77" t="s">
        <v>494</v>
      </c>
      <c r="C1673" s="78">
        <v>2</v>
      </c>
      <c r="D1673" s="78">
        <v>5.36</v>
      </c>
      <c r="E1673" s="78">
        <f t="shared" si="31"/>
        <v>10.72</v>
      </c>
    </row>
    <row r="1674" spans="1:5">
      <c r="A1674" s="76" t="s">
        <v>2943</v>
      </c>
      <c r="B1674" s="77" t="s">
        <v>494</v>
      </c>
      <c r="C1674" s="78">
        <v>0.1681</v>
      </c>
      <c r="D1674" s="78">
        <v>2.57</v>
      </c>
      <c r="E1674" s="78">
        <f t="shared" si="31"/>
        <v>0.43</v>
      </c>
    </row>
    <row r="1675" spans="1:5">
      <c r="A1675" s="76" t="s">
        <v>2944</v>
      </c>
      <c r="B1675" s="77" t="s">
        <v>494</v>
      </c>
      <c r="C1675" s="78">
        <v>1</v>
      </c>
      <c r="D1675" s="78">
        <v>38.45</v>
      </c>
      <c r="E1675" s="78">
        <f t="shared" si="31"/>
        <v>38.45</v>
      </c>
    </row>
    <row r="1676" ht="25.5" spans="1:5">
      <c r="A1676" s="76" t="s">
        <v>2945</v>
      </c>
      <c r="B1676" s="77" t="s">
        <v>494</v>
      </c>
      <c r="C1676" s="78">
        <v>0.091</v>
      </c>
      <c r="D1676" s="78">
        <v>82.55</v>
      </c>
      <c r="E1676" s="78">
        <f t="shared" si="31"/>
        <v>7.51</v>
      </c>
    </row>
    <row r="1677" spans="1:5">
      <c r="A1677" s="76" t="s">
        <v>2946</v>
      </c>
      <c r="B1677" s="77" t="s">
        <v>112</v>
      </c>
      <c r="C1677" s="78">
        <v>2.9905</v>
      </c>
      <c r="D1677" s="78">
        <v>4.46</v>
      </c>
      <c r="E1677" s="78">
        <f t="shared" si="31"/>
        <v>13.33</v>
      </c>
    </row>
    <row r="1678" spans="1:5">
      <c r="A1678" s="76" t="s">
        <v>2947</v>
      </c>
      <c r="B1678" s="77" t="s">
        <v>112</v>
      </c>
      <c r="C1678" s="78">
        <v>0.9444</v>
      </c>
      <c r="D1678" s="78">
        <v>16.58</v>
      </c>
      <c r="E1678" s="78">
        <f t="shared" si="31"/>
        <v>15.65</v>
      </c>
    </row>
    <row r="1679" ht="25.5" spans="1:5">
      <c r="A1679" s="76" t="s">
        <v>2847</v>
      </c>
      <c r="B1679" s="77" t="s">
        <v>839</v>
      </c>
      <c r="C1679" s="78">
        <v>1.5265</v>
      </c>
      <c r="D1679" s="78">
        <v>24.02</v>
      </c>
      <c r="E1679" s="78">
        <f t="shared" si="31"/>
        <v>36.66</v>
      </c>
    </row>
    <row r="1680" ht="25.5" spans="1:5">
      <c r="A1680" s="76" t="s">
        <v>2848</v>
      </c>
      <c r="B1680" s="77" t="s">
        <v>839</v>
      </c>
      <c r="C1680" s="78">
        <v>1.5265</v>
      </c>
      <c r="D1680" s="78">
        <v>30.62</v>
      </c>
      <c r="E1680" s="78">
        <f t="shared" si="31"/>
        <v>46.74</v>
      </c>
    </row>
    <row r="1681" spans="1:5">
      <c r="A1681" s="76" t="s">
        <v>122</v>
      </c>
      <c r="B1681" s="77"/>
      <c r="C1681" s="78"/>
      <c r="D1681" s="78"/>
      <c r="E1681" s="78">
        <f>SUM(E1668:E1680)</f>
        <v>183.01</v>
      </c>
    </row>
    <row r="1682" spans="1:5">
      <c r="A1682" s="76"/>
      <c r="B1682" s="77"/>
      <c r="C1682" s="78"/>
      <c r="D1682" s="78"/>
      <c r="E1682" s="78"/>
    </row>
    <row r="1683" spans="1:5">
      <c r="A1683" s="76" t="s">
        <v>2538</v>
      </c>
      <c r="B1683" s="77"/>
      <c r="C1683" s="78"/>
      <c r="D1683" s="78"/>
      <c r="E1683" s="78">
        <f>E1681</f>
        <v>183.01</v>
      </c>
    </row>
    <row r="1684" spans="1:5">
      <c r="A1684" s="76" t="s">
        <v>2539</v>
      </c>
      <c r="B1684" s="77"/>
      <c r="C1684" s="78"/>
      <c r="D1684" s="78">
        <v>0</v>
      </c>
      <c r="E1684" s="78">
        <f>TRUNC(D1684*E1683/100,2)</f>
        <v>0</v>
      </c>
    </row>
    <row r="1685" spans="1:5">
      <c r="A1685" s="76" t="s">
        <v>2540</v>
      </c>
      <c r="B1685" s="77"/>
      <c r="C1685" s="78"/>
      <c r="D1685" s="78"/>
      <c r="E1685" s="78">
        <f>E1683+E1684</f>
        <v>183.01</v>
      </c>
    </row>
    <row r="1686" spans="1:5">
      <c r="A1686" s="76"/>
      <c r="B1686" s="77"/>
      <c r="C1686" s="78"/>
      <c r="D1686" s="78"/>
      <c r="E1686" s="78"/>
    </row>
    <row r="1687" spans="1:5">
      <c r="A1687" s="76" t="s">
        <v>2948</v>
      </c>
      <c r="B1687" s="77" t="s">
        <v>577</v>
      </c>
      <c r="C1687" s="78"/>
      <c r="D1687" s="78"/>
      <c r="E1687" s="78"/>
    </row>
    <row r="1688" ht="25.5" spans="1:5">
      <c r="A1688" s="76" t="s">
        <v>2949</v>
      </c>
      <c r="B1688" s="77"/>
      <c r="C1688" s="78"/>
      <c r="D1688" s="78"/>
      <c r="E1688" s="78"/>
    </row>
    <row r="1689" spans="1:5">
      <c r="A1689" s="76" t="s">
        <v>2563</v>
      </c>
      <c r="B1689" s="77"/>
      <c r="C1689" s="78"/>
      <c r="D1689" s="78"/>
      <c r="E1689" s="78"/>
    </row>
    <row r="1690" spans="1:5">
      <c r="A1690" s="76"/>
      <c r="B1690" s="77"/>
      <c r="C1690" s="78"/>
      <c r="D1690" s="78"/>
      <c r="E1690" s="78"/>
    </row>
    <row r="1691" spans="1:5">
      <c r="A1691" s="76" t="s">
        <v>2543</v>
      </c>
      <c r="B1691" s="77" t="s">
        <v>135</v>
      </c>
      <c r="C1691" s="78" t="s">
        <v>136</v>
      </c>
      <c r="D1691" s="78" t="s">
        <v>2534</v>
      </c>
      <c r="E1691" s="78" t="s">
        <v>2535</v>
      </c>
    </row>
    <row r="1692" ht="25.5" spans="1:5">
      <c r="A1692" s="76" t="s">
        <v>2950</v>
      </c>
      <c r="B1692" s="77" t="s">
        <v>1348</v>
      </c>
      <c r="C1692" s="78">
        <v>4.15</v>
      </c>
      <c r="D1692" s="78">
        <v>1.99</v>
      </c>
      <c r="E1692" s="78">
        <f t="shared" ref="E1692:E1697" si="32">TRUNC(C1692*D1692,2)</f>
        <v>8.25</v>
      </c>
    </row>
    <row r="1693" ht="51" spans="1:5">
      <c r="A1693" s="76" t="s">
        <v>2951</v>
      </c>
      <c r="B1693" s="77" t="s">
        <v>466</v>
      </c>
      <c r="C1693" s="78">
        <v>1.146</v>
      </c>
      <c r="D1693" s="78">
        <v>167.85</v>
      </c>
      <c r="E1693" s="78">
        <f t="shared" si="32"/>
        <v>192.35</v>
      </c>
    </row>
    <row r="1694" spans="1:5">
      <c r="A1694" s="76" t="s">
        <v>2621</v>
      </c>
      <c r="B1694" s="77" t="s">
        <v>839</v>
      </c>
      <c r="C1694" s="78">
        <v>0.062</v>
      </c>
      <c r="D1694" s="78">
        <v>23.75</v>
      </c>
      <c r="E1694" s="78">
        <f t="shared" si="32"/>
        <v>1.47</v>
      </c>
    </row>
    <row r="1695" spans="1:5">
      <c r="A1695" s="76" t="s">
        <v>2952</v>
      </c>
      <c r="B1695" s="77" t="s">
        <v>839</v>
      </c>
      <c r="C1695" s="78">
        <v>0.056</v>
      </c>
      <c r="D1695" s="78">
        <v>30.62</v>
      </c>
      <c r="E1695" s="78">
        <f t="shared" si="32"/>
        <v>1.71</v>
      </c>
    </row>
    <row r="1696" ht="25.5" spans="1:5">
      <c r="A1696" s="76" t="s">
        <v>2953</v>
      </c>
      <c r="B1696" s="77" t="s">
        <v>977</v>
      </c>
      <c r="C1696" s="78">
        <v>0.0009</v>
      </c>
      <c r="D1696" s="78">
        <v>27.3</v>
      </c>
      <c r="E1696" s="78">
        <f t="shared" si="32"/>
        <v>0.02</v>
      </c>
    </row>
    <row r="1697" ht="25.5" spans="1:5">
      <c r="A1697" s="76" t="s">
        <v>2954</v>
      </c>
      <c r="B1697" s="77" t="s">
        <v>979</v>
      </c>
      <c r="C1697" s="78">
        <v>0.0012</v>
      </c>
      <c r="D1697" s="78">
        <v>26.48</v>
      </c>
      <c r="E1697" s="78">
        <f t="shared" si="32"/>
        <v>0.03</v>
      </c>
    </row>
    <row r="1698" spans="1:5">
      <c r="A1698" s="76" t="s">
        <v>122</v>
      </c>
      <c r="B1698" s="77"/>
      <c r="C1698" s="78"/>
      <c r="D1698" s="78"/>
      <c r="E1698" s="78">
        <f>SUM(E1692:E1697)</f>
        <v>203.83</v>
      </c>
    </row>
    <row r="1699" spans="1:5">
      <c r="A1699" s="76"/>
      <c r="B1699" s="77"/>
      <c r="C1699" s="78"/>
      <c r="D1699" s="78"/>
      <c r="E1699" s="78"/>
    </row>
    <row r="1700" spans="1:5">
      <c r="A1700" s="76" t="s">
        <v>2538</v>
      </c>
      <c r="B1700" s="77"/>
      <c r="C1700" s="78"/>
      <c r="D1700" s="78"/>
      <c r="E1700" s="78">
        <f>E1698</f>
        <v>203.83</v>
      </c>
    </row>
    <row r="1701" spans="1:5">
      <c r="A1701" s="76" t="s">
        <v>2539</v>
      </c>
      <c r="B1701" s="77"/>
      <c r="C1701" s="78"/>
      <c r="D1701" s="78">
        <v>0</v>
      </c>
      <c r="E1701" s="78">
        <f>TRUNC(D1701*E1700/100,2)</f>
        <v>0</v>
      </c>
    </row>
    <row r="1702" spans="1:5">
      <c r="A1702" s="76" t="s">
        <v>2540</v>
      </c>
      <c r="B1702" s="77"/>
      <c r="C1702" s="78"/>
      <c r="D1702" s="78"/>
      <c r="E1702" s="78">
        <f>E1700+E1701</f>
        <v>203.83</v>
      </c>
    </row>
    <row r="1703" spans="1:5">
      <c r="A1703" s="76"/>
      <c r="B1703" s="77"/>
      <c r="C1703" s="78"/>
      <c r="D1703" s="78"/>
      <c r="E1703" s="78"/>
    </row>
    <row r="1704" spans="1:5">
      <c r="A1704" s="76" t="s">
        <v>2955</v>
      </c>
      <c r="B1704" s="77" t="s">
        <v>572</v>
      </c>
      <c r="C1704" s="78"/>
      <c r="D1704" s="78"/>
      <c r="E1704" s="78"/>
    </row>
    <row r="1705" ht="38.25" spans="1:5">
      <c r="A1705" s="76" t="s">
        <v>2956</v>
      </c>
      <c r="B1705" s="77"/>
      <c r="C1705" s="78"/>
      <c r="D1705" s="78"/>
      <c r="E1705" s="78"/>
    </row>
    <row r="1706" spans="1:5">
      <c r="A1706" s="76" t="s">
        <v>2563</v>
      </c>
      <c r="B1706" s="77"/>
      <c r="C1706" s="78"/>
      <c r="D1706" s="78"/>
      <c r="E1706" s="78"/>
    </row>
    <row r="1707" spans="1:5">
      <c r="A1707" s="76"/>
      <c r="B1707" s="77"/>
      <c r="C1707" s="78"/>
      <c r="D1707" s="78"/>
      <c r="E1707" s="78"/>
    </row>
    <row r="1708" spans="1:5">
      <c r="A1708" s="76" t="s">
        <v>2543</v>
      </c>
      <c r="B1708" s="77" t="s">
        <v>135</v>
      </c>
      <c r="C1708" s="78" t="s">
        <v>136</v>
      </c>
      <c r="D1708" s="78" t="s">
        <v>2534</v>
      </c>
      <c r="E1708" s="78" t="s">
        <v>2535</v>
      </c>
    </row>
    <row r="1709" ht="25.5" spans="1:5">
      <c r="A1709" s="76" t="s">
        <v>2957</v>
      </c>
      <c r="B1709" s="77" t="s">
        <v>1536</v>
      </c>
      <c r="C1709" s="78">
        <v>0.007</v>
      </c>
      <c r="D1709" s="78">
        <v>214.19</v>
      </c>
      <c r="E1709" s="78">
        <f t="shared" ref="E1709:E1714" si="33">TRUNC(C1709*D1709,2)</f>
        <v>1.49</v>
      </c>
    </row>
    <row r="1710" ht="25.5" spans="1:5">
      <c r="A1710" s="76" t="s">
        <v>2958</v>
      </c>
      <c r="B1710" s="77" t="s">
        <v>463</v>
      </c>
      <c r="C1710" s="78">
        <v>4.333</v>
      </c>
      <c r="D1710" s="78">
        <v>8.66</v>
      </c>
      <c r="E1710" s="78">
        <f t="shared" si="33"/>
        <v>37.52</v>
      </c>
    </row>
    <row r="1711" spans="1:5">
      <c r="A1711" s="76" t="s">
        <v>2621</v>
      </c>
      <c r="B1711" s="77" t="s">
        <v>839</v>
      </c>
      <c r="C1711" s="78">
        <v>0.106</v>
      </c>
      <c r="D1711" s="78">
        <v>23.75</v>
      </c>
      <c r="E1711" s="78">
        <f t="shared" si="33"/>
        <v>2.51</v>
      </c>
    </row>
    <row r="1712" ht="25.5" spans="1:5">
      <c r="A1712" s="76" t="s">
        <v>2959</v>
      </c>
      <c r="B1712" s="77" t="s">
        <v>839</v>
      </c>
      <c r="C1712" s="78">
        <v>0.213</v>
      </c>
      <c r="D1712" s="78">
        <v>25.64</v>
      </c>
      <c r="E1712" s="78">
        <f t="shared" si="33"/>
        <v>5.46</v>
      </c>
    </row>
    <row r="1713" ht="25.5" spans="1:5">
      <c r="A1713" s="76" t="s">
        <v>2953</v>
      </c>
      <c r="B1713" s="77" t="s">
        <v>977</v>
      </c>
      <c r="C1713" s="78">
        <v>0.0068</v>
      </c>
      <c r="D1713" s="78">
        <v>27.3</v>
      </c>
      <c r="E1713" s="78">
        <f t="shared" si="33"/>
        <v>0.18</v>
      </c>
    </row>
    <row r="1714" ht="25.5" spans="1:5">
      <c r="A1714" s="76" t="s">
        <v>2954</v>
      </c>
      <c r="B1714" s="77" t="s">
        <v>979</v>
      </c>
      <c r="C1714" s="78">
        <v>0.0094</v>
      </c>
      <c r="D1714" s="78">
        <v>26.48</v>
      </c>
      <c r="E1714" s="78">
        <f t="shared" si="33"/>
        <v>0.24</v>
      </c>
    </row>
    <row r="1715" spans="1:5">
      <c r="A1715" s="76" t="s">
        <v>122</v>
      </c>
      <c r="B1715" s="77"/>
      <c r="C1715" s="78"/>
      <c r="D1715" s="78"/>
      <c r="E1715" s="78">
        <f>SUM(E1709:E1714)</f>
        <v>47.4</v>
      </c>
    </row>
    <row r="1716" spans="1:5">
      <c r="A1716" s="76"/>
      <c r="B1716" s="77"/>
      <c r="C1716" s="78"/>
      <c r="D1716" s="78"/>
      <c r="E1716" s="78"/>
    </row>
    <row r="1717" spans="1:5">
      <c r="A1717" s="76" t="s">
        <v>2538</v>
      </c>
      <c r="B1717" s="77"/>
      <c r="C1717" s="78"/>
      <c r="D1717" s="78"/>
      <c r="E1717" s="78">
        <f>E1715</f>
        <v>47.4</v>
      </c>
    </row>
    <row r="1718" spans="1:5">
      <c r="A1718" s="76" t="s">
        <v>2539</v>
      </c>
      <c r="B1718" s="77"/>
      <c r="C1718" s="78"/>
      <c r="D1718" s="78">
        <v>0</v>
      </c>
      <c r="E1718" s="78">
        <f>TRUNC(D1718*E1717/100,2)</f>
        <v>0</v>
      </c>
    </row>
    <row r="1719" spans="1:5">
      <c r="A1719" s="76" t="s">
        <v>2540</v>
      </c>
      <c r="B1719" s="77"/>
      <c r="C1719" s="78"/>
      <c r="D1719" s="78"/>
      <c r="E1719" s="78">
        <f>E1717+E1718</f>
        <v>47.4</v>
      </c>
    </row>
    <row r="1720" spans="1:5">
      <c r="A1720" s="76"/>
      <c r="B1720" s="77"/>
      <c r="C1720" s="78"/>
      <c r="D1720" s="78"/>
      <c r="E1720" s="78"/>
    </row>
    <row r="1721" spans="1:5">
      <c r="A1721" s="76" t="s">
        <v>2960</v>
      </c>
      <c r="B1721" s="77" t="s">
        <v>908</v>
      </c>
      <c r="C1721" s="78"/>
      <c r="D1721" s="78"/>
      <c r="E1721" s="78"/>
    </row>
    <row r="1722" ht="38.25" spans="1:5">
      <c r="A1722" s="76" t="s">
        <v>2961</v>
      </c>
      <c r="B1722" s="77"/>
      <c r="C1722" s="78"/>
      <c r="D1722" s="78"/>
      <c r="E1722" s="78"/>
    </row>
    <row r="1723" spans="1:5">
      <c r="A1723" s="76" t="s">
        <v>2563</v>
      </c>
      <c r="B1723" s="77"/>
      <c r="C1723" s="78"/>
      <c r="D1723" s="78"/>
      <c r="E1723" s="78"/>
    </row>
    <row r="1724" spans="1:5">
      <c r="A1724" s="76"/>
      <c r="B1724" s="77"/>
      <c r="C1724" s="78"/>
      <c r="D1724" s="78"/>
      <c r="E1724" s="78"/>
    </row>
    <row r="1725" spans="1:5">
      <c r="A1725" s="76" t="s">
        <v>2543</v>
      </c>
      <c r="B1725" s="77" t="s">
        <v>135</v>
      </c>
      <c r="C1725" s="78" t="s">
        <v>136</v>
      </c>
      <c r="D1725" s="78" t="s">
        <v>2534</v>
      </c>
      <c r="E1725" s="78" t="s">
        <v>2535</v>
      </c>
    </row>
    <row r="1726" spans="1:5">
      <c r="A1726" s="76" t="s">
        <v>2621</v>
      </c>
      <c r="B1726" s="77" t="s">
        <v>839</v>
      </c>
      <c r="C1726" s="78">
        <v>0.187</v>
      </c>
      <c r="D1726" s="78">
        <v>23.75</v>
      </c>
      <c r="E1726" s="78">
        <f>TRUNC(C1726*D1726,2)</f>
        <v>4.44</v>
      </c>
    </row>
    <row r="1727" spans="1:5">
      <c r="A1727" s="76" t="s">
        <v>2630</v>
      </c>
      <c r="B1727" s="77" t="s">
        <v>839</v>
      </c>
      <c r="C1727" s="78">
        <v>0.374</v>
      </c>
      <c r="D1727" s="78">
        <v>31.34</v>
      </c>
      <c r="E1727" s="78">
        <f>TRUNC(C1727*D1727,2)</f>
        <v>11.72</v>
      </c>
    </row>
    <row r="1728" ht="38.25" spans="1:5">
      <c r="A1728" s="76" t="s">
        <v>2962</v>
      </c>
      <c r="B1728" s="77" t="s">
        <v>476</v>
      </c>
      <c r="C1728" s="78">
        <v>0.0304</v>
      </c>
      <c r="D1728" s="78">
        <v>746.31</v>
      </c>
      <c r="E1728" s="78">
        <f>TRUNC(C1728*D1728,2)</f>
        <v>22.68</v>
      </c>
    </row>
    <row r="1729" spans="1:5">
      <c r="A1729" s="76" t="s">
        <v>122</v>
      </c>
      <c r="B1729" s="77"/>
      <c r="C1729" s="78"/>
      <c r="D1729" s="78"/>
      <c r="E1729" s="78">
        <f>SUM(E1726:E1728)</f>
        <v>38.84</v>
      </c>
    </row>
    <row r="1730" spans="1:5">
      <c r="A1730" s="76"/>
      <c r="B1730" s="77"/>
      <c r="C1730" s="78"/>
      <c r="D1730" s="78"/>
      <c r="E1730" s="78"/>
    </row>
    <row r="1731" spans="1:5">
      <c r="A1731" s="76" t="s">
        <v>2538</v>
      </c>
      <c r="B1731" s="77"/>
      <c r="C1731" s="78"/>
      <c r="D1731" s="78"/>
      <c r="E1731" s="78">
        <f>E1729</f>
        <v>38.84</v>
      </c>
    </row>
    <row r="1732" spans="1:5">
      <c r="A1732" s="76" t="s">
        <v>2539</v>
      </c>
      <c r="B1732" s="77"/>
      <c r="C1732" s="78"/>
      <c r="D1732" s="78">
        <v>0</v>
      </c>
      <c r="E1732" s="78">
        <f>TRUNC(D1732*E1731/100,2)</f>
        <v>0</v>
      </c>
    </row>
    <row r="1733" spans="1:5">
      <c r="A1733" s="76" t="s">
        <v>2540</v>
      </c>
      <c r="B1733" s="77"/>
      <c r="C1733" s="78"/>
      <c r="D1733" s="78"/>
      <c r="E1733" s="78">
        <f>E1731+E1732</f>
        <v>38.84</v>
      </c>
    </row>
    <row r="1734" spans="1:5">
      <c r="A1734" s="76"/>
      <c r="B1734" s="77"/>
      <c r="C1734" s="78"/>
      <c r="D1734" s="78"/>
      <c r="E1734" s="78"/>
    </row>
    <row r="1735" spans="1:5">
      <c r="A1735" s="76" t="s">
        <v>2963</v>
      </c>
      <c r="B1735" s="77" t="s">
        <v>910</v>
      </c>
      <c r="C1735" s="78"/>
      <c r="D1735" s="78"/>
      <c r="E1735" s="78"/>
    </row>
    <row r="1736" ht="25.5" spans="1:5">
      <c r="A1736" s="76" t="s">
        <v>2964</v>
      </c>
      <c r="B1736" s="77"/>
      <c r="C1736" s="78"/>
      <c r="D1736" s="78"/>
      <c r="E1736" s="78"/>
    </row>
    <row r="1737" spans="1:5">
      <c r="A1737" s="76" t="s">
        <v>2563</v>
      </c>
      <c r="B1737" s="77"/>
      <c r="C1737" s="78"/>
      <c r="D1737" s="78"/>
      <c r="E1737" s="78"/>
    </row>
    <row r="1738" spans="1:5">
      <c r="A1738" s="76"/>
      <c r="B1738" s="77"/>
      <c r="C1738" s="78"/>
      <c r="D1738" s="78"/>
      <c r="E1738" s="78"/>
    </row>
    <row r="1739" spans="1:5">
      <c r="A1739" s="76" t="s">
        <v>2543</v>
      </c>
      <c r="B1739" s="77" t="s">
        <v>135</v>
      </c>
      <c r="C1739" s="78" t="s">
        <v>136</v>
      </c>
      <c r="D1739" s="78" t="s">
        <v>2534</v>
      </c>
      <c r="E1739" s="78" t="s">
        <v>2535</v>
      </c>
    </row>
    <row r="1740" ht="38.25" spans="1:5">
      <c r="A1740" s="76" t="s">
        <v>2965</v>
      </c>
      <c r="B1740" s="77" t="s">
        <v>463</v>
      </c>
      <c r="C1740" s="78">
        <v>1.5</v>
      </c>
      <c r="D1740" s="78">
        <v>18.49</v>
      </c>
      <c r="E1740" s="78">
        <f>TRUNC(C1740*D1740,2)</f>
        <v>27.73</v>
      </c>
    </row>
    <row r="1741" spans="1:5">
      <c r="A1741" s="76" t="s">
        <v>2566</v>
      </c>
      <c r="B1741" s="77" t="s">
        <v>839</v>
      </c>
      <c r="C1741" s="78">
        <v>0.0969</v>
      </c>
      <c r="D1741" s="78">
        <v>24.4</v>
      </c>
      <c r="E1741" s="78">
        <f>TRUNC(C1741*D1741,2)</f>
        <v>2.36</v>
      </c>
    </row>
    <row r="1742" spans="1:5">
      <c r="A1742" s="76" t="s">
        <v>2966</v>
      </c>
      <c r="B1742" s="77" t="s">
        <v>839</v>
      </c>
      <c r="C1742" s="78">
        <v>0.4299</v>
      </c>
      <c r="D1742" s="78">
        <v>31.34</v>
      </c>
      <c r="E1742" s="78">
        <f>TRUNC(C1742*D1742,2)</f>
        <v>13.47</v>
      </c>
    </row>
    <row r="1743" spans="1:5">
      <c r="A1743" s="76" t="s">
        <v>122</v>
      </c>
      <c r="B1743" s="77"/>
      <c r="C1743" s="78"/>
      <c r="D1743" s="78"/>
      <c r="E1743" s="78">
        <f>SUM(E1740:E1742)</f>
        <v>43.56</v>
      </c>
    </row>
    <row r="1744" spans="1:5">
      <c r="A1744" s="76"/>
      <c r="B1744" s="77"/>
      <c r="C1744" s="78"/>
      <c r="D1744" s="78"/>
      <c r="E1744" s="78"/>
    </row>
    <row r="1745" spans="1:5">
      <c r="A1745" s="76" t="s">
        <v>2538</v>
      </c>
      <c r="B1745" s="77"/>
      <c r="C1745" s="78"/>
      <c r="D1745" s="78"/>
      <c r="E1745" s="78">
        <f>E1743</f>
        <v>43.56</v>
      </c>
    </row>
    <row r="1746" spans="1:5">
      <c r="A1746" s="76" t="s">
        <v>2539</v>
      </c>
      <c r="B1746" s="77"/>
      <c r="C1746" s="78"/>
      <c r="D1746" s="78">
        <v>0</v>
      </c>
      <c r="E1746" s="78">
        <f>TRUNC(D1746*E1745/100,2)</f>
        <v>0</v>
      </c>
    </row>
    <row r="1747" spans="1:5">
      <c r="A1747" s="76" t="s">
        <v>2540</v>
      </c>
      <c r="B1747" s="77"/>
      <c r="C1747" s="78"/>
      <c r="D1747" s="78"/>
      <c r="E1747" s="78">
        <f>E1745+E1746</f>
        <v>43.56</v>
      </c>
    </row>
    <row r="1748" spans="1:5">
      <c r="A1748" s="76"/>
      <c r="B1748" s="77"/>
      <c r="C1748" s="78"/>
      <c r="D1748" s="78"/>
      <c r="E1748" s="78"/>
    </row>
    <row r="1749" spans="1:5">
      <c r="A1749" s="76" t="s">
        <v>2967</v>
      </c>
      <c r="B1749" s="77" t="s">
        <v>913</v>
      </c>
      <c r="C1749" s="78"/>
      <c r="D1749" s="78"/>
      <c r="E1749" s="78"/>
    </row>
    <row r="1750" ht="38.25" spans="1:5">
      <c r="A1750" s="76" t="s">
        <v>2968</v>
      </c>
      <c r="B1750" s="77"/>
      <c r="C1750" s="78"/>
      <c r="D1750" s="78"/>
      <c r="E1750" s="78"/>
    </row>
    <row r="1751" spans="1:5">
      <c r="A1751" s="76" t="s">
        <v>2552</v>
      </c>
      <c r="B1751" s="77"/>
      <c r="C1751" s="78"/>
      <c r="D1751" s="78"/>
      <c r="E1751" s="78"/>
    </row>
    <row r="1752" spans="1:5">
      <c r="A1752" s="76"/>
      <c r="B1752" s="77"/>
      <c r="C1752" s="78"/>
      <c r="D1752" s="78"/>
      <c r="E1752" s="78"/>
    </row>
    <row r="1753" spans="1:5">
      <c r="A1753" s="76" t="s">
        <v>2543</v>
      </c>
      <c r="B1753" s="77" t="s">
        <v>135</v>
      </c>
      <c r="C1753" s="78" t="s">
        <v>136</v>
      </c>
      <c r="D1753" s="78" t="s">
        <v>2534</v>
      </c>
      <c r="E1753" s="78" t="s">
        <v>2535</v>
      </c>
    </row>
    <row r="1754" ht="25.5" spans="1:5">
      <c r="A1754" s="76" t="s">
        <v>2969</v>
      </c>
      <c r="B1754" s="77" t="s">
        <v>494</v>
      </c>
      <c r="C1754" s="78">
        <v>3</v>
      </c>
      <c r="D1754" s="78">
        <v>754.92</v>
      </c>
      <c r="E1754" s="78">
        <f t="shared" ref="E1754:E1764" si="34">TRUNC(C1754*D1754,2)</f>
        <v>2264.76</v>
      </c>
    </row>
    <row r="1755" ht="25.5" spans="1:5">
      <c r="A1755" s="76" t="s">
        <v>2970</v>
      </c>
      <c r="B1755" s="77" t="s">
        <v>494</v>
      </c>
      <c r="C1755" s="78">
        <v>1</v>
      </c>
      <c r="D1755" s="78">
        <v>131.36</v>
      </c>
      <c r="E1755" s="78">
        <f t="shared" si="34"/>
        <v>131.36</v>
      </c>
    </row>
    <row r="1756" ht="25.5" spans="1:5">
      <c r="A1756" s="76" t="s">
        <v>2971</v>
      </c>
      <c r="B1756" s="77" t="s">
        <v>476</v>
      </c>
      <c r="C1756" s="78">
        <v>2.1375</v>
      </c>
      <c r="D1756" s="78">
        <v>227.89</v>
      </c>
      <c r="E1756" s="78">
        <f t="shared" si="34"/>
        <v>487.11</v>
      </c>
    </row>
    <row r="1757" spans="1:5">
      <c r="A1757" s="76" t="s">
        <v>2621</v>
      </c>
      <c r="B1757" s="77" t="s">
        <v>839</v>
      </c>
      <c r="C1757" s="78">
        <v>1.5657</v>
      </c>
      <c r="D1757" s="78">
        <v>23.75</v>
      </c>
      <c r="E1757" s="78">
        <f t="shared" si="34"/>
        <v>37.18</v>
      </c>
    </row>
    <row r="1758" spans="1:5">
      <c r="A1758" s="76" t="s">
        <v>2630</v>
      </c>
      <c r="B1758" s="77" t="s">
        <v>839</v>
      </c>
      <c r="C1758" s="78">
        <v>1.9927</v>
      </c>
      <c r="D1758" s="78">
        <v>31.34</v>
      </c>
      <c r="E1758" s="78">
        <f t="shared" si="34"/>
        <v>62.45</v>
      </c>
    </row>
    <row r="1759" ht="51" spans="1:5">
      <c r="A1759" s="76" t="s">
        <v>2720</v>
      </c>
      <c r="B1759" s="77" t="s">
        <v>977</v>
      </c>
      <c r="C1759" s="78">
        <v>0.8011</v>
      </c>
      <c r="D1759" s="78">
        <v>146.19</v>
      </c>
      <c r="E1759" s="78">
        <f t="shared" si="34"/>
        <v>117.11</v>
      </c>
    </row>
    <row r="1760" ht="51" spans="1:5">
      <c r="A1760" s="76" t="s">
        <v>2721</v>
      </c>
      <c r="B1760" s="77" t="s">
        <v>979</v>
      </c>
      <c r="C1760" s="78">
        <v>1.6325</v>
      </c>
      <c r="D1760" s="78">
        <v>62.96</v>
      </c>
      <c r="E1760" s="78">
        <f t="shared" si="34"/>
        <v>102.78</v>
      </c>
    </row>
    <row r="1761" ht="25.5" spans="1:5">
      <c r="A1761" s="76" t="s">
        <v>2793</v>
      </c>
      <c r="B1761" s="77" t="s">
        <v>476</v>
      </c>
      <c r="C1761" s="78">
        <v>0.0616</v>
      </c>
      <c r="D1761" s="78">
        <v>625</v>
      </c>
      <c r="E1761" s="78">
        <f t="shared" si="34"/>
        <v>38.5</v>
      </c>
    </row>
    <row r="1762" ht="25.5" spans="1:5">
      <c r="A1762" s="76" t="s">
        <v>2972</v>
      </c>
      <c r="B1762" s="77" t="s">
        <v>476</v>
      </c>
      <c r="C1762" s="78">
        <v>0.0154</v>
      </c>
      <c r="D1762" s="78">
        <v>4049.77</v>
      </c>
      <c r="E1762" s="78">
        <f t="shared" si="34"/>
        <v>62.36</v>
      </c>
    </row>
    <row r="1763" ht="25.5" spans="1:5">
      <c r="A1763" s="76" t="s">
        <v>2973</v>
      </c>
      <c r="B1763" s="77" t="s">
        <v>476</v>
      </c>
      <c r="C1763" s="78">
        <v>0.3486</v>
      </c>
      <c r="D1763" s="78">
        <v>2132.4</v>
      </c>
      <c r="E1763" s="78">
        <f t="shared" si="34"/>
        <v>743.35</v>
      </c>
    </row>
    <row r="1764" ht="25.5" spans="1:5">
      <c r="A1764" s="76" t="s">
        <v>2974</v>
      </c>
      <c r="B1764" s="77" t="s">
        <v>476</v>
      </c>
      <c r="C1764" s="78">
        <v>0.3733</v>
      </c>
      <c r="D1764" s="78">
        <v>327.48</v>
      </c>
      <c r="E1764" s="78">
        <f t="shared" si="34"/>
        <v>122.24</v>
      </c>
    </row>
    <row r="1765" spans="1:5">
      <c r="A1765" s="76" t="s">
        <v>122</v>
      </c>
      <c r="B1765" s="77"/>
      <c r="C1765" s="78"/>
      <c r="D1765" s="78"/>
      <c r="E1765" s="78">
        <f>SUM(E1754:E1764)</f>
        <v>4169.2</v>
      </c>
    </row>
    <row r="1766" spans="1:5">
      <c r="A1766" s="76"/>
      <c r="B1766" s="77"/>
      <c r="C1766" s="78"/>
      <c r="D1766" s="78"/>
      <c r="E1766" s="78"/>
    </row>
    <row r="1767" spans="1:5">
      <c r="A1767" s="76" t="s">
        <v>2538</v>
      </c>
      <c r="B1767" s="77"/>
      <c r="C1767" s="78"/>
      <c r="D1767" s="78"/>
      <c r="E1767" s="78">
        <f>E1765</f>
        <v>4169.2</v>
      </c>
    </row>
    <row r="1768" spans="1:5">
      <c r="A1768" s="76" t="s">
        <v>2539</v>
      </c>
      <c r="B1768" s="77"/>
      <c r="C1768" s="78"/>
      <c r="D1768" s="78">
        <v>0</v>
      </c>
      <c r="E1768" s="78">
        <f>TRUNC(D1768*E1767/100,2)</f>
        <v>0</v>
      </c>
    </row>
    <row r="1769" spans="1:5">
      <c r="A1769" s="76" t="s">
        <v>2540</v>
      </c>
      <c r="B1769" s="77"/>
      <c r="C1769" s="78"/>
      <c r="D1769" s="78"/>
      <c r="E1769" s="78">
        <f>E1767+E1768</f>
        <v>4169.2</v>
      </c>
    </row>
    <row r="1770" spans="1:5">
      <c r="A1770" s="76"/>
      <c r="B1770" s="77"/>
      <c r="C1770" s="78"/>
      <c r="D1770" s="78"/>
      <c r="E1770" s="78"/>
    </row>
    <row r="1771" spans="1:5">
      <c r="A1771" s="76" t="s">
        <v>2975</v>
      </c>
      <c r="B1771" s="77" t="s">
        <v>560</v>
      </c>
      <c r="C1771" s="78"/>
      <c r="D1771" s="78"/>
      <c r="E1771" s="78"/>
    </row>
    <row r="1772" ht="38.25" spans="1:5">
      <c r="A1772" s="76" t="s">
        <v>2976</v>
      </c>
      <c r="B1772" s="77"/>
      <c r="C1772" s="78"/>
      <c r="D1772" s="78"/>
      <c r="E1772" s="78"/>
    </row>
    <row r="1773" spans="1:5">
      <c r="A1773" s="76" t="s">
        <v>2552</v>
      </c>
      <c r="B1773" s="77"/>
      <c r="C1773" s="78"/>
      <c r="D1773" s="78"/>
      <c r="E1773" s="78"/>
    </row>
    <row r="1774" spans="1:5">
      <c r="A1774" s="76"/>
      <c r="B1774" s="77"/>
      <c r="C1774" s="78"/>
      <c r="D1774" s="78"/>
      <c r="E1774" s="78"/>
    </row>
    <row r="1775" spans="1:5">
      <c r="A1775" s="76" t="s">
        <v>2543</v>
      </c>
      <c r="B1775" s="77" t="s">
        <v>135</v>
      </c>
      <c r="C1775" s="78" t="s">
        <v>136</v>
      </c>
      <c r="D1775" s="78" t="s">
        <v>2534</v>
      </c>
      <c r="E1775" s="78" t="s">
        <v>2535</v>
      </c>
    </row>
    <row r="1776" ht="25.5" spans="1:5">
      <c r="A1776" s="76" t="s">
        <v>2977</v>
      </c>
      <c r="B1776" s="77" t="s">
        <v>494</v>
      </c>
      <c r="C1776" s="78">
        <v>6</v>
      </c>
      <c r="D1776" s="78">
        <v>993.71</v>
      </c>
      <c r="E1776" s="78">
        <f t="shared" ref="E1776:E1784" si="35">TRUNC(C1776*D1776,2)</f>
        <v>5962.26</v>
      </c>
    </row>
    <row r="1777" spans="1:5">
      <c r="A1777" s="76" t="s">
        <v>2621</v>
      </c>
      <c r="B1777" s="77" t="s">
        <v>839</v>
      </c>
      <c r="C1777" s="78">
        <v>1.596</v>
      </c>
      <c r="D1777" s="78">
        <v>23.75</v>
      </c>
      <c r="E1777" s="78">
        <f t="shared" si="35"/>
        <v>37.9</v>
      </c>
    </row>
    <row r="1778" spans="1:5">
      <c r="A1778" s="76" t="s">
        <v>2630</v>
      </c>
      <c r="B1778" s="77" t="s">
        <v>839</v>
      </c>
      <c r="C1778" s="78">
        <v>2.0313</v>
      </c>
      <c r="D1778" s="78">
        <v>31.34</v>
      </c>
      <c r="E1778" s="78">
        <f t="shared" si="35"/>
        <v>63.66</v>
      </c>
    </row>
    <row r="1779" ht="51" spans="1:5">
      <c r="A1779" s="76" t="s">
        <v>2720</v>
      </c>
      <c r="B1779" s="77" t="s">
        <v>977</v>
      </c>
      <c r="C1779" s="78">
        <v>0.8376</v>
      </c>
      <c r="D1779" s="78">
        <v>146.19</v>
      </c>
      <c r="E1779" s="78">
        <f t="shared" si="35"/>
        <v>122.44</v>
      </c>
    </row>
    <row r="1780" ht="51" spans="1:5">
      <c r="A1780" s="76" t="s">
        <v>2721</v>
      </c>
      <c r="B1780" s="77" t="s">
        <v>979</v>
      </c>
      <c r="C1780" s="78">
        <v>1.7069</v>
      </c>
      <c r="D1780" s="78">
        <v>62.96</v>
      </c>
      <c r="E1780" s="78">
        <f t="shared" si="35"/>
        <v>107.46</v>
      </c>
    </row>
    <row r="1781" ht="38.25" spans="1:5">
      <c r="A1781" s="76" t="s">
        <v>2978</v>
      </c>
      <c r="B1781" s="77" t="s">
        <v>476</v>
      </c>
      <c r="C1781" s="78">
        <v>0.0223</v>
      </c>
      <c r="D1781" s="78">
        <v>782.16</v>
      </c>
      <c r="E1781" s="78">
        <f t="shared" si="35"/>
        <v>17.44</v>
      </c>
    </row>
    <row r="1782" ht="25.5" spans="1:5">
      <c r="A1782" s="76" t="s">
        <v>2972</v>
      </c>
      <c r="B1782" s="77" t="s">
        <v>476</v>
      </c>
      <c r="C1782" s="78">
        <v>0.0154</v>
      </c>
      <c r="D1782" s="78">
        <v>4049.77</v>
      </c>
      <c r="E1782" s="78">
        <f t="shared" si="35"/>
        <v>62.36</v>
      </c>
    </row>
    <row r="1783" ht="25.5" spans="1:5">
      <c r="A1783" s="76" t="s">
        <v>2973</v>
      </c>
      <c r="B1783" s="77" t="s">
        <v>476</v>
      </c>
      <c r="C1783" s="78">
        <v>0.548</v>
      </c>
      <c r="D1783" s="78">
        <v>2132.4</v>
      </c>
      <c r="E1783" s="78">
        <f t="shared" si="35"/>
        <v>1168.55</v>
      </c>
    </row>
    <row r="1784" ht="25.5" spans="1:5">
      <c r="A1784" s="76" t="s">
        <v>2974</v>
      </c>
      <c r="B1784" s="77" t="s">
        <v>476</v>
      </c>
      <c r="C1784" s="78">
        <v>0.7942</v>
      </c>
      <c r="D1784" s="78">
        <v>327.48</v>
      </c>
      <c r="E1784" s="78">
        <f t="shared" si="35"/>
        <v>260.08</v>
      </c>
    </row>
    <row r="1785" spans="1:5">
      <c r="A1785" s="76" t="s">
        <v>122</v>
      </c>
      <c r="B1785" s="77"/>
      <c r="C1785" s="78"/>
      <c r="D1785" s="78"/>
      <c r="E1785" s="78">
        <f>SUM(E1776:E1784)</f>
        <v>7802.15</v>
      </c>
    </row>
    <row r="1786" spans="1:5">
      <c r="A1786" s="76"/>
      <c r="B1786" s="77"/>
      <c r="C1786" s="78"/>
      <c r="D1786" s="78"/>
      <c r="E1786" s="78"/>
    </row>
    <row r="1787" spans="1:5">
      <c r="A1787" s="76" t="s">
        <v>2538</v>
      </c>
      <c r="B1787" s="77"/>
      <c r="C1787" s="78"/>
      <c r="D1787" s="78"/>
      <c r="E1787" s="78">
        <f>E1785</f>
        <v>7802.15</v>
      </c>
    </row>
    <row r="1788" spans="1:5">
      <c r="A1788" s="76" t="s">
        <v>2539</v>
      </c>
      <c r="B1788" s="77"/>
      <c r="C1788" s="78"/>
      <c r="D1788" s="78">
        <v>0</v>
      </c>
      <c r="E1788" s="78">
        <f>TRUNC(D1788*E1787/100,2)</f>
        <v>0</v>
      </c>
    </row>
    <row r="1789" spans="1:5">
      <c r="A1789" s="76" t="s">
        <v>2540</v>
      </c>
      <c r="B1789" s="77"/>
      <c r="C1789" s="78"/>
      <c r="D1789" s="78"/>
      <c r="E1789" s="78">
        <f>E1787+E1788</f>
        <v>7802.15</v>
      </c>
    </row>
    <row r="1790" spans="1:5">
      <c r="A1790" s="76"/>
      <c r="B1790" s="77"/>
      <c r="C1790" s="78"/>
      <c r="D1790" s="78"/>
      <c r="E1790" s="78"/>
    </row>
    <row r="1791" spans="1:5">
      <c r="A1791" s="76" t="s">
        <v>2979</v>
      </c>
      <c r="B1791" s="77" t="s">
        <v>916</v>
      </c>
      <c r="C1791" s="78"/>
      <c r="D1791" s="78"/>
      <c r="E1791" s="78"/>
    </row>
    <row r="1792" ht="25.5" spans="1:5">
      <c r="A1792" s="76" t="s">
        <v>2980</v>
      </c>
      <c r="B1792" s="77"/>
      <c r="C1792" s="78"/>
      <c r="D1792" s="78"/>
      <c r="E1792" s="78"/>
    </row>
    <row r="1793" spans="1:5">
      <c r="A1793" s="76" t="s">
        <v>2591</v>
      </c>
      <c r="B1793" s="77"/>
      <c r="C1793" s="78"/>
      <c r="D1793" s="78"/>
      <c r="E1793" s="78"/>
    </row>
    <row r="1794" spans="1:5">
      <c r="A1794" s="76"/>
      <c r="B1794" s="77"/>
      <c r="C1794" s="78"/>
      <c r="D1794" s="78"/>
      <c r="E1794" s="78"/>
    </row>
    <row r="1795" spans="1:5">
      <c r="A1795" s="76" t="s">
        <v>2543</v>
      </c>
      <c r="B1795" s="77" t="s">
        <v>135</v>
      </c>
      <c r="C1795" s="78" t="s">
        <v>136</v>
      </c>
      <c r="D1795" s="78" t="s">
        <v>2534</v>
      </c>
      <c r="E1795" s="78" t="s">
        <v>2535</v>
      </c>
    </row>
    <row r="1796" spans="1:5">
      <c r="A1796" s="76" t="s">
        <v>2943</v>
      </c>
      <c r="B1796" s="77" t="s">
        <v>494</v>
      </c>
      <c r="C1796" s="78">
        <v>0.0312</v>
      </c>
      <c r="D1796" s="78">
        <v>2.57</v>
      </c>
      <c r="E1796" s="78">
        <f>TRUNC(C1796*D1796,2)</f>
        <v>0.08</v>
      </c>
    </row>
    <row r="1797" spans="1:5">
      <c r="A1797" s="76" t="s">
        <v>2947</v>
      </c>
      <c r="B1797" s="77" t="s">
        <v>112</v>
      </c>
      <c r="C1797" s="78">
        <v>1.0493</v>
      </c>
      <c r="D1797" s="78">
        <v>16.58</v>
      </c>
      <c r="E1797" s="78">
        <f>TRUNC(C1797*D1797,2)</f>
        <v>17.39</v>
      </c>
    </row>
    <row r="1798" ht="25.5" spans="1:5">
      <c r="A1798" s="76" t="s">
        <v>2847</v>
      </c>
      <c r="B1798" s="77" t="s">
        <v>839</v>
      </c>
      <c r="C1798" s="78">
        <v>0.2677</v>
      </c>
      <c r="D1798" s="78">
        <v>24.02</v>
      </c>
      <c r="E1798" s="78">
        <f>TRUNC(C1798*D1798,2)</f>
        <v>6.43</v>
      </c>
    </row>
    <row r="1799" ht="25.5" spans="1:5">
      <c r="A1799" s="76" t="s">
        <v>2848</v>
      </c>
      <c r="B1799" s="77" t="s">
        <v>839</v>
      </c>
      <c r="C1799" s="78">
        <v>0.2677</v>
      </c>
      <c r="D1799" s="78">
        <v>30.62</v>
      </c>
      <c r="E1799" s="78">
        <f>TRUNC(C1799*D1799,2)</f>
        <v>8.19</v>
      </c>
    </row>
    <row r="1800" spans="1:5">
      <c r="A1800" s="76" t="s">
        <v>122</v>
      </c>
      <c r="B1800" s="77"/>
      <c r="C1800" s="78"/>
      <c r="D1800" s="78"/>
      <c r="E1800" s="78">
        <f>SUM(E1796:E1799)</f>
        <v>32.09</v>
      </c>
    </row>
    <row r="1801" spans="1:5">
      <c r="A1801" s="76"/>
      <c r="B1801" s="77"/>
      <c r="C1801" s="78"/>
      <c r="D1801" s="78"/>
      <c r="E1801" s="78"/>
    </row>
    <row r="1802" spans="1:5">
      <c r="A1802" s="76" t="s">
        <v>2538</v>
      </c>
      <c r="B1802" s="77"/>
      <c r="C1802" s="78"/>
      <c r="D1802" s="78"/>
      <c r="E1802" s="78">
        <f>E1800</f>
        <v>32.09</v>
      </c>
    </row>
    <row r="1803" spans="1:5">
      <c r="A1803" s="76" t="s">
        <v>2539</v>
      </c>
      <c r="B1803" s="77"/>
      <c r="C1803" s="78"/>
      <c r="D1803" s="78">
        <v>0</v>
      </c>
      <c r="E1803" s="78">
        <f>TRUNC(D1803*E1802/100,2)</f>
        <v>0</v>
      </c>
    </row>
    <row r="1804" spans="1:5">
      <c r="A1804" s="76" t="s">
        <v>2540</v>
      </c>
      <c r="B1804" s="77"/>
      <c r="C1804" s="78"/>
      <c r="D1804" s="78"/>
      <c r="E1804" s="78">
        <f>E1802+E1803</f>
        <v>32.09</v>
      </c>
    </row>
    <row r="1805" spans="1:5">
      <c r="A1805" s="76"/>
      <c r="B1805" s="77"/>
      <c r="C1805" s="78"/>
      <c r="D1805" s="78"/>
      <c r="E1805" s="78"/>
    </row>
    <row r="1806" spans="1:5">
      <c r="A1806" s="76" t="s">
        <v>2981</v>
      </c>
      <c r="B1806" s="77" t="s">
        <v>919</v>
      </c>
      <c r="C1806" s="78"/>
      <c r="D1806" s="78"/>
      <c r="E1806" s="78"/>
    </row>
    <row r="1807" spans="1:5">
      <c r="A1807" s="76" t="s">
        <v>2982</v>
      </c>
      <c r="B1807" s="77"/>
      <c r="C1807" s="78"/>
      <c r="D1807" s="78"/>
      <c r="E1807" s="78"/>
    </row>
    <row r="1808" spans="1:5">
      <c r="A1808" s="76" t="s">
        <v>2563</v>
      </c>
      <c r="B1808" s="77"/>
      <c r="C1808" s="78"/>
      <c r="D1808" s="78"/>
      <c r="E1808" s="78"/>
    </row>
    <row r="1809" spans="1:5">
      <c r="A1809" s="76"/>
      <c r="B1809" s="77"/>
      <c r="C1809" s="78"/>
      <c r="D1809" s="78"/>
      <c r="E1809" s="78"/>
    </row>
    <row r="1810" spans="1:5">
      <c r="A1810" s="76" t="s">
        <v>2543</v>
      </c>
      <c r="B1810" s="77" t="s">
        <v>135</v>
      </c>
      <c r="C1810" s="78" t="s">
        <v>136</v>
      </c>
      <c r="D1810" s="78" t="s">
        <v>2534</v>
      </c>
      <c r="E1810" s="78" t="s">
        <v>2535</v>
      </c>
    </row>
    <row r="1811" spans="1:5">
      <c r="A1811" s="76" t="s">
        <v>2983</v>
      </c>
      <c r="B1811" s="77" t="s">
        <v>463</v>
      </c>
      <c r="C1811" s="78">
        <v>0.125</v>
      </c>
      <c r="D1811" s="78">
        <v>3.04</v>
      </c>
      <c r="E1811" s="78">
        <f>TRUNC(C1811*D1811,2)</f>
        <v>0.38</v>
      </c>
    </row>
    <row r="1812" spans="1:5">
      <c r="A1812" s="76" t="s">
        <v>2984</v>
      </c>
      <c r="B1812" s="77" t="s">
        <v>463</v>
      </c>
      <c r="C1812" s="78">
        <v>2.6526</v>
      </c>
      <c r="D1812" s="78">
        <v>1.28</v>
      </c>
      <c r="E1812" s="78">
        <f>TRUNC(C1812*D1812,2)</f>
        <v>3.39</v>
      </c>
    </row>
    <row r="1813" spans="1:5">
      <c r="A1813" s="76" t="s">
        <v>2621</v>
      </c>
      <c r="B1813" s="77" t="s">
        <v>839</v>
      </c>
      <c r="C1813" s="78">
        <v>0.0558</v>
      </c>
      <c r="D1813" s="78">
        <v>23.75</v>
      </c>
      <c r="E1813" s="78">
        <f>TRUNC(C1813*D1813,2)</f>
        <v>1.32</v>
      </c>
    </row>
    <row r="1814" spans="1:5">
      <c r="A1814" s="76" t="s">
        <v>2985</v>
      </c>
      <c r="B1814" s="77" t="s">
        <v>839</v>
      </c>
      <c r="C1814" s="78">
        <v>0.0112</v>
      </c>
      <c r="D1814" s="78">
        <v>28</v>
      </c>
      <c r="E1814" s="78">
        <f>TRUNC(C1814*D1814,2)</f>
        <v>0.31</v>
      </c>
    </row>
    <row r="1815" spans="1:5">
      <c r="A1815" s="76" t="s">
        <v>122</v>
      </c>
      <c r="B1815" s="77"/>
      <c r="C1815" s="78"/>
      <c r="D1815" s="78"/>
      <c r="E1815" s="78">
        <f>SUM(E1811:E1814)</f>
        <v>5.4</v>
      </c>
    </row>
    <row r="1816" spans="1:5">
      <c r="A1816" s="76"/>
      <c r="B1816" s="77"/>
      <c r="C1816" s="78"/>
      <c r="D1816" s="78"/>
      <c r="E1816" s="78"/>
    </row>
    <row r="1817" spans="1:5">
      <c r="A1817" s="76" t="s">
        <v>2538</v>
      </c>
      <c r="B1817" s="77"/>
      <c r="C1817" s="78"/>
      <c r="D1817" s="78"/>
      <c r="E1817" s="78">
        <f>E1815</f>
        <v>5.4</v>
      </c>
    </row>
    <row r="1818" spans="1:5">
      <c r="A1818" s="76" t="s">
        <v>2539</v>
      </c>
      <c r="B1818" s="77"/>
      <c r="C1818" s="78"/>
      <c r="D1818" s="78">
        <v>0</v>
      </c>
      <c r="E1818" s="78">
        <f>TRUNC(D1818*E1817/100,2)</f>
        <v>0</v>
      </c>
    </row>
    <row r="1819" spans="1:5">
      <c r="A1819" s="76" t="s">
        <v>2540</v>
      </c>
      <c r="B1819" s="77"/>
      <c r="C1819" s="78"/>
      <c r="D1819" s="78"/>
      <c r="E1819" s="78">
        <f>E1817+E1818</f>
        <v>5.4</v>
      </c>
    </row>
    <row r="1820" spans="1:5">
      <c r="A1820" s="76"/>
      <c r="B1820" s="77"/>
      <c r="C1820" s="78"/>
      <c r="D1820" s="78"/>
      <c r="E1820" s="78"/>
    </row>
    <row r="1821" spans="1:5">
      <c r="A1821" s="76" t="s">
        <v>2986</v>
      </c>
      <c r="B1821" s="77" t="s">
        <v>921</v>
      </c>
      <c r="C1821" s="78"/>
      <c r="D1821" s="78"/>
      <c r="E1821" s="78"/>
    </row>
    <row r="1822" spans="1:5">
      <c r="A1822" s="76" t="s">
        <v>2987</v>
      </c>
      <c r="B1822" s="77"/>
      <c r="C1822" s="78"/>
      <c r="D1822" s="78"/>
      <c r="E1822" s="78"/>
    </row>
    <row r="1823" spans="1:5">
      <c r="A1823" s="76" t="s">
        <v>2619</v>
      </c>
      <c r="B1823" s="77"/>
      <c r="C1823" s="78"/>
      <c r="D1823" s="78"/>
      <c r="E1823" s="78"/>
    </row>
    <row r="1824" spans="1:5">
      <c r="A1824" s="76"/>
      <c r="B1824" s="77"/>
      <c r="C1824" s="78"/>
      <c r="D1824" s="78"/>
      <c r="E1824" s="78"/>
    </row>
    <row r="1825" spans="1:5">
      <c r="A1825" s="76" t="s">
        <v>2543</v>
      </c>
      <c r="B1825" s="77" t="s">
        <v>135</v>
      </c>
      <c r="C1825" s="78" t="s">
        <v>136</v>
      </c>
      <c r="D1825" s="78" t="s">
        <v>2534</v>
      </c>
      <c r="E1825" s="78" t="s">
        <v>2535</v>
      </c>
    </row>
    <row r="1826" spans="1:5">
      <c r="A1826" s="76" t="s">
        <v>2621</v>
      </c>
      <c r="B1826" s="77" t="s">
        <v>839</v>
      </c>
      <c r="C1826" s="78">
        <v>0.00565578</v>
      </c>
      <c r="D1826" s="78">
        <v>23.75</v>
      </c>
      <c r="E1826" s="78">
        <f>TRUNC(C1826*D1826,2)</f>
        <v>0.13</v>
      </c>
    </row>
    <row r="1827" spans="1:5">
      <c r="A1827" s="76" t="s">
        <v>2988</v>
      </c>
      <c r="B1827" s="77" t="s">
        <v>977</v>
      </c>
      <c r="C1827" s="78">
        <v>0.00565578</v>
      </c>
      <c r="D1827" s="78">
        <v>306.67</v>
      </c>
      <c r="E1827" s="78">
        <f>TRUNC(C1827*D1827,2)</f>
        <v>1.73</v>
      </c>
    </row>
    <row r="1828" spans="1:5">
      <c r="A1828" s="76" t="s">
        <v>122</v>
      </c>
      <c r="B1828" s="77"/>
      <c r="C1828" s="78"/>
      <c r="D1828" s="78"/>
      <c r="E1828" s="78">
        <f>SUM(E1826:E1827)</f>
        <v>1.86</v>
      </c>
    </row>
    <row r="1829" spans="1:5">
      <c r="A1829" s="76"/>
      <c r="B1829" s="77"/>
      <c r="C1829" s="78"/>
      <c r="D1829" s="78"/>
      <c r="E1829" s="78"/>
    </row>
    <row r="1830" spans="1:5">
      <c r="A1830" s="76" t="s">
        <v>2538</v>
      </c>
      <c r="B1830" s="77"/>
      <c r="C1830" s="78"/>
      <c r="D1830" s="78"/>
      <c r="E1830" s="78">
        <f>E1828</f>
        <v>1.86</v>
      </c>
    </row>
    <row r="1831" spans="1:5">
      <c r="A1831" s="76" t="s">
        <v>2539</v>
      </c>
      <c r="B1831" s="77"/>
      <c r="C1831" s="78"/>
      <c r="D1831" s="78">
        <v>0</v>
      </c>
      <c r="E1831" s="78">
        <f>TRUNC(D1831*E1830/100,2)</f>
        <v>0</v>
      </c>
    </row>
    <row r="1832" spans="1:5">
      <c r="A1832" s="76" t="s">
        <v>2540</v>
      </c>
      <c r="B1832" s="77"/>
      <c r="C1832" s="78"/>
      <c r="D1832" s="78"/>
      <c r="E1832" s="78">
        <f>E1830+E1831</f>
        <v>1.86</v>
      </c>
    </row>
    <row r="1833" spans="1:5">
      <c r="A1833" s="76"/>
      <c r="B1833" s="77"/>
      <c r="C1833" s="78"/>
      <c r="D1833" s="78"/>
      <c r="E1833" s="78"/>
    </row>
    <row r="1834" spans="1:5">
      <c r="A1834" s="76" t="s">
        <v>2989</v>
      </c>
      <c r="B1834" s="77" t="s">
        <v>579</v>
      </c>
      <c r="C1834" s="78"/>
      <c r="D1834" s="78"/>
      <c r="E1834" s="78"/>
    </row>
    <row r="1835" ht="63.75" spans="1:5">
      <c r="A1835" s="76" t="s">
        <v>2990</v>
      </c>
      <c r="B1835" s="77"/>
      <c r="C1835" s="78"/>
      <c r="D1835" s="78"/>
      <c r="E1835" s="78"/>
    </row>
    <row r="1836" spans="1:5">
      <c r="A1836" s="76" t="s">
        <v>2552</v>
      </c>
      <c r="B1836" s="77"/>
      <c r="C1836" s="78"/>
      <c r="D1836" s="78"/>
      <c r="E1836" s="78"/>
    </row>
    <row r="1837" spans="1:5">
      <c r="A1837" s="76"/>
      <c r="B1837" s="77"/>
      <c r="C1837" s="78"/>
      <c r="D1837" s="78"/>
      <c r="E1837" s="78"/>
    </row>
    <row r="1838" spans="1:5">
      <c r="A1838" s="76" t="s">
        <v>2543</v>
      </c>
      <c r="B1838" s="77" t="s">
        <v>135</v>
      </c>
      <c r="C1838" s="78" t="s">
        <v>136</v>
      </c>
      <c r="D1838" s="78" t="s">
        <v>2534</v>
      </c>
      <c r="E1838" s="78" t="s">
        <v>2535</v>
      </c>
    </row>
    <row r="1839" ht="25.5" spans="1:5">
      <c r="A1839" s="76" t="s">
        <v>2991</v>
      </c>
      <c r="B1839" s="77" t="s">
        <v>494</v>
      </c>
      <c r="C1839" s="78">
        <v>2</v>
      </c>
      <c r="D1839" s="78">
        <v>236.41</v>
      </c>
      <c r="E1839" s="78">
        <f t="shared" ref="E1839:E1850" si="36">TRUNC(C1839*D1839,2)</f>
        <v>472.82</v>
      </c>
    </row>
    <row r="1840" ht="25.5" spans="1:5">
      <c r="A1840" s="76" t="s">
        <v>2992</v>
      </c>
      <c r="B1840" s="77" t="s">
        <v>494</v>
      </c>
      <c r="C1840" s="78">
        <v>2</v>
      </c>
      <c r="D1840" s="78">
        <v>102.53</v>
      </c>
      <c r="E1840" s="78">
        <f t="shared" si="36"/>
        <v>205.06</v>
      </c>
    </row>
    <row r="1841" ht="38.25" spans="1:5">
      <c r="A1841" s="76" t="s">
        <v>2993</v>
      </c>
      <c r="B1841" s="77" t="s">
        <v>494</v>
      </c>
      <c r="C1841" s="78">
        <v>0.333</v>
      </c>
      <c r="D1841" s="78">
        <v>48.18</v>
      </c>
      <c r="E1841" s="78">
        <f t="shared" si="36"/>
        <v>16.04</v>
      </c>
    </row>
    <row r="1842" ht="25.5" spans="1:5">
      <c r="A1842" s="76" t="s">
        <v>2994</v>
      </c>
      <c r="B1842" s="77" t="s">
        <v>112</v>
      </c>
      <c r="C1842" s="78">
        <v>0.2</v>
      </c>
      <c r="D1842" s="78">
        <v>113.14</v>
      </c>
      <c r="E1842" s="78">
        <f t="shared" si="36"/>
        <v>22.62</v>
      </c>
    </row>
    <row r="1843" spans="1:5">
      <c r="A1843" s="76" t="s">
        <v>2621</v>
      </c>
      <c r="B1843" s="77" t="s">
        <v>839</v>
      </c>
      <c r="C1843" s="78">
        <v>3</v>
      </c>
      <c r="D1843" s="78">
        <v>23.75</v>
      </c>
      <c r="E1843" s="78">
        <f t="shared" si="36"/>
        <v>71.25</v>
      </c>
    </row>
    <row r="1844" spans="1:5">
      <c r="A1844" s="76" t="s">
        <v>2577</v>
      </c>
      <c r="B1844" s="77" t="s">
        <v>839</v>
      </c>
      <c r="C1844" s="78">
        <v>1</v>
      </c>
      <c r="D1844" s="78">
        <v>30.91</v>
      </c>
      <c r="E1844" s="78">
        <f t="shared" si="36"/>
        <v>30.91</v>
      </c>
    </row>
    <row r="1845" spans="1:5">
      <c r="A1845" s="76" t="s">
        <v>2630</v>
      </c>
      <c r="B1845" s="77" t="s">
        <v>839</v>
      </c>
      <c r="C1845" s="78">
        <v>1.5</v>
      </c>
      <c r="D1845" s="78">
        <v>31.34</v>
      </c>
      <c r="E1845" s="78">
        <f t="shared" si="36"/>
        <v>47.01</v>
      </c>
    </row>
    <row r="1846" ht="38.25" spans="1:5">
      <c r="A1846" s="76" t="s">
        <v>2995</v>
      </c>
      <c r="B1846" s="77" t="s">
        <v>977</v>
      </c>
      <c r="C1846" s="78">
        <v>0.01943</v>
      </c>
      <c r="D1846" s="78">
        <v>217.3</v>
      </c>
      <c r="E1846" s="78">
        <f t="shared" si="36"/>
        <v>4.22</v>
      </c>
    </row>
    <row r="1847" ht="25.5" spans="1:5">
      <c r="A1847" s="76" t="s">
        <v>2996</v>
      </c>
      <c r="B1847" s="77" t="s">
        <v>476</v>
      </c>
      <c r="C1847" s="78">
        <v>0.0005</v>
      </c>
      <c r="D1847" s="78">
        <v>899.26</v>
      </c>
      <c r="E1847" s="78">
        <f t="shared" si="36"/>
        <v>0.44</v>
      </c>
    </row>
    <row r="1848" ht="38.25" spans="1:5">
      <c r="A1848" s="76" t="s">
        <v>2997</v>
      </c>
      <c r="B1848" s="77" t="s">
        <v>601</v>
      </c>
      <c r="C1848" s="78">
        <v>0.13</v>
      </c>
      <c r="D1848" s="78">
        <v>32.46</v>
      </c>
      <c r="E1848" s="78">
        <f t="shared" si="36"/>
        <v>4.21</v>
      </c>
    </row>
    <row r="1849" ht="25.5" spans="1:5">
      <c r="A1849" s="76" t="s">
        <v>2998</v>
      </c>
      <c r="B1849" s="77" t="s">
        <v>601</v>
      </c>
      <c r="C1849" s="78">
        <v>0.015</v>
      </c>
      <c r="D1849" s="78">
        <v>29.17</v>
      </c>
      <c r="E1849" s="78">
        <f t="shared" si="36"/>
        <v>0.43</v>
      </c>
    </row>
    <row r="1850" ht="25.5" spans="1:5">
      <c r="A1850" s="76" t="s">
        <v>2800</v>
      </c>
      <c r="B1850" s="77" t="s">
        <v>412</v>
      </c>
      <c r="C1850" s="78">
        <v>1.5e-5</v>
      </c>
      <c r="D1850" s="78">
        <v>1172.63</v>
      </c>
      <c r="E1850" s="78">
        <f t="shared" si="36"/>
        <v>0.01</v>
      </c>
    </row>
    <row r="1851" spans="1:5">
      <c r="A1851" s="76" t="s">
        <v>122</v>
      </c>
      <c r="B1851" s="77"/>
      <c r="C1851" s="78"/>
      <c r="D1851" s="78"/>
      <c r="E1851" s="78">
        <f>SUM(E1839:E1850)</f>
        <v>875.02</v>
      </c>
    </row>
    <row r="1852" spans="1:5">
      <c r="A1852" s="76"/>
      <c r="B1852" s="77"/>
      <c r="C1852" s="78"/>
      <c r="D1852" s="78"/>
      <c r="E1852" s="78"/>
    </row>
    <row r="1853" spans="1:5">
      <c r="A1853" s="76" t="s">
        <v>2538</v>
      </c>
      <c r="B1853" s="77"/>
      <c r="C1853" s="78"/>
      <c r="D1853" s="78"/>
      <c r="E1853" s="78">
        <f>E1851</f>
        <v>875.02</v>
      </c>
    </row>
    <row r="1854" spans="1:5">
      <c r="A1854" s="76" t="s">
        <v>2539</v>
      </c>
      <c r="B1854" s="77"/>
      <c r="C1854" s="78"/>
      <c r="D1854" s="78">
        <v>0</v>
      </c>
      <c r="E1854" s="78">
        <f>TRUNC(D1854*E1853/100,2)</f>
        <v>0</v>
      </c>
    </row>
    <row r="1855" spans="1:5">
      <c r="A1855" s="76" t="s">
        <v>2540</v>
      </c>
      <c r="B1855" s="77"/>
      <c r="C1855" s="78"/>
      <c r="D1855" s="78"/>
      <c r="E1855" s="78">
        <f>E1853+E1854</f>
        <v>875.02</v>
      </c>
    </row>
    <row r="1856" spans="1:5">
      <c r="A1856" s="76"/>
      <c r="B1856" s="77"/>
      <c r="C1856" s="78"/>
      <c r="D1856" s="78"/>
      <c r="E1856" s="78"/>
    </row>
    <row r="1857" spans="1:5">
      <c r="A1857" s="76" t="s">
        <v>2999</v>
      </c>
      <c r="B1857" s="77">
        <v>8008008010033</v>
      </c>
      <c r="C1857" s="78"/>
      <c r="D1857" s="78"/>
      <c r="E1857" s="78"/>
    </row>
    <row r="1858" ht="25.5" spans="1:5">
      <c r="A1858" s="76" t="s">
        <v>3000</v>
      </c>
      <c r="B1858" s="77"/>
      <c r="C1858" s="78"/>
      <c r="D1858" s="78"/>
      <c r="E1858" s="78"/>
    </row>
    <row r="1859" spans="1:5">
      <c r="A1859" s="76" t="s">
        <v>2563</v>
      </c>
      <c r="B1859" s="77"/>
      <c r="C1859" s="78"/>
      <c r="D1859" s="78"/>
      <c r="E1859" s="78"/>
    </row>
    <row r="1860" spans="1:5">
      <c r="A1860" s="76"/>
      <c r="B1860" s="77"/>
      <c r="C1860" s="78"/>
      <c r="D1860" s="78"/>
      <c r="E1860" s="78"/>
    </row>
    <row r="1861" spans="1:5">
      <c r="A1861" s="76" t="s">
        <v>2543</v>
      </c>
      <c r="B1861" s="77" t="s">
        <v>135</v>
      </c>
      <c r="C1861" s="78" t="s">
        <v>136</v>
      </c>
      <c r="D1861" s="78" t="s">
        <v>2534</v>
      </c>
      <c r="E1861" s="78" t="s">
        <v>2535</v>
      </c>
    </row>
    <row r="1862" ht="25.5" spans="1:5">
      <c r="A1862" s="76" t="s">
        <v>2755</v>
      </c>
      <c r="B1862" s="77" t="s">
        <v>476</v>
      </c>
      <c r="C1862" s="78">
        <v>0.013</v>
      </c>
      <c r="D1862" s="78">
        <v>205</v>
      </c>
      <c r="E1862" s="78">
        <f>TRUNC(C1862*D1862,2)</f>
        <v>2.66</v>
      </c>
    </row>
    <row r="1863" spans="1:5">
      <c r="A1863" s="76" t="s">
        <v>3001</v>
      </c>
      <c r="B1863" s="77" t="s">
        <v>463</v>
      </c>
      <c r="C1863" s="78">
        <v>4.58</v>
      </c>
      <c r="D1863" s="78">
        <v>0.65</v>
      </c>
      <c r="E1863" s="78">
        <f>TRUNC(C1863*D1863,2)</f>
        <v>2.97</v>
      </c>
    </row>
    <row r="1864" ht="38.25" spans="1:5">
      <c r="A1864" s="76" t="s">
        <v>3002</v>
      </c>
      <c r="B1864" s="77" t="s">
        <v>466</v>
      </c>
      <c r="C1864" s="78">
        <v>1</v>
      </c>
      <c r="D1864" s="78">
        <v>707.93</v>
      </c>
      <c r="E1864" s="78">
        <f>TRUNC(C1864*D1864,2)</f>
        <v>707.93</v>
      </c>
    </row>
    <row r="1865" spans="1:5">
      <c r="A1865" s="76" t="s">
        <v>2621</v>
      </c>
      <c r="B1865" s="77" t="s">
        <v>839</v>
      </c>
      <c r="C1865" s="78">
        <v>1.1</v>
      </c>
      <c r="D1865" s="78">
        <v>23.75</v>
      </c>
      <c r="E1865" s="78">
        <f>TRUNC(C1865*D1865,2)</f>
        <v>26.12</v>
      </c>
    </row>
    <row r="1866" spans="1:5">
      <c r="A1866" s="76" t="s">
        <v>2630</v>
      </c>
      <c r="B1866" s="77" t="s">
        <v>839</v>
      </c>
      <c r="C1866" s="78">
        <v>1</v>
      </c>
      <c r="D1866" s="78">
        <v>31.34</v>
      </c>
      <c r="E1866" s="78">
        <f>TRUNC(C1866*D1866,2)</f>
        <v>31.34</v>
      </c>
    </row>
    <row r="1867" spans="1:5">
      <c r="A1867" s="76" t="s">
        <v>122</v>
      </c>
      <c r="B1867" s="77"/>
      <c r="C1867" s="78"/>
      <c r="D1867" s="78"/>
      <c r="E1867" s="78">
        <f>SUM(E1862:E1866)</f>
        <v>771.02</v>
      </c>
    </row>
    <row r="1868" spans="1:5">
      <c r="A1868" s="76"/>
      <c r="B1868" s="77"/>
      <c r="C1868" s="78"/>
      <c r="D1868" s="78"/>
      <c r="E1868" s="78"/>
    </row>
    <row r="1869" spans="1:5">
      <c r="A1869" s="76" t="s">
        <v>2538</v>
      </c>
      <c r="B1869" s="77"/>
      <c r="C1869" s="78"/>
      <c r="D1869" s="78"/>
      <c r="E1869" s="78">
        <f>E1867</f>
        <v>771.02</v>
      </c>
    </row>
    <row r="1870" spans="1:5">
      <c r="A1870" s="76" t="s">
        <v>2539</v>
      </c>
      <c r="B1870" s="77"/>
      <c r="C1870" s="78"/>
      <c r="D1870" s="78">
        <v>0</v>
      </c>
      <c r="E1870" s="78">
        <f>TRUNC(D1870*E1869/100,2)</f>
        <v>0</v>
      </c>
    </row>
    <row r="1871" spans="1:5">
      <c r="A1871" s="76" t="s">
        <v>2540</v>
      </c>
      <c r="B1871" s="77"/>
      <c r="C1871" s="78"/>
      <c r="D1871" s="78"/>
      <c r="E1871" s="78">
        <f>E1869+E1870</f>
        <v>771.02</v>
      </c>
    </row>
    <row r="1872" spans="1:5">
      <c r="A1872" s="76"/>
      <c r="B1872" s="77"/>
      <c r="C1872" s="78"/>
      <c r="D1872" s="78"/>
      <c r="E1872" s="78"/>
    </row>
    <row r="1873" spans="1:5">
      <c r="A1873" s="76" t="s">
        <v>3003</v>
      </c>
      <c r="B1873" s="77" t="s">
        <v>923</v>
      </c>
      <c r="C1873" s="78"/>
      <c r="D1873" s="78"/>
      <c r="E1873" s="78"/>
    </row>
    <row r="1874" ht="25.5" spans="1:5">
      <c r="A1874" s="76" t="s">
        <v>3004</v>
      </c>
      <c r="B1874" s="77"/>
      <c r="C1874" s="78"/>
      <c r="D1874" s="78"/>
      <c r="E1874" s="78"/>
    </row>
    <row r="1875" spans="1:5">
      <c r="A1875" s="76" t="s">
        <v>2563</v>
      </c>
      <c r="B1875" s="77"/>
      <c r="C1875" s="78"/>
      <c r="D1875" s="78"/>
      <c r="E1875" s="78"/>
    </row>
    <row r="1876" spans="1:5">
      <c r="A1876" s="76"/>
      <c r="B1876" s="77"/>
      <c r="C1876" s="78"/>
      <c r="D1876" s="78"/>
      <c r="E1876" s="78"/>
    </row>
    <row r="1877" spans="1:5">
      <c r="A1877" s="76" t="s">
        <v>2543</v>
      </c>
      <c r="B1877" s="77" t="s">
        <v>135</v>
      </c>
      <c r="C1877" s="78" t="s">
        <v>136</v>
      </c>
      <c r="D1877" s="78" t="s">
        <v>2534</v>
      </c>
      <c r="E1877" s="78" t="s">
        <v>2535</v>
      </c>
    </row>
    <row r="1878" ht="25.5" spans="1:5">
      <c r="A1878" s="76" t="s">
        <v>3005</v>
      </c>
      <c r="B1878" s="77" t="s">
        <v>466</v>
      </c>
      <c r="C1878" s="78">
        <v>1</v>
      </c>
      <c r="D1878" s="78">
        <v>400</v>
      </c>
      <c r="E1878" s="78">
        <f t="shared" ref="E1878:E1884" si="37">TRUNC(C1878*D1878,2)</f>
        <v>400</v>
      </c>
    </row>
    <row r="1879" spans="1:5">
      <c r="A1879" s="76" t="s">
        <v>3006</v>
      </c>
      <c r="B1879" s="77" t="s">
        <v>463</v>
      </c>
      <c r="C1879" s="78">
        <v>0.0113</v>
      </c>
      <c r="D1879" s="78">
        <v>35.6</v>
      </c>
      <c r="E1879" s="78">
        <f t="shared" si="37"/>
        <v>0.4</v>
      </c>
    </row>
    <row r="1880" spans="1:5">
      <c r="A1880" s="76" t="s">
        <v>3007</v>
      </c>
      <c r="B1880" s="77" t="s">
        <v>463</v>
      </c>
      <c r="C1880" s="78">
        <v>0.0132</v>
      </c>
      <c r="D1880" s="78">
        <v>19.08</v>
      </c>
      <c r="E1880" s="78">
        <f t="shared" si="37"/>
        <v>0.25</v>
      </c>
    </row>
    <row r="1881" ht="25.5" spans="1:5">
      <c r="A1881" s="76" t="s">
        <v>2633</v>
      </c>
      <c r="B1881" s="77" t="s">
        <v>112</v>
      </c>
      <c r="C1881" s="78">
        <v>3.2083</v>
      </c>
      <c r="D1881" s="78">
        <v>3.94</v>
      </c>
      <c r="E1881" s="78">
        <f t="shared" si="37"/>
        <v>12.64</v>
      </c>
    </row>
    <row r="1882" spans="1:5">
      <c r="A1882" s="76" t="s">
        <v>2621</v>
      </c>
      <c r="B1882" s="77" t="s">
        <v>839</v>
      </c>
      <c r="C1882" s="78">
        <v>1.1186</v>
      </c>
      <c r="D1882" s="78">
        <v>23.75</v>
      </c>
      <c r="E1882" s="78">
        <f t="shared" si="37"/>
        <v>26.56</v>
      </c>
    </row>
    <row r="1883" spans="1:5">
      <c r="A1883" s="76" t="s">
        <v>2577</v>
      </c>
      <c r="B1883" s="77" t="s">
        <v>839</v>
      </c>
      <c r="C1883" s="78">
        <v>0.3729</v>
      </c>
      <c r="D1883" s="78">
        <v>30.91</v>
      </c>
      <c r="E1883" s="78">
        <f t="shared" si="37"/>
        <v>11.52</v>
      </c>
    </row>
    <row r="1884" spans="1:5">
      <c r="A1884" s="76" t="s">
        <v>3008</v>
      </c>
      <c r="B1884" s="77" t="s">
        <v>466</v>
      </c>
      <c r="C1884" s="78">
        <v>0.5</v>
      </c>
      <c r="D1884" s="78">
        <v>24.05</v>
      </c>
      <c r="E1884" s="78">
        <f t="shared" si="37"/>
        <v>12.02</v>
      </c>
    </row>
    <row r="1885" spans="1:5">
      <c r="A1885" s="76" t="s">
        <v>122</v>
      </c>
      <c r="B1885" s="77"/>
      <c r="C1885" s="78"/>
      <c r="D1885" s="78"/>
      <c r="E1885" s="78">
        <f>SUM(E1878:E1884)</f>
        <v>463.39</v>
      </c>
    </row>
    <row r="1886" spans="1:5">
      <c r="A1886" s="76"/>
      <c r="B1886" s="77"/>
      <c r="C1886" s="78"/>
      <c r="D1886" s="78"/>
      <c r="E1886" s="78"/>
    </row>
    <row r="1887" spans="1:5">
      <c r="A1887" s="76" t="s">
        <v>2538</v>
      </c>
      <c r="B1887" s="77"/>
      <c r="C1887" s="78"/>
      <c r="D1887" s="78"/>
      <c r="E1887" s="78">
        <f>E1885</f>
        <v>463.39</v>
      </c>
    </row>
    <row r="1888" spans="1:5">
      <c r="A1888" s="76" t="s">
        <v>2539</v>
      </c>
      <c r="B1888" s="77"/>
      <c r="C1888" s="78"/>
      <c r="D1888" s="78">
        <v>0</v>
      </c>
      <c r="E1888" s="78">
        <f>TRUNC(D1888*E1887/100,2)</f>
        <v>0</v>
      </c>
    </row>
    <row r="1889" spans="1:5">
      <c r="A1889" s="76" t="s">
        <v>2540</v>
      </c>
      <c r="B1889" s="77"/>
      <c r="C1889" s="78"/>
      <c r="D1889" s="78"/>
      <c r="E1889" s="78">
        <f>E1887+E1888</f>
        <v>463.39</v>
      </c>
    </row>
    <row r="1890" spans="1:5">
      <c r="A1890" s="76"/>
      <c r="B1890" s="77"/>
      <c r="C1890" s="78"/>
      <c r="D1890" s="78"/>
      <c r="E1890" s="78"/>
    </row>
    <row r="1891" spans="1:5">
      <c r="A1891" s="76" t="s">
        <v>3009</v>
      </c>
      <c r="B1891" s="77" t="s">
        <v>925</v>
      </c>
      <c r="C1891" s="78"/>
      <c r="D1891" s="78"/>
      <c r="E1891" s="78"/>
    </row>
    <row r="1892" spans="1:5">
      <c r="A1892" s="76" t="s">
        <v>3010</v>
      </c>
      <c r="B1892" s="77"/>
      <c r="C1892" s="78"/>
      <c r="D1892" s="78"/>
      <c r="E1892" s="78"/>
    </row>
    <row r="1893" spans="1:5">
      <c r="A1893" s="76" t="s">
        <v>2563</v>
      </c>
      <c r="B1893" s="77"/>
      <c r="C1893" s="78"/>
      <c r="D1893" s="78"/>
      <c r="E1893" s="78"/>
    </row>
    <row r="1894" spans="1:5">
      <c r="A1894" s="76"/>
      <c r="B1894" s="77"/>
      <c r="C1894" s="78"/>
      <c r="D1894" s="78"/>
      <c r="E1894" s="78"/>
    </row>
    <row r="1895" spans="1:5">
      <c r="A1895" s="76" t="s">
        <v>2543</v>
      </c>
      <c r="B1895" s="77" t="s">
        <v>135</v>
      </c>
      <c r="C1895" s="78" t="s">
        <v>136</v>
      </c>
      <c r="D1895" s="78" t="s">
        <v>2534</v>
      </c>
      <c r="E1895" s="78" t="s">
        <v>2535</v>
      </c>
    </row>
    <row r="1896" spans="1:5">
      <c r="A1896" s="76" t="s">
        <v>2621</v>
      </c>
      <c r="B1896" s="77" t="s">
        <v>839</v>
      </c>
      <c r="C1896" s="78">
        <v>0.2132</v>
      </c>
      <c r="D1896" s="78">
        <v>23.75</v>
      </c>
      <c r="E1896" s="78">
        <f>TRUNC(C1896*D1896,2)</f>
        <v>5.06</v>
      </c>
    </row>
    <row r="1897" spans="1:5">
      <c r="A1897" s="76" t="s">
        <v>122</v>
      </c>
      <c r="B1897" s="77"/>
      <c r="C1897" s="78"/>
      <c r="D1897" s="78"/>
      <c r="E1897" s="78">
        <f>SUM(E1896:E1896)</f>
        <v>5.06</v>
      </c>
    </row>
    <row r="1898" spans="1:5">
      <c r="A1898" s="76"/>
      <c r="B1898" s="77"/>
      <c r="C1898" s="78"/>
      <c r="D1898" s="78"/>
      <c r="E1898" s="78"/>
    </row>
    <row r="1899" spans="1:5">
      <c r="A1899" s="76" t="s">
        <v>2538</v>
      </c>
      <c r="B1899" s="77"/>
      <c r="C1899" s="78"/>
      <c r="D1899" s="78"/>
      <c r="E1899" s="78">
        <f>E1897</f>
        <v>5.06</v>
      </c>
    </row>
    <row r="1900" spans="1:5">
      <c r="A1900" s="76" t="s">
        <v>2539</v>
      </c>
      <c r="B1900" s="77"/>
      <c r="C1900" s="78"/>
      <c r="D1900" s="78">
        <v>0</v>
      </c>
      <c r="E1900" s="78">
        <f>TRUNC(D1900*E1899/100,2)</f>
        <v>0</v>
      </c>
    </row>
    <row r="1901" spans="1:5">
      <c r="A1901" s="76" t="s">
        <v>2540</v>
      </c>
      <c r="B1901" s="77"/>
      <c r="C1901" s="78"/>
      <c r="D1901" s="78"/>
      <c r="E1901" s="78">
        <f>E1899+E1900</f>
        <v>5.06</v>
      </c>
    </row>
    <row r="1902" spans="1:5">
      <c r="A1902" s="76"/>
      <c r="B1902" s="77"/>
      <c r="C1902" s="78"/>
      <c r="D1902" s="78"/>
      <c r="E1902" s="78"/>
    </row>
    <row r="1903" spans="1:5">
      <c r="A1903" s="76" t="s">
        <v>3011</v>
      </c>
      <c r="B1903" s="77" t="s">
        <v>927</v>
      </c>
      <c r="C1903" s="78"/>
      <c r="D1903" s="78"/>
      <c r="E1903" s="78"/>
    </row>
    <row r="1904" ht="38.25" spans="1:5">
      <c r="A1904" s="76" t="s">
        <v>3012</v>
      </c>
      <c r="B1904" s="77"/>
      <c r="C1904" s="78"/>
      <c r="D1904" s="78"/>
      <c r="E1904" s="78"/>
    </row>
    <row r="1905" spans="1:5">
      <c r="A1905" s="76" t="s">
        <v>2563</v>
      </c>
      <c r="B1905" s="77"/>
      <c r="C1905" s="78"/>
      <c r="D1905" s="78"/>
      <c r="E1905" s="78"/>
    </row>
    <row r="1906" spans="1:5">
      <c r="A1906" s="76"/>
      <c r="B1906" s="77"/>
      <c r="C1906" s="78"/>
      <c r="D1906" s="78"/>
      <c r="E1906" s="78"/>
    </row>
    <row r="1907" spans="1:5">
      <c r="A1907" s="76" t="s">
        <v>2543</v>
      </c>
      <c r="B1907" s="77" t="s">
        <v>135</v>
      </c>
      <c r="C1907" s="78" t="s">
        <v>136</v>
      </c>
      <c r="D1907" s="78" t="s">
        <v>2534</v>
      </c>
      <c r="E1907" s="78" t="s">
        <v>2535</v>
      </c>
    </row>
    <row r="1908" spans="1:5">
      <c r="A1908" s="76" t="s">
        <v>2985</v>
      </c>
      <c r="B1908" s="77" t="s">
        <v>839</v>
      </c>
      <c r="C1908" s="78">
        <v>0.0046</v>
      </c>
      <c r="D1908" s="78">
        <v>28</v>
      </c>
      <c r="E1908" s="78">
        <f>TRUNC(C1908*D1908,2)</f>
        <v>0.12</v>
      </c>
    </row>
    <row r="1909" ht="25.5" spans="1:5">
      <c r="A1909" s="76" t="s">
        <v>3013</v>
      </c>
      <c r="B1909" s="77" t="s">
        <v>977</v>
      </c>
      <c r="C1909" s="78">
        <v>0.0017</v>
      </c>
      <c r="D1909" s="78">
        <v>196.37</v>
      </c>
      <c r="E1909" s="78">
        <f>TRUNC(C1909*D1909,2)</f>
        <v>0.33</v>
      </c>
    </row>
    <row r="1910" ht="25.5" spans="1:5">
      <c r="A1910" s="76" t="s">
        <v>3014</v>
      </c>
      <c r="B1910" s="77" t="s">
        <v>979</v>
      </c>
      <c r="C1910" s="78">
        <v>0.0029</v>
      </c>
      <c r="D1910" s="78">
        <v>74.43</v>
      </c>
      <c r="E1910" s="78">
        <f>TRUNC(C1910*D1910,2)</f>
        <v>0.21</v>
      </c>
    </row>
    <row r="1911" spans="1:5">
      <c r="A1911" s="76" t="s">
        <v>122</v>
      </c>
      <c r="B1911" s="77"/>
      <c r="C1911" s="78"/>
      <c r="D1911" s="78"/>
      <c r="E1911" s="78">
        <f>SUM(E1908:E1910)</f>
        <v>0.66</v>
      </c>
    </row>
    <row r="1912" spans="1:5">
      <c r="A1912" s="76"/>
      <c r="B1912" s="77"/>
      <c r="C1912" s="78"/>
      <c r="D1912" s="78"/>
      <c r="E1912" s="78"/>
    </row>
    <row r="1913" spans="1:5">
      <c r="A1913" s="76" t="s">
        <v>2538</v>
      </c>
      <c r="B1913" s="77"/>
      <c r="C1913" s="78"/>
      <c r="D1913" s="78"/>
      <c r="E1913" s="78">
        <f>E1911</f>
        <v>0.66</v>
      </c>
    </row>
    <row r="1914" spans="1:5">
      <c r="A1914" s="76" t="s">
        <v>2539</v>
      </c>
      <c r="B1914" s="77"/>
      <c r="C1914" s="78"/>
      <c r="D1914" s="78">
        <v>0</v>
      </c>
      <c r="E1914" s="78">
        <f>TRUNC(D1914*E1913/100,2)</f>
        <v>0</v>
      </c>
    </row>
    <row r="1915" spans="1:5">
      <c r="A1915" s="76" t="s">
        <v>2540</v>
      </c>
      <c r="B1915" s="77"/>
      <c r="C1915" s="78"/>
      <c r="D1915" s="78"/>
      <c r="E1915" s="78">
        <f>E1913+E1914</f>
        <v>0.66</v>
      </c>
    </row>
    <row r="1916" spans="1:5">
      <c r="A1916" s="76"/>
      <c r="B1916" s="77"/>
      <c r="C1916" s="78"/>
      <c r="D1916" s="78"/>
      <c r="E1916" s="78"/>
    </row>
    <row r="1917" spans="1:5">
      <c r="A1917" s="76" t="s">
        <v>3015</v>
      </c>
      <c r="B1917" s="77" t="s">
        <v>929</v>
      </c>
      <c r="C1917" s="78"/>
      <c r="D1917" s="78"/>
      <c r="E1917" s="78"/>
    </row>
    <row r="1918" ht="25.5" spans="1:5">
      <c r="A1918" s="76" t="s">
        <v>3016</v>
      </c>
      <c r="B1918" s="77"/>
      <c r="C1918" s="78"/>
      <c r="D1918" s="78"/>
      <c r="E1918" s="78"/>
    </row>
    <row r="1919" spans="1:5">
      <c r="A1919" s="76" t="s">
        <v>2563</v>
      </c>
      <c r="B1919" s="77"/>
      <c r="C1919" s="78"/>
      <c r="D1919" s="78"/>
      <c r="E1919" s="78"/>
    </row>
    <row r="1920" spans="1:5">
      <c r="A1920" s="76"/>
      <c r="B1920" s="77"/>
      <c r="C1920" s="78"/>
      <c r="D1920" s="78"/>
      <c r="E1920" s="78"/>
    </row>
    <row r="1921" spans="1:5">
      <c r="A1921" s="76" t="s">
        <v>2543</v>
      </c>
      <c r="B1921" s="77" t="s">
        <v>135</v>
      </c>
      <c r="C1921" s="78" t="s">
        <v>136</v>
      </c>
      <c r="D1921" s="78" t="s">
        <v>2534</v>
      </c>
      <c r="E1921" s="78" t="s">
        <v>2535</v>
      </c>
    </row>
    <row r="1922" spans="1:5">
      <c r="A1922" s="76" t="s">
        <v>3017</v>
      </c>
      <c r="B1922" s="77" t="s">
        <v>463</v>
      </c>
      <c r="C1922" s="78">
        <v>0.32485</v>
      </c>
      <c r="D1922" s="78">
        <v>8.96</v>
      </c>
      <c r="E1922" s="78">
        <f t="shared" ref="E1922:E1940" si="38">TRUNC(C1922*D1922,2)</f>
        <v>2.91</v>
      </c>
    </row>
    <row r="1923" spans="1:5">
      <c r="A1923" s="76" t="s">
        <v>3018</v>
      </c>
      <c r="B1923" s="77" t="s">
        <v>463</v>
      </c>
      <c r="C1923" s="78">
        <v>5.42408</v>
      </c>
      <c r="D1923" s="78">
        <v>9.05</v>
      </c>
      <c r="E1923" s="78">
        <f t="shared" si="38"/>
        <v>49.08</v>
      </c>
    </row>
    <row r="1924" spans="1:5">
      <c r="A1924" s="76" t="s">
        <v>3019</v>
      </c>
      <c r="B1924" s="77" t="s">
        <v>463</v>
      </c>
      <c r="C1924" s="78">
        <v>10.205</v>
      </c>
      <c r="D1924" s="78">
        <v>11.79</v>
      </c>
      <c r="E1924" s="78">
        <f t="shared" si="38"/>
        <v>120.31</v>
      </c>
    </row>
    <row r="1925" spans="1:5">
      <c r="A1925" s="76" t="s">
        <v>3020</v>
      </c>
      <c r="B1925" s="77" t="s">
        <v>112</v>
      </c>
      <c r="C1925" s="78">
        <v>3.11667</v>
      </c>
      <c r="D1925" s="78">
        <v>8.28</v>
      </c>
      <c r="E1925" s="78">
        <f t="shared" si="38"/>
        <v>25.8</v>
      </c>
    </row>
    <row r="1926" ht="25.5" spans="1:5">
      <c r="A1926" s="76" t="s">
        <v>3021</v>
      </c>
      <c r="B1926" s="77" t="s">
        <v>1348</v>
      </c>
      <c r="C1926" s="78">
        <v>2</v>
      </c>
      <c r="D1926" s="78">
        <v>0.62</v>
      </c>
      <c r="E1926" s="78">
        <f t="shared" si="38"/>
        <v>1.24</v>
      </c>
    </row>
    <row r="1927" ht="25.5" spans="1:5">
      <c r="A1927" s="76" t="s">
        <v>3022</v>
      </c>
      <c r="B1927" s="77" t="s">
        <v>1348</v>
      </c>
      <c r="C1927" s="78">
        <v>2</v>
      </c>
      <c r="D1927" s="78">
        <v>2.09</v>
      </c>
      <c r="E1927" s="78">
        <f t="shared" si="38"/>
        <v>4.18</v>
      </c>
    </row>
    <row r="1928" spans="1:5">
      <c r="A1928" s="76" t="s">
        <v>3023</v>
      </c>
      <c r="B1928" s="77" t="s">
        <v>466</v>
      </c>
      <c r="C1928" s="78">
        <v>1.4</v>
      </c>
      <c r="D1928" s="78">
        <v>256.86</v>
      </c>
      <c r="E1928" s="78">
        <f t="shared" si="38"/>
        <v>359.6</v>
      </c>
    </row>
    <row r="1929" spans="1:5">
      <c r="A1929" s="76" t="s">
        <v>2621</v>
      </c>
      <c r="B1929" s="77" t="s">
        <v>839</v>
      </c>
      <c r="C1929" s="78">
        <v>1</v>
      </c>
      <c r="D1929" s="78">
        <v>23.75</v>
      </c>
      <c r="E1929" s="78">
        <f t="shared" si="38"/>
        <v>23.75</v>
      </c>
    </row>
    <row r="1930" spans="1:5">
      <c r="A1930" s="76" t="s">
        <v>2566</v>
      </c>
      <c r="B1930" s="77" t="s">
        <v>839</v>
      </c>
      <c r="C1930" s="78">
        <v>1</v>
      </c>
      <c r="D1930" s="78">
        <v>24.4</v>
      </c>
      <c r="E1930" s="78">
        <f t="shared" si="38"/>
        <v>24.4</v>
      </c>
    </row>
    <row r="1931" ht="25.5" spans="1:5">
      <c r="A1931" s="76" t="s">
        <v>2959</v>
      </c>
      <c r="B1931" s="77" t="s">
        <v>839</v>
      </c>
      <c r="C1931" s="78">
        <v>0.5</v>
      </c>
      <c r="D1931" s="78">
        <v>25.64</v>
      </c>
      <c r="E1931" s="78">
        <f t="shared" si="38"/>
        <v>12.82</v>
      </c>
    </row>
    <row r="1932" spans="1:5">
      <c r="A1932" s="76" t="s">
        <v>3024</v>
      </c>
      <c r="B1932" s="77" t="s">
        <v>839</v>
      </c>
      <c r="C1932" s="78">
        <v>0.5</v>
      </c>
      <c r="D1932" s="78">
        <v>31.13</v>
      </c>
      <c r="E1932" s="78">
        <f t="shared" si="38"/>
        <v>15.56</v>
      </c>
    </row>
    <row r="1933" ht="25.5" spans="1:5">
      <c r="A1933" s="76" t="s">
        <v>3025</v>
      </c>
      <c r="B1933" s="77" t="s">
        <v>977</v>
      </c>
      <c r="C1933" s="78">
        <v>0.12048</v>
      </c>
      <c r="D1933" s="78">
        <v>22.85</v>
      </c>
      <c r="E1933" s="78">
        <f t="shared" si="38"/>
        <v>2.75</v>
      </c>
    </row>
    <row r="1934" spans="1:5">
      <c r="A1934" s="76" t="s">
        <v>3026</v>
      </c>
      <c r="B1934" s="77" t="s">
        <v>977</v>
      </c>
      <c r="C1934" s="78">
        <v>0.0753</v>
      </c>
      <c r="D1934" s="78">
        <v>0.63</v>
      </c>
      <c r="E1934" s="78">
        <f t="shared" si="38"/>
        <v>0.04</v>
      </c>
    </row>
    <row r="1935" ht="25.5" spans="1:5">
      <c r="A1935" s="76" t="s">
        <v>3027</v>
      </c>
      <c r="B1935" s="77" t="s">
        <v>977</v>
      </c>
      <c r="C1935" s="78">
        <v>0.240965</v>
      </c>
      <c r="D1935" s="78">
        <v>11.79</v>
      </c>
      <c r="E1935" s="78">
        <f t="shared" si="38"/>
        <v>2.84</v>
      </c>
    </row>
    <row r="1936" spans="1:5">
      <c r="A1936" s="76" t="s">
        <v>3028</v>
      </c>
      <c r="B1936" s="77" t="s">
        <v>977</v>
      </c>
      <c r="C1936" s="78">
        <v>0.1004</v>
      </c>
      <c r="D1936" s="78">
        <v>15.32</v>
      </c>
      <c r="E1936" s="78">
        <f t="shared" si="38"/>
        <v>1.53</v>
      </c>
    </row>
    <row r="1937" ht="25.5" spans="1:5">
      <c r="A1937" s="76" t="s">
        <v>2568</v>
      </c>
      <c r="B1937" s="77" t="s">
        <v>601</v>
      </c>
      <c r="C1937" s="78">
        <v>0.00067</v>
      </c>
      <c r="D1937" s="78">
        <v>33.98</v>
      </c>
      <c r="E1937" s="78">
        <f t="shared" si="38"/>
        <v>0.02</v>
      </c>
    </row>
    <row r="1938" ht="25.5" spans="1:5">
      <c r="A1938" s="76" t="s">
        <v>3029</v>
      </c>
      <c r="B1938" s="77" t="s">
        <v>466</v>
      </c>
      <c r="C1938" s="78">
        <v>1</v>
      </c>
      <c r="D1938" s="78">
        <v>14.91</v>
      </c>
      <c r="E1938" s="78">
        <f t="shared" si="38"/>
        <v>14.91</v>
      </c>
    </row>
    <row r="1939" ht="38.25" spans="1:5">
      <c r="A1939" s="76" t="s">
        <v>2997</v>
      </c>
      <c r="B1939" s="77" t="s">
        <v>601</v>
      </c>
      <c r="C1939" s="78">
        <v>0.01021</v>
      </c>
      <c r="D1939" s="78">
        <v>32.46</v>
      </c>
      <c r="E1939" s="78">
        <f t="shared" si="38"/>
        <v>0.33</v>
      </c>
    </row>
    <row r="1940" ht="25.5" spans="1:5">
      <c r="A1940" s="76" t="s">
        <v>3030</v>
      </c>
      <c r="B1940" s="77" t="s">
        <v>463</v>
      </c>
      <c r="C1940" s="78">
        <v>0.09485</v>
      </c>
      <c r="D1940" s="78">
        <v>81.28</v>
      </c>
      <c r="E1940" s="78">
        <f t="shared" si="38"/>
        <v>7.7</v>
      </c>
    </row>
    <row r="1941" spans="1:5">
      <c r="A1941" s="76" t="s">
        <v>122</v>
      </c>
      <c r="B1941" s="77"/>
      <c r="C1941" s="78"/>
      <c r="D1941" s="78"/>
      <c r="E1941" s="78">
        <f>SUM(E1922:E1940)</f>
        <v>669.77</v>
      </c>
    </row>
    <row r="1942" spans="1:5">
      <c r="A1942" s="76"/>
      <c r="B1942" s="77"/>
      <c r="C1942" s="78"/>
      <c r="D1942" s="78"/>
      <c r="E1942" s="78"/>
    </row>
    <row r="1943" spans="1:5">
      <c r="A1943" s="76" t="s">
        <v>2538</v>
      </c>
      <c r="B1943" s="77"/>
      <c r="C1943" s="78"/>
      <c r="D1943" s="78"/>
      <c r="E1943" s="78">
        <f>E1941</f>
        <v>669.77</v>
      </c>
    </row>
    <row r="1944" spans="1:5">
      <c r="A1944" s="76" t="s">
        <v>2539</v>
      </c>
      <c r="B1944" s="77"/>
      <c r="C1944" s="78"/>
      <c r="D1944" s="78">
        <v>0</v>
      </c>
      <c r="E1944" s="78">
        <f>TRUNC(D1944*E1943/100,2)</f>
        <v>0</v>
      </c>
    </row>
    <row r="1945" spans="1:5">
      <c r="A1945" s="76" t="s">
        <v>2540</v>
      </c>
      <c r="B1945" s="77"/>
      <c r="C1945" s="78"/>
      <c r="D1945" s="78"/>
      <c r="E1945" s="78">
        <f>E1943+E1944</f>
        <v>669.77</v>
      </c>
    </row>
    <row r="1946" spans="1:5">
      <c r="A1946" s="76"/>
      <c r="B1946" s="77"/>
      <c r="C1946" s="78"/>
      <c r="D1946" s="78"/>
      <c r="E1946" s="78"/>
    </row>
    <row r="1947" spans="1:5">
      <c r="A1947" s="76" t="s">
        <v>3031</v>
      </c>
      <c r="B1947" s="77" t="s">
        <v>931</v>
      </c>
      <c r="C1947" s="78"/>
      <c r="D1947" s="78"/>
      <c r="E1947" s="78"/>
    </row>
    <row r="1948" spans="1:5">
      <c r="A1948" s="76" t="s">
        <v>3032</v>
      </c>
      <c r="B1948" s="77"/>
      <c r="C1948" s="78"/>
      <c r="D1948" s="78"/>
      <c r="E1948" s="78"/>
    </row>
    <row r="1949" spans="1:5">
      <c r="A1949" s="76" t="s">
        <v>2563</v>
      </c>
      <c r="B1949" s="77"/>
      <c r="C1949" s="78"/>
      <c r="D1949" s="78"/>
      <c r="E1949" s="78"/>
    </row>
    <row r="1950" spans="1:5">
      <c r="A1950" s="76"/>
      <c r="B1950" s="77"/>
      <c r="C1950" s="78"/>
      <c r="D1950" s="78"/>
      <c r="E1950" s="78"/>
    </row>
    <row r="1951" spans="1:5">
      <c r="A1951" s="76" t="s">
        <v>2543</v>
      </c>
      <c r="B1951" s="77" t="s">
        <v>135</v>
      </c>
      <c r="C1951" s="78" t="s">
        <v>136</v>
      </c>
      <c r="D1951" s="78" t="s">
        <v>2534</v>
      </c>
      <c r="E1951" s="78" t="s">
        <v>2535</v>
      </c>
    </row>
    <row r="1952" spans="1:5">
      <c r="A1952" s="76" t="s">
        <v>3033</v>
      </c>
      <c r="B1952" s="77" t="s">
        <v>466</v>
      </c>
      <c r="C1952" s="78">
        <v>1</v>
      </c>
      <c r="D1952" s="78">
        <v>12.85</v>
      </c>
      <c r="E1952" s="78">
        <f>TRUNC(C1952*D1952,2)</f>
        <v>12.85</v>
      </c>
    </row>
    <row r="1953" spans="1:5">
      <c r="A1953" s="76" t="s">
        <v>2621</v>
      </c>
      <c r="B1953" s="77" t="s">
        <v>839</v>
      </c>
      <c r="C1953" s="78">
        <v>0.1386</v>
      </c>
      <c r="D1953" s="78">
        <v>23.75</v>
      </c>
      <c r="E1953" s="78">
        <f>TRUNC(C1953*D1953,2)</f>
        <v>3.29</v>
      </c>
    </row>
    <row r="1954" spans="1:5">
      <c r="A1954" s="76" t="s">
        <v>2985</v>
      </c>
      <c r="B1954" s="77" t="s">
        <v>839</v>
      </c>
      <c r="C1954" s="78">
        <v>0.0277</v>
      </c>
      <c r="D1954" s="78">
        <v>28</v>
      </c>
      <c r="E1954" s="78">
        <f>TRUNC(C1954*D1954,2)</f>
        <v>0.77</v>
      </c>
    </row>
    <row r="1955" spans="1:5">
      <c r="A1955" s="76" t="s">
        <v>122</v>
      </c>
      <c r="B1955" s="77"/>
      <c r="C1955" s="78"/>
      <c r="D1955" s="78"/>
      <c r="E1955" s="78">
        <f>SUM(E1952:E1954)</f>
        <v>16.91</v>
      </c>
    </row>
    <row r="1956" spans="1:5">
      <c r="A1956" s="76"/>
      <c r="B1956" s="77"/>
      <c r="C1956" s="78"/>
      <c r="D1956" s="78"/>
      <c r="E1956" s="78"/>
    </row>
    <row r="1957" spans="1:5">
      <c r="A1957" s="76" t="s">
        <v>2538</v>
      </c>
      <c r="B1957" s="77"/>
      <c r="C1957" s="78"/>
      <c r="D1957" s="78"/>
      <c r="E1957" s="78">
        <f>E1955</f>
        <v>16.91</v>
      </c>
    </row>
    <row r="1958" spans="1:5">
      <c r="A1958" s="76" t="s">
        <v>2539</v>
      </c>
      <c r="B1958" s="77"/>
      <c r="C1958" s="78"/>
      <c r="D1958" s="78">
        <v>0</v>
      </c>
      <c r="E1958" s="78">
        <f>TRUNC(D1958*E1957/100,2)</f>
        <v>0</v>
      </c>
    </row>
    <row r="1959" spans="1:5">
      <c r="A1959" s="76" t="s">
        <v>2540</v>
      </c>
      <c r="B1959" s="77"/>
      <c r="C1959" s="78"/>
      <c r="D1959" s="78"/>
      <c r="E1959" s="78">
        <f>E1957+E1958</f>
        <v>16.91</v>
      </c>
    </row>
    <row r="1960" spans="1:5">
      <c r="A1960" s="76"/>
      <c r="B1960" s="77"/>
      <c r="C1960" s="78"/>
      <c r="D1960" s="78"/>
      <c r="E1960" s="78"/>
    </row>
    <row r="1961" spans="1:5">
      <c r="A1961" s="76" t="s">
        <v>3034</v>
      </c>
      <c r="B1961" s="77" t="s">
        <v>933</v>
      </c>
      <c r="C1961" s="78"/>
      <c r="D1961" s="78"/>
      <c r="E1961" s="78"/>
    </row>
    <row r="1962" ht="25.5" spans="1:5">
      <c r="A1962" s="76" t="s">
        <v>3035</v>
      </c>
      <c r="B1962" s="77"/>
      <c r="C1962" s="78"/>
      <c r="D1962" s="78"/>
      <c r="E1962" s="78"/>
    </row>
    <row r="1963" spans="1:5">
      <c r="A1963" s="76" t="s">
        <v>2552</v>
      </c>
      <c r="B1963" s="77"/>
      <c r="C1963" s="78"/>
      <c r="D1963" s="78"/>
      <c r="E1963" s="78"/>
    </row>
    <row r="1964" spans="1:5">
      <c r="A1964" s="76"/>
      <c r="B1964" s="77"/>
      <c r="C1964" s="78"/>
      <c r="D1964" s="78"/>
      <c r="E1964" s="78"/>
    </row>
    <row r="1965" spans="1:5">
      <c r="A1965" s="76" t="s">
        <v>2543</v>
      </c>
      <c r="B1965" s="77" t="s">
        <v>135</v>
      </c>
      <c r="C1965" s="78" t="s">
        <v>136</v>
      </c>
      <c r="D1965" s="78" t="s">
        <v>2534</v>
      </c>
      <c r="E1965" s="78" t="s">
        <v>2535</v>
      </c>
    </row>
    <row r="1966" ht="25.5" spans="1:5">
      <c r="A1966" s="76" t="s">
        <v>3036</v>
      </c>
      <c r="B1966" s="77" t="s">
        <v>494</v>
      </c>
      <c r="C1966" s="78">
        <v>1</v>
      </c>
      <c r="D1966" s="78">
        <v>5413.04</v>
      </c>
      <c r="E1966" s="78">
        <f>TRUNC(C1966*D1966,2)</f>
        <v>5413.04</v>
      </c>
    </row>
    <row r="1967" ht="25.5" spans="1:5">
      <c r="A1967" s="76" t="s">
        <v>2847</v>
      </c>
      <c r="B1967" s="77" t="s">
        <v>839</v>
      </c>
      <c r="C1967" s="78">
        <v>1.4821</v>
      </c>
      <c r="D1967" s="78">
        <v>24.02</v>
      </c>
      <c r="E1967" s="78">
        <f>TRUNC(C1967*D1967,2)</f>
        <v>35.6</v>
      </c>
    </row>
    <row r="1968" ht="25.5" spans="1:5">
      <c r="A1968" s="76" t="s">
        <v>2848</v>
      </c>
      <c r="B1968" s="77" t="s">
        <v>839</v>
      </c>
      <c r="C1968" s="78">
        <v>1.4821</v>
      </c>
      <c r="D1968" s="78">
        <v>30.62</v>
      </c>
      <c r="E1968" s="78">
        <f>TRUNC(C1968*D1968,2)</f>
        <v>45.38</v>
      </c>
    </row>
    <row r="1969" ht="25.5" spans="1:5">
      <c r="A1969" s="76" t="s">
        <v>3037</v>
      </c>
      <c r="B1969" s="77" t="s">
        <v>977</v>
      </c>
      <c r="C1969" s="78">
        <v>0.2634</v>
      </c>
      <c r="D1969" s="78">
        <v>343.98</v>
      </c>
      <c r="E1969" s="78">
        <f>TRUNC(C1969*D1969,2)</f>
        <v>90.6</v>
      </c>
    </row>
    <row r="1970" ht="25.5" spans="1:5">
      <c r="A1970" s="76" t="s">
        <v>3038</v>
      </c>
      <c r="B1970" s="77" t="s">
        <v>979</v>
      </c>
      <c r="C1970" s="78">
        <v>2.3611</v>
      </c>
      <c r="D1970" s="78">
        <v>174.79</v>
      </c>
      <c r="E1970" s="78">
        <f>TRUNC(C1970*D1970,2)</f>
        <v>412.69</v>
      </c>
    </row>
    <row r="1971" spans="1:5">
      <c r="A1971" s="76" t="s">
        <v>122</v>
      </c>
      <c r="B1971" s="77"/>
      <c r="C1971" s="78"/>
      <c r="D1971" s="78"/>
      <c r="E1971" s="78">
        <f>SUM(E1966:E1970)</f>
        <v>5997.31</v>
      </c>
    </row>
    <row r="1972" spans="1:5">
      <c r="A1972" s="76"/>
      <c r="B1972" s="77"/>
      <c r="C1972" s="78"/>
      <c r="D1972" s="78"/>
      <c r="E1972" s="78"/>
    </row>
    <row r="1973" spans="1:5">
      <c r="A1973" s="76" t="s">
        <v>2538</v>
      </c>
      <c r="B1973" s="77"/>
      <c r="C1973" s="78"/>
      <c r="D1973" s="78"/>
      <c r="E1973" s="78">
        <f>E1971</f>
        <v>5997.31</v>
      </c>
    </row>
    <row r="1974" spans="1:5">
      <c r="A1974" s="76" t="s">
        <v>2539</v>
      </c>
      <c r="B1974" s="77"/>
      <c r="C1974" s="78"/>
      <c r="D1974" s="78">
        <v>0</v>
      </c>
      <c r="E1974" s="78">
        <f>TRUNC(D1974*E1973/100,2)</f>
        <v>0</v>
      </c>
    </row>
    <row r="1975" spans="1:5">
      <c r="A1975" s="76" t="s">
        <v>2540</v>
      </c>
      <c r="B1975" s="77"/>
      <c r="C1975" s="78"/>
      <c r="D1975" s="78"/>
      <c r="E1975" s="78">
        <f>E1973+E1974</f>
        <v>5997.31</v>
      </c>
    </row>
    <row r="1976" spans="1:5">
      <c r="A1976" s="76"/>
      <c r="B1976" s="77"/>
      <c r="C1976" s="78"/>
      <c r="D1976" s="78"/>
      <c r="E1976" s="78"/>
    </row>
    <row r="1977" spans="1:5">
      <c r="A1977" s="76" t="s">
        <v>3039</v>
      </c>
      <c r="B1977" s="77" t="s">
        <v>935</v>
      </c>
      <c r="C1977" s="78"/>
      <c r="D1977" s="78"/>
      <c r="E1977" s="78"/>
    </row>
    <row r="1978" ht="25.5" spans="1:5">
      <c r="A1978" s="76" t="s">
        <v>3040</v>
      </c>
      <c r="B1978" s="77"/>
      <c r="C1978" s="78"/>
      <c r="D1978" s="78"/>
      <c r="E1978" s="78"/>
    </row>
    <row r="1979" spans="1:5">
      <c r="A1979" s="76" t="s">
        <v>2552</v>
      </c>
      <c r="B1979" s="77"/>
      <c r="C1979" s="78"/>
      <c r="D1979" s="78"/>
      <c r="E1979" s="78"/>
    </row>
    <row r="1980" spans="1:5">
      <c r="A1980" s="76"/>
      <c r="B1980" s="77"/>
      <c r="C1980" s="78"/>
      <c r="D1980" s="78"/>
      <c r="E1980" s="78"/>
    </row>
    <row r="1981" spans="1:5">
      <c r="A1981" s="76" t="s">
        <v>2543</v>
      </c>
      <c r="B1981" s="77" t="s">
        <v>135</v>
      </c>
      <c r="C1981" s="78" t="s">
        <v>136</v>
      </c>
      <c r="D1981" s="78" t="s">
        <v>2534</v>
      </c>
      <c r="E1981" s="78" t="s">
        <v>2535</v>
      </c>
    </row>
    <row r="1982" spans="1:5">
      <c r="A1982" s="76" t="s">
        <v>2598</v>
      </c>
      <c r="B1982" s="77" t="s">
        <v>839</v>
      </c>
      <c r="C1982" s="78">
        <v>8</v>
      </c>
      <c r="D1982" s="78">
        <v>18.34</v>
      </c>
      <c r="E1982" s="78">
        <f>TRUNC(C1982*D1982,2)</f>
        <v>146.72</v>
      </c>
    </row>
    <row r="1983" spans="1:5">
      <c r="A1983" s="76" t="s">
        <v>3041</v>
      </c>
      <c r="B1983" s="77" t="s">
        <v>839</v>
      </c>
      <c r="C1983" s="78">
        <v>32</v>
      </c>
      <c r="D1983" s="78">
        <v>148.6</v>
      </c>
      <c r="E1983" s="78">
        <f>TRUNC(C1983*D1983,2)</f>
        <v>4755.2</v>
      </c>
    </row>
    <row r="1984" spans="1:5">
      <c r="A1984" s="76" t="s">
        <v>122</v>
      </c>
      <c r="B1984" s="77"/>
      <c r="C1984" s="78"/>
      <c r="D1984" s="78"/>
      <c r="E1984" s="78">
        <f>SUM(E1982:E1983)</f>
        <v>4901.92</v>
      </c>
    </row>
    <row r="1985" spans="1:5">
      <c r="A1985" s="76"/>
      <c r="B1985" s="77"/>
      <c r="C1985" s="78"/>
      <c r="D1985" s="78"/>
      <c r="E1985" s="78"/>
    </row>
    <row r="1986" spans="1:5">
      <c r="A1986" s="76" t="s">
        <v>2538</v>
      </c>
      <c r="B1986" s="77"/>
      <c r="C1986" s="78"/>
      <c r="D1986" s="78"/>
      <c r="E1986" s="78">
        <f>E1984</f>
        <v>4901.92</v>
      </c>
    </row>
    <row r="1987" spans="1:5">
      <c r="A1987" s="76" t="s">
        <v>2539</v>
      </c>
      <c r="B1987" s="77"/>
      <c r="C1987" s="78"/>
      <c r="D1987" s="78">
        <v>0</v>
      </c>
      <c r="E1987" s="78">
        <f>TRUNC(D1987*E1986/100,2)</f>
        <v>0</v>
      </c>
    </row>
    <row r="1988" spans="1:5">
      <c r="A1988" s="76" t="s">
        <v>2540</v>
      </c>
      <c r="B1988" s="77"/>
      <c r="C1988" s="78"/>
      <c r="D1988" s="78"/>
      <c r="E1988" s="78">
        <f>E1986+E1987</f>
        <v>4901.92</v>
      </c>
    </row>
    <row r="1989" spans="1:5">
      <c r="A1989" s="76"/>
      <c r="B1989" s="77"/>
      <c r="C1989" s="78"/>
      <c r="D1989" s="78"/>
      <c r="E1989" s="78"/>
    </row>
    <row r="1990" spans="1:5">
      <c r="A1990" s="76" t="s">
        <v>3042</v>
      </c>
      <c r="B1990" s="77" t="s">
        <v>936</v>
      </c>
      <c r="C1990" s="78"/>
      <c r="D1990" s="78"/>
      <c r="E1990" s="78"/>
    </row>
    <row r="1991" ht="25.5" spans="1:5">
      <c r="A1991" s="76" t="s">
        <v>3043</v>
      </c>
      <c r="B1991" s="77"/>
      <c r="C1991" s="78"/>
      <c r="D1991" s="78"/>
      <c r="E1991" s="78"/>
    </row>
    <row r="1992" spans="1:5">
      <c r="A1992" s="76" t="s">
        <v>2552</v>
      </c>
      <c r="B1992" s="77"/>
      <c r="C1992" s="78"/>
      <c r="D1992" s="78"/>
      <c r="E1992" s="78"/>
    </row>
    <row r="1993" spans="1:5">
      <c r="A1993" s="76"/>
      <c r="B1993" s="77"/>
      <c r="C1993" s="78"/>
      <c r="D1993" s="78"/>
      <c r="E1993" s="78"/>
    </row>
    <row r="1994" spans="1:5">
      <c r="A1994" s="76" t="s">
        <v>2543</v>
      </c>
      <c r="B1994" s="77" t="s">
        <v>135</v>
      </c>
      <c r="C1994" s="78" t="s">
        <v>136</v>
      </c>
      <c r="D1994" s="78" t="s">
        <v>2534</v>
      </c>
      <c r="E1994" s="78" t="s">
        <v>2535</v>
      </c>
    </row>
    <row r="1995" spans="1:5">
      <c r="A1995" s="76" t="s">
        <v>3044</v>
      </c>
      <c r="B1995" s="77" t="s">
        <v>494</v>
      </c>
      <c r="C1995" s="78">
        <v>0.012</v>
      </c>
      <c r="D1995" s="78">
        <v>3.9</v>
      </c>
      <c r="E1995" s="78">
        <f>TRUNC(C1995*D1995,2)</f>
        <v>0.04</v>
      </c>
    </row>
    <row r="1996" ht="25.5" spans="1:5">
      <c r="A1996" s="76" t="s">
        <v>3045</v>
      </c>
      <c r="B1996" s="77" t="s">
        <v>494</v>
      </c>
      <c r="C1996" s="78">
        <v>1</v>
      </c>
      <c r="D1996" s="78">
        <v>122.65</v>
      </c>
      <c r="E1996" s="78">
        <f>TRUNC(C1996*D1996,2)</f>
        <v>122.65</v>
      </c>
    </row>
    <row r="1997" ht="25.5" spans="1:5">
      <c r="A1997" s="76" t="s">
        <v>2847</v>
      </c>
      <c r="B1997" s="77" t="s">
        <v>839</v>
      </c>
      <c r="C1997" s="78">
        <v>0.843</v>
      </c>
      <c r="D1997" s="78">
        <v>24.02</v>
      </c>
      <c r="E1997" s="78">
        <f>TRUNC(C1997*D1997,2)</f>
        <v>20.24</v>
      </c>
    </row>
    <row r="1998" ht="25.5" spans="1:5">
      <c r="A1998" s="76" t="s">
        <v>2848</v>
      </c>
      <c r="B1998" s="77" t="s">
        <v>839</v>
      </c>
      <c r="C1998" s="78">
        <v>0.843</v>
      </c>
      <c r="D1998" s="78">
        <v>30.62</v>
      </c>
      <c r="E1998" s="78">
        <f>TRUNC(C1998*D1998,2)</f>
        <v>25.81</v>
      </c>
    </row>
    <row r="1999" spans="1:5">
      <c r="A1999" s="76" t="s">
        <v>122</v>
      </c>
      <c r="B1999" s="77"/>
      <c r="C1999" s="78"/>
      <c r="D1999" s="78"/>
      <c r="E1999" s="78">
        <f>SUM(E1995:E1998)</f>
        <v>168.74</v>
      </c>
    </row>
    <row r="2000" spans="1:5">
      <c r="A2000" s="76"/>
      <c r="B2000" s="77"/>
      <c r="C2000" s="78"/>
      <c r="D2000" s="78"/>
      <c r="E2000" s="78"/>
    </row>
    <row r="2001" spans="1:5">
      <c r="A2001" s="76" t="s">
        <v>2538</v>
      </c>
      <c r="B2001" s="77"/>
      <c r="C2001" s="78"/>
      <c r="D2001" s="78"/>
      <c r="E2001" s="78">
        <f>E1999</f>
        <v>168.74</v>
      </c>
    </row>
    <row r="2002" spans="1:5">
      <c r="A2002" s="76" t="s">
        <v>2539</v>
      </c>
      <c r="B2002" s="77"/>
      <c r="C2002" s="78"/>
      <c r="D2002" s="78">
        <v>0</v>
      </c>
      <c r="E2002" s="78">
        <f>TRUNC(D2002*E2001/100,2)</f>
        <v>0</v>
      </c>
    </row>
    <row r="2003" spans="1:5">
      <c r="A2003" s="76" t="s">
        <v>2540</v>
      </c>
      <c r="B2003" s="77"/>
      <c r="C2003" s="78"/>
      <c r="D2003" s="78"/>
      <c r="E2003" s="78">
        <f>E2001+E2002</f>
        <v>168.74</v>
      </c>
    </row>
    <row r="2004" spans="1:5">
      <c r="A2004" s="76"/>
      <c r="B2004" s="77"/>
      <c r="C2004" s="78"/>
      <c r="D2004" s="78"/>
      <c r="E2004" s="78"/>
    </row>
    <row r="2005" spans="1:5">
      <c r="A2005" s="76" t="s">
        <v>3046</v>
      </c>
      <c r="B2005" s="77" t="s">
        <v>938</v>
      </c>
      <c r="C2005" s="78"/>
      <c r="D2005" s="78"/>
      <c r="E2005" s="78"/>
    </row>
    <row r="2006" ht="25.5" spans="1:5">
      <c r="A2006" s="76" t="s">
        <v>3047</v>
      </c>
      <c r="B2006" s="77"/>
      <c r="C2006" s="78"/>
      <c r="D2006" s="78"/>
      <c r="E2006" s="78"/>
    </row>
    <row r="2007" spans="1:5">
      <c r="A2007" s="76" t="s">
        <v>2552</v>
      </c>
      <c r="B2007" s="77"/>
      <c r="C2007" s="78"/>
      <c r="D2007" s="78"/>
      <c r="E2007" s="78"/>
    </row>
    <row r="2008" spans="1:5">
      <c r="A2008" s="76"/>
      <c r="B2008" s="77"/>
      <c r="C2008" s="78"/>
      <c r="D2008" s="78"/>
      <c r="E2008" s="78"/>
    </row>
    <row r="2009" spans="1:5">
      <c r="A2009" s="76" t="s">
        <v>2543</v>
      </c>
      <c r="B2009" s="77" t="s">
        <v>135</v>
      </c>
      <c r="C2009" s="78" t="s">
        <v>136</v>
      </c>
      <c r="D2009" s="78" t="s">
        <v>2534</v>
      </c>
      <c r="E2009" s="78" t="s">
        <v>2535</v>
      </c>
    </row>
    <row r="2010" spans="1:5">
      <c r="A2010" s="76" t="s">
        <v>2932</v>
      </c>
      <c r="B2010" s="77" t="s">
        <v>494</v>
      </c>
      <c r="C2010" s="78">
        <v>0.0096</v>
      </c>
      <c r="D2010" s="78">
        <v>14.38</v>
      </c>
      <c r="E2010" s="78">
        <f>TRUNC(C2010*D2010,2)</f>
        <v>0.13</v>
      </c>
    </row>
    <row r="2011" ht="25.5" spans="1:5">
      <c r="A2011" s="76" t="s">
        <v>3048</v>
      </c>
      <c r="B2011" s="77" t="s">
        <v>494</v>
      </c>
      <c r="C2011" s="78">
        <v>1</v>
      </c>
      <c r="D2011" s="78">
        <v>281.67</v>
      </c>
      <c r="E2011" s="78">
        <f>TRUNC(C2011*D2011,2)</f>
        <v>281.67</v>
      </c>
    </row>
    <row r="2012" ht="25.5" spans="1:5">
      <c r="A2012" s="76" t="s">
        <v>2847</v>
      </c>
      <c r="B2012" s="77" t="s">
        <v>839</v>
      </c>
      <c r="C2012" s="78">
        <v>0.4548</v>
      </c>
      <c r="D2012" s="78">
        <v>24.02</v>
      </c>
      <c r="E2012" s="78">
        <f>TRUNC(C2012*D2012,2)</f>
        <v>10.92</v>
      </c>
    </row>
    <row r="2013" ht="25.5" spans="1:5">
      <c r="A2013" s="76" t="s">
        <v>2848</v>
      </c>
      <c r="B2013" s="77" t="s">
        <v>839</v>
      </c>
      <c r="C2013" s="78">
        <v>0.4548</v>
      </c>
      <c r="D2013" s="78">
        <v>30.62</v>
      </c>
      <c r="E2013" s="78">
        <f>TRUNC(C2013*D2013,2)</f>
        <v>13.92</v>
      </c>
    </row>
    <row r="2014" spans="1:5">
      <c r="A2014" s="76" t="s">
        <v>122</v>
      </c>
      <c r="B2014" s="77"/>
      <c r="C2014" s="78"/>
      <c r="D2014" s="78"/>
      <c r="E2014" s="78">
        <f>SUM(E2010:E2013)</f>
        <v>306.64</v>
      </c>
    </row>
    <row r="2015" spans="1:5">
      <c r="A2015" s="76"/>
      <c r="B2015" s="77"/>
      <c r="C2015" s="78"/>
      <c r="D2015" s="78"/>
      <c r="E2015" s="78"/>
    </row>
    <row r="2016" spans="1:5">
      <c r="A2016" s="76" t="s">
        <v>2538</v>
      </c>
      <c r="B2016" s="77"/>
      <c r="C2016" s="78"/>
      <c r="D2016" s="78"/>
      <c r="E2016" s="78">
        <f>E2014</f>
        <v>306.64</v>
      </c>
    </row>
    <row r="2017" spans="1:5">
      <c r="A2017" s="76" t="s">
        <v>2539</v>
      </c>
      <c r="B2017" s="77"/>
      <c r="C2017" s="78"/>
      <c r="D2017" s="78">
        <v>0</v>
      </c>
      <c r="E2017" s="78">
        <f>TRUNC(D2017*E2016/100,2)</f>
        <v>0</v>
      </c>
    </row>
    <row r="2018" spans="1:5">
      <c r="A2018" s="76" t="s">
        <v>2540</v>
      </c>
      <c r="B2018" s="77"/>
      <c r="C2018" s="78"/>
      <c r="D2018" s="78"/>
      <c r="E2018" s="78">
        <f>E2016+E2017</f>
        <v>306.64</v>
      </c>
    </row>
    <row r="2019" spans="1:5">
      <c r="A2019" s="76"/>
      <c r="B2019" s="77"/>
      <c r="C2019" s="78"/>
      <c r="D2019" s="78"/>
      <c r="E2019" s="78"/>
    </row>
    <row r="2020" spans="1:5">
      <c r="A2020" s="76" t="s">
        <v>3049</v>
      </c>
      <c r="B2020" s="77" t="s">
        <v>940</v>
      </c>
      <c r="C2020" s="78"/>
      <c r="D2020" s="78"/>
      <c r="E2020" s="78"/>
    </row>
    <row r="2021" ht="25.5" spans="1:5">
      <c r="A2021" s="76" t="s">
        <v>3050</v>
      </c>
      <c r="B2021" s="77"/>
      <c r="C2021" s="78"/>
      <c r="D2021" s="78"/>
      <c r="E2021" s="78"/>
    </row>
    <row r="2022" spans="1:5">
      <c r="A2022" s="76" t="s">
        <v>2591</v>
      </c>
      <c r="B2022" s="77"/>
      <c r="C2022" s="78"/>
      <c r="D2022" s="78"/>
      <c r="E2022" s="78"/>
    </row>
    <row r="2023" spans="1:5">
      <c r="A2023" s="76"/>
      <c r="B2023" s="77"/>
      <c r="C2023" s="78"/>
      <c r="D2023" s="78"/>
      <c r="E2023" s="78"/>
    </row>
    <row r="2024" spans="1:5">
      <c r="A2024" s="76" t="s">
        <v>2543</v>
      </c>
      <c r="B2024" s="77" t="s">
        <v>135</v>
      </c>
      <c r="C2024" s="78" t="s">
        <v>136</v>
      </c>
      <c r="D2024" s="78" t="s">
        <v>2534</v>
      </c>
      <c r="E2024" s="78" t="s">
        <v>2535</v>
      </c>
    </row>
    <row r="2025" spans="1:5">
      <c r="A2025" s="76" t="s">
        <v>2943</v>
      </c>
      <c r="B2025" s="77" t="s">
        <v>494</v>
      </c>
      <c r="C2025" s="78">
        <v>0.0141</v>
      </c>
      <c r="D2025" s="78">
        <v>2.57</v>
      </c>
      <c r="E2025" s="78">
        <f>TRUNC(C2025*D2025,2)</f>
        <v>0.03</v>
      </c>
    </row>
    <row r="2026" ht="25.5" spans="1:5">
      <c r="A2026" s="76" t="s">
        <v>3051</v>
      </c>
      <c r="B2026" s="77" t="s">
        <v>112</v>
      </c>
      <c r="C2026" s="78">
        <v>1.0353</v>
      </c>
      <c r="D2026" s="78">
        <v>63.01</v>
      </c>
      <c r="E2026" s="78">
        <f>TRUNC(C2026*D2026,2)</f>
        <v>65.23</v>
      </c>
    </row>
    <row r="2027" ht="25.5" spans="1:5">
      <c r="A2027" s="76" t="s">
        <v>2847</v>
      </c>
      <c r="B2027" s="77" t="s">
        <v>839</v>
      </c>
      <c r="C2027" s="78">
        <v>0.2533</v>
      </c>
      <c r="D2027" s="78">
        <v>24.02</v>
      </c>
      <c r="E2027" s="78">
        <f>TRUNC(C2027*D2027,2)</f>
        <v>6.08</v>
      </c>
    </row>
    <row r="2028" ht="25.5" spans="1:5">
      <c r="A2028" s="76" t="s">
        <v>2848</v>
      </c>
      <c r="B2028" s="77" t="s">
        <v>839</v>
      </c>
      <c r="C2028" s="78">
        <v>0.2533</v>
      </c>
      <c r="D2028" s="78">
        <v>30.62</v>
      </c>
      <c r="E2028" s="78">
        <f>TRUNC(C2028*D2028,2)</f>
        <v>7.75</v>
      </c>
    </row>
    <row r="2029" spans="1:5">
      <c r="A2029" s="76" t="s">
        <v>122</v>
      </c>
      <c r="B2029" s="77"/>
      <c r="C2029" s="78"/>
      <c r="D2029" s="78"/>
      <c r="E2029" s="78">
        <f>SUM(E2025:E2028)</f>
        <v>79.09</v>
      </c>
    </row>
    <row r="2030" spans="1:5">
      <c r="A2030" s="76"/>
      <c r="B2030" s="77"/>
      <c r="C2030" s="78"/>
      <c r="D2030" s="78"/>
      <c r="E2030" s="78"/>
    </row>
    <row r="2031" spans="1:5">
      <c r="A2031" s="76" t="s">
        <v>2538</v>
      </c>
      <c r="B2031" s="77"/>
      <c r="C2031" s="78"/>
      <c r="D2031" s="78"/>
      <c r="E2031" s="78">
        <f>E2029</f>
        <v>79.09</v>
      </c>
    </row>
    <row r="2032" spans="1:5">
      <c r="A2032" s="76" t="s">
        <v>2539</v>
      </c>
      <c r="B2032" s="77"/>
      <c r="C2032" s="78"/>
      <c r="D2032" s="78">
        <v>0</v>
      </c>
      <c r="E2032" s="78">
        <f>TRUNC(D2032*E2031/100,2)</f>
        <v>0</v>
      </c>
    </row>
    <row r="2033" spans="1:5">
      <c r="A2033" s="76" t="s">
        <v>2540</v>
      </c>
      <c r="B2033" s="77"/>
      <c r="C2033" s="78"/>
      <c r="D2033" s="78"/>
      <c r="E2033" s="78">
        <f>E2031+E2032</f>
        <v>79.09</v>
      </c>
    </row>
    <row r="2034" spans="1:5">
      <c r="A2034" s="76"/>
      <c r="B2034" s="77"/>
      <c r="C2034" s="78"/>
      <c r="D2034" s="78"/>
      <c r="E2034" s="78"/>
    </row>
    <row r="2035" spans="1:5">
      <c r="A2035" s="76" t="s">
        <v>3052</v>
      </c>
      <c r="B2035" s="77" t="s">
        <v>943</v>
      </c>
      <c r="C2035" s="78"/>
      <c r="D2035" s="78"/>
      <c r="E2035" s="78"/>
    </row>
    <row r="2036" spans="1:5">
      <c r="A2036" s="76" t="s">
        <v>3053</v>
      </c>
      <c r="B2036" s="77"/>
      <c r="C2036" s="78"/>
      <c r="D2036" s="78"/>
      <c r="E2036" s="78"/>
    </row>
    <row r="2037" spans="1:5">
      <c r="A2037" s="76" t="s">
        <v>2591</v>
      </c>
      <c r="B2037" s="77"/>
      <c r="C2037" s="78"/>
      <c r="D2037" s="78"/>
      <c r="E2037" s="78"/>
    </row>
    <row r="2038" spans="1:5">
      <c r="A2038" s="76"/>
      <c r="B2038" s="77"/>
      <c r="C2038" s="78"/>
      <c r="D2038" s="78"/>
      <c r="E2038" s="78"/>
    </row>
    <row r="2039" spans="1:5">
      <c r="A2039" s="76" t="s">
        <v>2543</v>
      </c>
      <c r="B2039" s="77" t="s">
        <v>135</v>
      </c>
      <c r="C2039" s="78" t="s">
        <v>136</v>
      </c>
      <c r="D2039" s="78" t="s">
        <v>2534</v>
      </c>
      <c r="E2039" s="78" t="s">
        <v>2535</v>
      </c>
    </row>
    <row r="2040" spans="1:5">
      <c r="A2040" s="76" t="s">
        <v>2621</v>
      </c>
      <c r="B2040" s="77" t="s">
        <v>839</v>
      </c>
      <c r="C2040" s="78">
        <v>0.4</v>
      </c>
      <c r="D2040" s="78">
        <v>23.75</v>
      </c>
      <c r="E2040" s="78">
        <f>TRUNC(C2040*D2040,2)</f>
        <v>9.5</v>
      </c>
    </row>
    <row r="2041" spans="1:5">
      <c r="A2041" s="76" t="s">
        <v>2630</v>
      </c>
      <c r="B2041" s="77" t="s">
        <v>839</v>
      </c>
      <c r="C2041" s="78">
        <v>0.2</v>
      </c>
      <c r="D2041" s="78">
        <v>31.34</v>
      </c>
      <c r="E2041" s="78">
        <f>TRUNC(C2041*D2041,2)</f>
        <v>6.26</v>
      </c>
    </row>
    <row r="2042" spans="1:5">
      <c r="A2042" s="76" t="s">
        <v>122</v>
      </c>
      <c r="B2042" s="77"/>
      <c r="C2042" s="78"/>
      <c r="D2042" s="78"/>
      <c r="E2042" s="78">
        <f>SUM(E2040:E2041)</f>
        <v>15.76</v>
      </c>
    </row>
    <row r="2043" spans="1:5">
      <c r="A2043" s="76"/>
      <c r="B2043" s="77"/>
      <c r="C2043" s="78"/>
      <c r="D2043" s="78"/>
      <c r="E2043" s="78"/>
    </row>
    <row r="2044" spans="1:5">
      <c r="A2044" s="76" t="s">
        <v>2538</v>
      </c>
      <c r="B2044" s="77"/>
      <c r="C2044" s="78"/>
      <c r="D2044" s="78"/>
      <c r="E2044" s="78">
        <f>E2042</f>
        <v>15.76</v>
      </c>
    </row>
    <row r="2045" spans="1:5">
      <c r="A2045" s="76" t="s">
        <v>2539</v>
      </c>
      <c r="B2045" s="77"/>
      <c r="C2045" s="78"/>
      <c r="D2045" s="78">
        <v>0</v>
      </c>
      <c r="E2045" s="78">
        <f>TRUNC(D2045*E2044/100,2)</f>
        <v>0</v>
      </c>
    </row>
    <row r="2046" spans="1:5">
      <c r="A2046" s="76" t="s">
        <v>2540</v>
      </c>
      <c r="B2046" s="77"/>
      <c r="C2046" s="78"/>
      <c r="D2046" s="78"/>
      <c r="E2046" s="78">
        <f>E2044+E2045</f>
        <v>15.76</v>
      </c>
    </row>
    <row r="2047" spans="1:5">
      <c r="A2047" s="76"/>
      <c r="B2047" s="77"/>
      <c r="C2047" s="78"/>
      <c r="D2047" s="78"/>
      <c r="E2047" s="78"/>
    </row>
    <row r="2048" spans="1:5">
      <c r="A2048" s="76" t="s">
        <v>3054</v>
      </c>
      <c r="B2048" s="77" t="s">
        <v>946</v>
      </c>
      <c r="C2048" s="78"/>
      <c r="D2048" s="78"/>
      <c r="E2048" s="78"/>
    </row>
    <row r="2049" ht="25.5" spans="1:5">
      <c r="A2049" s="76" t="s">
        <v>3055</v>
      </c>
      <c r="B2049" s="77"/>
      <c r="C2049" s="78"/>
      <c r="D2049" s="78"/>
      <c r="E2049" s="78"/>
    </row>
    <row r="2050" spans="1:5">
      <c r="A2050" s="76" t="s">
        <v>2619</v>
      </c>
      <c r="B2050" s="77"/>
      <c r="C2050" s="78"/>
      <c r="D2050" s="78"/>
      <c r="E2050" s="78"/>
    </row>
    <row r="2051" spans="1:5">
      <c r="A2051" s="76"/>
      <c r="B2051" s="77"/>
      <c r="C2051" s="78"/>
      <c r="D2051" s="78"/>
      <c r="E2051" s="78"/>
    </row>
    <row r="2052" spans="1:5">
      <c r="A2052" s="76" t="s">
        <v>2543</v>
      </c>
      <c r="B2052" s="77" t="s">
        <v>135</v>
      </c>
      <c r="C2052" s="78" t="s">
        <v>136</v>
      </c>
      <c r="D2052" s="78" t="s">
        <v>2534</v>
      </c>
      <c r="E2052" s="78" t="s">
        <v>2535</v>
      </c>
    </row>
    <row r="2053" spans="1:5">
      <c r="A2053" s="76" t="s">
        <v>2621</v>
      </c>
      <c r="B2053" s="77" t="s">
        <v>839</v>
      </c>
      <c r="C2053" s="78">
        <v>2.5</v>
      </c>
      <c r="D2053" s="78">
        <v>23.75</v>
      </c>
      <c r="E2053" s="78">
        <f>TRUNC(C2053*D2053,2)</f>
        <v>59.37</v>
      </c>
    </row>
    <row r="2054" spans="1:5">
      <c r="A2054" s="76" t="s">
        <v>122</v>
      </c>
      <c r="B2054" s="77"/>
      <c r="C2054" s="78"/>
      <c r="D2054" s="78"/>
      <c r="E2054" s="78">
        <f>SUM(E2053:E2053)</f>
        <v>59.37</v>
      </c>
    </row>
    <row r="2055" spans="1:5">
      <c r="A2055" s="76"/>
      <c r="B2055" s="77"/>
      <c r="C2055" s="78"/>
      <c r="D2055" s="78"/>
      <c r="E2055" s="78"/>
    </row>
    <row r="2056" spans="1:5">
      <c r="A2056" s="76" t="s">
        <v>2538</v>
      </c>
      <c r="B2056" s="77"/>
      <c r="C2056" s="78"/>
      <c r="D2056" s="78"/>
      <c r="E2056" s="78">
        <f>E2054</f>
        <v>59.37</v>
      </c>
    </row>
    <row r="2057" spans="1:5">
      <c r="A2057" s="76" t="s">
        <v>2539</v>
      </c>
      <c r="B2057" s="77"/>
      <c r="C2057" s="78"/>
      <c r="D2057" s="78">
        <v>0</v>
      </c>
      <c r="E2057" s="78">
        <f>TRUNC(D2057*E2056/100,2)</f>
        <v>0</v>
      </c>
    </row>
    <row r="2058" spans="1:5">
      <c r="A2058" s="76" t="s">
        <v>2540</v>
      </c>
      <c r="B2058" s="77"/>
      <c r="C2058" s="78"/>
      <c r="D2058" s="78"/>
      <c r="E2058" s="78">
        <f>E2056+E2057</f>
        <v>59.37</v>
      </c>
    </row>
    <row r="2059" spans="1:5">
      <c r="A2059" s="76"/>
      <c r="B2059" s="77"/>
      <c r="C2059" s="78"/>
      <c r="D2059" s="78"/>
      <c r="E2059" s="78"/>
    </row>
    <row r="2060" spans="1:5">
      <c r="A2060" s="76" t="s">
        <v>3056</v>
      </c>
      <c r="B2060" s="77" t="s">
        <v>948</v>
      </c>
      <c r="C2060" s="78"/>
      <c r="D2060" s="78"/>
      <c r="E2060" s="78"/>
    </row>
    <row r="2061" ht="25.5" spans="1:5">
      <c r="A2061" s="76" t="s">
        <v>3057</v>
      </c>
      <c r="B2061" s="77"/>
      <c r="C2061" s="78"/>
      <c r="D2061" s="78"/>
      <c r="E2061" s="78"/>
    </row>
    <row r="2062" spans="1:5">
      <c r="A2062" s="76" t="s">
        <v>2619</v>
      </c>
      <c r="B2062" s="77"/>
      <c r="C2062" s="78"/>
      <c r="D2062" s="78"/>
      <c r="E2062" s="78"/>
    </row>
    <row r="2063" spans="1:5">
      <c r="A2063" s="76"/>
      <c r="B2063" s="77"/>
      <c r="C2063" s="78"/>
      <c r="D2063" s="78"/>
      <c r="E2063" s="78"/>
    </row>
    <row r="2064" spans="1:5">
      <c r="A2064" s="76" t="s">
        <v>2543</v>
      </c>
      <c r="B2064" s="77" t="s">
        <v>135</v>
      </c>
      <c r="C2064" s="78" t="s">
        <v>136</v>
      </c>
      <c r="D2064" s="78" t="s">
        <v>2534</v>
      </c>
      <c r="E2064" s="78" t="s">
        <v>2535</v>
      </c>
    </row>
    <row r="2065" spans="1:5">
      <c r="A2065" s="76" t="s">
        <v>2621</v>
      </c>
      <c r="B2065" s="77" t="s">
        <v>839</v>
      </c>
      <c r="C2065" s="78">
        <v>3.00003</v>
      </c>
      <c r="D2065" s="78">
        <v>23.75</v>
      </c>
      <c r="E2065" s="78">
        <f>TRUNC(C2065*D2065,2)</f>
        <v>71.25</v>
      </c>
    </row>
    <row r="2066" spans="1:5">
      <c r="A2066" s="76" t="s">
        <v>122</v>
      </c>
      <c r="B2066" s="77"/>
      <c r="C2066" s="78"/>
      <c r="D2066" s="78"/>
      <c r="E2066" s="78">
        <f>SUM(E2065:E2065)</f>
        <v>71.25</v>
      </c>
    </row>
    <row r="2067" spans="1:5">
      <c r="A2067" s="76"/>
      <c r="B2067" s="77"/>
      <c r="C2067" s="78"/>
      <c r="D2067" s="78"/>
      <c r="E2067" s="78"/>
    </row>
    <row r="2068" spans="1:5">
      <c r="A2068" s="76" t="s">
        <v>2538</v>
      </c>
      <c r="B2068" s="77"/>
      <c r="C2068" s="78"/>
      <c r="D2068" s="78"/>
      <c r="E2068" s="78">
        <f>E2066</f>
        <v>71.25</v>
      </c>
    </row>
    <row r="2069" spans="1:5">
      <c r="A2069" s="76" t="s">
        <v>2539</v>
      </c>
      <c r="B2069" s="77"/>
      <c r="C2069" s="78"/>
      <c r="D2069" s="78">
        <v>0</v>
      </c>
      <c r="E2069" s="78">
        <f>TRUNC(D2069*E2068/100,2)</f>
        <v>0</v>
      </c>
    </row>
    <row r="2070" spans="1:5">
      <c r="A2070" s="76" t="s">
        <v>2540</v>
      </c>
      <c r="B2070" s="77"/>
      <c r="C2070" s="78"/>
      <c r="D2070" s="78"/>
      <c r="E2070" s="78">
        <f>E2068+E2069</f>
        <v>71.25</v>
      </c>
    </row>
    <row r="2071" spans="1:5">
      <c r="A2071" s="76"/>
      <c r="B2071" s="77"/>
      <c r="C2071" s="78"/>
      <c r="D2071" s="78"/>
      <c r="E2071" s="78"/>
    </row>
    <row r="2072" spans="1:5">
      <c r="A2072" s="76" t="s">
        <v>3058</v>
      </c>
      <c r="B2072" s="77" t="s">
        <v>950</v>
      </c>
      <c r="C2072" s="78"/>
      <c r="D2072" s="78"/>
      <c r="E2072" s="78"/>
    </row>
    <row r="2073" ht="25.5" spans="1:5">
      <c r="A2073" s="76" t="s">
        <v>3059</v>
      </c>
      <c r="B2073" s="77"/>
      <c r="C2073" s="78"/>
      <c r="D2073" s="78"/>
      <c r="E2073" s="78"/>
    </row>
    <row r="2074" spans="1:5">
      <c r="A2074" s="76" t="s">
        <v>2619</v>
      </c>
      <c r="B2074" s="77"/>
      <c r="C2074" s="78"/>
      <c r="D2074" s="78"/>
      <c r="E2074" s="78"/>
    </row>
    <row r="2075" spans="1:5">
      <c r="A2075" s="76"/>
      <c r="B2075" s="77"/>
      <c r="C2075" s="78"/>
      <c r="D2075" s="78"/>
      <c r="E2075" s="78"/>
    </row>
    <row r="2076" spans="1:5">
      <c r="A2076" s="76" t="s">
        <v>2543</v>
      </c>
      <c r="B2076" s="77" t="s">
        <v>135</v>
      </c>
      <c r="C2076" s="78" t="s">
        <v>136</v>
      </c>
      <c r="D2076" s="78" t="s">
        <v>2534</v>
      </c>
      <c r="E2076" s="78" t="s">
        <v>2535</v>
      </c>
    </row>
    <row r="2077" spans="1:5">
      <c r="A2077" s="76" t="s">
        <v>2621</v>
      </c>
      <c r="B2077" s="77" t="s">
        <v>839</v>
      </c>
      <c r="C2077" s="78">
        <v>3.5000525</v>
      </c>
      <c r="D2077" s="78">
        <v>23.75</v>
      </c>
      <c r="E2077" s="78">
        <f>TRUNC(C2077*D2077,2)</f>
        <v>83.12</v>
      </c>
    </row>
    <row r="2078" spans="1:5">
      <c r="A2078" s="76" t="s">
        <v>122</v>
      </c>
      <c r="B2078" s="77"/>
      <c r="C2078" s="78"/>
      <c r="D2078" s="78"/>
      <c r="E2078" s="78">
        <f>SUM(E2077:E2077)</f>
        <v>83.12</v>
      </c>
    </row>
    <row r="2079" spans="1:5">
      <c r="A2079" s="76"/>
      <c r="B2079" s="77"/>
      <c r="C2079" s="78"/>
      <c r="D2079" s="78"/>
      <c r="E2079" s="78"/>
    </row>
    <row r="2080" spans="1:5">
      <c r="A2080" s="76" t="s">
        <v>2538</v>
      </c>
      <c r="B2080" s="77"/>
      <c r="C2080" s="78"/>
      <c r="D2080" s="78"/>
      <c r="E2080" s="78">
        <f>E2078</f>
        <v>83.12</v>
      </c>
    </row>
    <row r="2081" spans="1:5">
      <c r="A2081" s="76" t="s">
        <v>2539</v>
      </c>
      <c r="B2081" s="77"/>
      <c r="C2081" s="78"/>
      <c r="D2081" s="78">
        <v>0</v>
      </c>
      <c r="E2081" s="78">
        <f>TRUNC(D2081*E2080/100,2)</f>
        <v>0</v>
      </c>
    </row>
    <row r="2082" spans="1:5">
      <c r="A2082" s="76" t="s">
        <v>2540</v>
      </c>
      <c r="B2082" s="77"/>
      <c r="C2082" s="78"/>
      <c r="D2082" s="78"/>
      <c r="E2082" s="78">
        <f>E2080+E2081</f>
        <v>83.12</v>
      </c>
    </row>
    <row r="2083" spans="1:5">
      <c r="A2083" s="76"/>
      <c r="B2083" s="77"/>
      <c r="C2083" s="78"/>
      <c r="D2083" s="78"/>
      <c r="E2083" s="78"/>
    </row>
    <row r="2084" spans="1:5">
      <c r="A2084" s="76" t="s">
        <v>3060</v>
      </c>
      <c r="B2084" s="77" t="s">
        <v>952</v>
      </c>
      <c r="C2084" s="78"/>
      <c r="D2084" s="78"/>
      <c r="E2084" s="78"/>
    </row>
    <row r="2085" ht="25.5" spans="1:5">
      <c r="A2085" s="76" t="s">
        <v>3061</v>
      </c>
      <c r="B2085" s="77"/>
      <c r="C2085" s="78"/>
      <c r="D2085" s="78"/>
      <c r="E2085" s="78"/>
    </row>
    <row r="2086" spans="1:5">
      <c r="A2086" s="76" t="s">
        <v>2619</v>
      </c>
      <c r="B2086" s="77"/>
      <c r="C2086" s="78"/>
      <c r="D2086" s="78"/>
      <c r="E2086" s="78"/>
    </row>
    <row r="2087" spans="1:5">
      <c r="A2087" s="76"/>
      <c r="B2087" s="77"/>
      <c r="C2087" s="78"/>
      <c r="D2087" s="78"/>
      <c r="E2087" s="78"/>
    </row>
    <row r="2088" spans="1:5">
      <c r="A2088" s="76" t="s">
        <v>2543</v>
      </c>
      <c r="B2088" s="77" t="s">
        <v>135</v>
      </c>
      <c r="C2088" s="78" t="s">
        <v>136</v>
      </c>
      <c r="D2088" s="78" t="s">
        <v>2534</v>
      </c>
      <c r="E2088" s="78" t="s">
        <v>2535</v>
      </c>
    </row>
    <row r="2089" spans="1:5">
      <c r="A2089" s="76" t="s">
        <v>2621</v>
      </c>
      <c r="B2089" s="77" t="s">
        <v>839</v>
      </c>
      <c r="C2089" s="78">
        <v>2</v>
      </c>
      <c r="D2089" s="78">
        <v>23.75</v>
      </c>
      <c r="E2089" s="78">
        <f>TRUNC(C2089*D2089,2)</f>
        <v>47.5</v>
      </c>
    </row>
    <row r="2090" spans="1:5">
      <c r="A2090" s="76" t="s">
        <v>122</v>
      </c>
      <c r="B2090" s="77"/>
      <c r="C2090" s="78"/>
      <c r="D2090" s="78"/>
      <c r="E2090" s="78">
        <f>SUM(E2089:E2089)</f>
        <v>47.5</v>
      </c>
    </row>
    <row r="2091" spans="1:5">
      <c r="A2091" s="76"/>
      <c r="B2091" s="77"/>
      <c r="C2091" s="78"/>
      <c r="D2091" s="78"/>
      <c r="E2091" s="78"/>
    </row>
    <row r="2092" spans="1:5">
      <c r="A2092" s="76" t="s">
        <v>2538</v>
      </c>
      <c r="B2092" s="77"/>
      <c r="C2092" s="78"/>
      <c r="D2092" s="78"/>
      <c r="E2092" s="78">
        <f>E2090</f>
        <v>47.5</v>
      </c>
    </row>
    <row r="2093" spans="1:5">
      <c r="A2093" s="76" t="s">
        <v>2539</v>
      </c>
      <c r="B2093" s="77"/>
      <c r="C2093" s="78"/>
      <c r="D2093" s="78">
        <v>0</v>
      </c>
      <c r="E2093" s="78">
        <f>TRUNC(D2093*E2092/100,2)</f>
        <v>0</v>
      </c>
    </row>
    <row r="2094" spans="1:5">
      <c r="A2094" s="76" t="s">
        <v>2540</v>
      </c>
      <c r="B2094" s="77"/>
      <c r="C2094" s="78"/>
      <c r="D2094" s="78"/>
      <c r="E2094" s="78">
        <f>E2092+E2093</f>
        <v>47.5</v>
      </c>
    </row>
    <row r="2095" spans="1:5">
      <c r="A2095" s="76"/>
      <c r="B2095" s="77"/>
      <c r="C2095" s="78"/>
      <c r="D2095" s="78"/>
      <c r="E2095" s="78"/>
    </row>
    <row r="2096" spans="1:5">
      <c r="A2096" s="76" t="s">
        <v>3062</v>
      </c>
      <c r="B2096" s="77" t="s">
        <v>954</v>
      </c>
      <c r="C2096" s="78"/>
      <c r="D2096" s="78"/>
      <c r="E2096" s="78"/>
    </row>
    <row r="2097" ht="25.5" spans="1:5">
      <c r="A2097" s="76" t="s">
        <v>3063</v>
      </c>
      <c r="B2097" s="77"/>
      <c r="C2097" s="78"/>
      <c r="D2097" s="78"/>
      <c r="E2097" s="78"/>
    </row>
    <row r="2098" spans="1:5">
      <c r="A2098" s="76" t="s">
        <v>2619</v>
      </c>
      <c r="B2098" s="77"/>
      <c r="C2098" s="78"/>
      <c r="D2098" s="78"/>
      <c r="E2098" s="78"/>
    </row>
    <row r="2099" spans="1:5">
      <c r="A2099" s="76"/>
      <c r="B2099" s="77"/>
      <c r="C2099" s="78"/>
      <c r="D2099" s="78"/>
      <c r="E2099" s="78"/>
    </row>
    <row r="2100" spans="1:5">
      <c r="A2100" s="76" t="s">
        <v>2543</v>
      </c>
      <c r="B2100" s="77" t="s">
        <v>135</v>
      </c>
      <c r="C2100" s="78" t="s">
        <v>136</v>
      </c>
      <c r="D2100" s="78" t="s">
        <v>2534</v>
      </c>
      <c r="E2100" s="78" t="s">
        <v>2535</v>
      </c>
    </row>
    <row r="2101" spans="1:5">
      <c r="A2101" s="76" t="s">
        <v>2621</v>
      </c>
      <c r="B2101" s="77" t="s">
        <v>839</v>
      </c>
      <c r="C2101" s="78">
        <v>3.5000525</v>
      </c>
      <c r="D2101" s="78">
        <v>23.75</v>
      </c>
      <c r="E2101" s="78">
        <f>TRUNC(C2101*D2101,2)</f>
        <v>83.12</v>
      </c>
    </row>
    <row r="2102" spans="1:5">
      <c r="A2102" s="76" t="s">
        <v>122</v>
      </c>
      <c r="B2102" s="77"/>
      <c r="C2102" s="78"/>
      <c r="D2102" s="78"/>
      <c r="E2102" s="78">
        <f>SUM(E2101:E2101)</f>
        <v>83.12</v>
      </c>
    </row>
    <row r="2103" spans="1:5">
      <c r="A2103" s="76"/>
      <c r="B2103" s="77"/>
      <c r="C2103" s="78"/>
      <c r="D2103" s="78"/>
      <c r="E2103" s="78"/>
    </row>
    <row r="2104" spans="1:5">
      <c r="A2104" s="76" t="s">
        <v>2538</v>
      </c>
      <c r="B2104" s="77"/>
      <c r="C2104" s="78"/>
      <c r="D2104" s="78"/>
      <c r="E2104" s="78">
        <f>E2102</f>
        <v>83.12</v>
      </c>
    </row>
    <row r="2105" spans="1:5">
      <c r="A2105" s="76" t="s">
        <v>2539</v>
      </c>
      <c r="B2105" s="77"/>
      <c r="C2105" s="78"/>
      <c r="D2105" s="78">
        <v>0</v>
      </c>
      <c r="E2105" s="78">
        <f>TRUNC(D2105*E2104/100,2)</f>
        <v>0</v>
      </c>
    </row>
    <row r="2106" spans="1:5">
      <c r="A2106" s="76" t="s">
        <v>2540</v>
      </c>
      <c r="B2106" s="77"/>
      <c r="C2106" s="78"/>
      <c r="D2106" s="78"/>
      <c r="E2106" s="78">
        <f>E2104+E2105</f>
        <v>83.12</v>
      </c>
    </row>
    <row r="2107" spans="1:5">
      <c r="A2107" s="76"/>
      <c r="B2107" s="77"/>
      <c r="C2107" s="78"/>
      <c r="D2107" s="78"/>
      <c r="E2107" s="78"/>
    </row>
    <row r="2108" spans="1:5">
      <c r="A2108" s="76" t="s">
        <v>3064</v>
      </c>
      <c r="B2108" s="77" t="s">
        <v>956</v>
      </c>
      <c r="C2108" s="78"/>
      <c r="D2108" s="78"/>
      <c r="E2108" s="78"/>
    </row>
    <row r="2109" ht="25.5" spans="1:5">
      <c r="A2109" s="76" t="s">
        <v>3065</v>
      </c>
      <c r="B2109" s="77"/>
      <c r="C2109" s="78"/>
      <c r="D2109" s="78"/>
      <c r="E2109" s="78"/>
    </row>
    <row r="2110" spans="1:5">
      <c r="A2110" s="76" t="s">
        <v>2619</v>
      </c>
      <c r="B2110" s="77"/>
      <c r="C2110" s="78"/>
      <c r="D2110" s="78"/>
      <c r="E2110" s="78"/>
    </row>
    <row r="2111" spans="1:5">
      <c r="A2111" s="76"/>
      <c r="B2111" s="77"/>
      <c r="C2111" s="78"/>
      <c r="D2111" s="78"/>
      <c r="E2111" s="78"/>
    </row>
    <row r="2112" spans="1:5">
      <c r="A2112" s="76" t="s">
        <v>2543</v>
      </c>
      <c r="B2112" s="77" t="s">
        <v>135</v>
      </c>
      <c r="C2112" s="78" t="s">
        <v>136</v>
      </c>
      <c r="D2112" s="78" t="s">
        <v>2534</v>
      </c>
      <c r="E2112" s="78" t="s">
        <v>2535</v>
      </c>
    </row>
    <row r="2113" spans="1:5">
      <c r="A2113" s="76" t="s">
        <v>2621</v>
      </c>
      <c r="B2113" s="77" t="s">
        <v>839</v>
      </c>
      <c r="C2113" s="78">
        <v>4.16666666</v>
      </c>
      <c r="D2113" s="78">
        <v>23.75</v>
      </c>
      <c r="E2113" s="78">
        <f>TRUNC(C2113*D2113,2)</f>
        <v>98.95</v>
      </c>
    </row>
    <row r="2114" spans="1:5">
      <c r="A2114" s="76" t="s">
        <v>122</v>
      </c>
      <c r="B2114" s="77"/>
      <c r="C2114" s="78"/>
      <c r="D2114" s="78"/>
      <c r="E2114" s="78">
        <f>SUM(E2113:E2113)</f>
        <v>98.95</v>
      </c>
    </row>
    <row r="2115" spans="1:5">
      <c r="A2115" s="76"/>
      <c r="B2115" s="77"/>
      <c r="C2115" s="78"/>
      <c r="D2115" s="78"/>
      <c r="E2115" s="78"/>
    </row>
    <row r="2116" spans="1:5">
      <c r="A2116" s="76" t="s">
        <v>2538</v>
      </c>
      <c r="B2116" s="77"/>
      <c r="C2116" s="78"/>
      <c r="D2116" s="78"/>
      <c r="E2116" s="78">
        <f>E2114</f>
        <v>98.95</v>
      </c>
    </row>
    <row r="2117" spans="1:5">
      <c r="A2117" s="76" t="s">
        <v>2539</v>
      </c>
      <c r="B2117" s="77"/>
      <c r="C2117" s="78"/>
      <c r="D2117" s="78">
        <v>0</v>
      </c>
      <c r="E2117" s="78">
        <f>TRUNC(D2117*E2116/100,2)</f>
        <v>0</v>
      </c>
    </row>
    <row r="2118" spans="1:5">
      <c r="A2118" s="76" t="s">
        <v>2540</v>
      </c>
      <c r="B2118" s="77"/>
      <c r="C2118" s="78"/>
      <c r="D2118" s="78"/>
      <c r="E2118" s="78">
        <f>E2116+E2117</f>
        <v>98.95</v>
      </c>
    </row>
    <row r="2119" spans="1:5">
      <c r="A2119" s="76"/>
      <c r="B2119" s="77"/>
      <c r="C2119" s="78"/>
      <c r="D2119" s="78"/>
      <c r="E2119" s="78"/>
    </row>
    <row r="2120" spans="1:5">
      <c r="A2120" s="76" t="s">
        <v>3066</v>
      </c>
      <c r="B2120" s="77" t="s">
        <v>958</v>
      </c>
      <c r="C2120" s="78"/>
      <c r="D2120" s="78"/>
      <c r="E2120" s="78"/>
    </row>
    <row r="2121" ht="25.5" spans="1:5">
      <c r="A2121" s="76" t="s">
        <v>3067</v>
      </c>
      <c r="B2121" s="77"/>
      <c r="C2121" s="78"/>
      <c r="D2121" s="78"/>
      <c r="E2121" s="78"/>
    </row>
    <row r="2122" spans="1:5">
      <c r="A2122" s="76" t="s">
        <v>2619</v>
      </c>
      <c r="B2122" s="77"/>
      <c r="C2122" s="78"/>
      <c r="D2122" s="78"/>
      <c r="E2122" s="78"/>
    </row>
    <row r="2123" spans="1:5">
      <c r="A2123" s="76"/>
      <c r="B2123" s="77"/>
      <c r="C2123" s="78"/>
      <c r="D2123" s="78"/>
      <c r="E2123" s="78"/>
    </row>
    <row r="2124" spans="1:5">
      <c r="A2124" s="76" t="s">
        <v>2543</v>
      </c>
      <c r="B2124" s="77" t="s">
        <v>135</v>
      </c>
      <c r="C2124" s="78" t="s">
        <v>136</v>
      </c>
      <c r="D2124" s="78" t="s">
        <v>2534</v>
      </c>
      <c r="E2124" s="78" t="s">
        <v>2535</v>
      </c>
    </row>
    <row r="2125" spans="1:5">
      <c r="A2125" s="76" t="s">
        <v>2621</v>
      </c>
      <c r="B2125" s="77" t="s">
        <v>839</v>
      </c>
      <c r="C2125" s="78">
        <v>4.83325277</v>
      </c>
      <c r="D2125" s="78">
        <v>23.75</v>
      </c>
      <c r="E2125" s="78">
        <f>TRUNC(C2125*D2125,2)</f>
        <v>114.78</v>
      </c>
    </row>
    <row r="2126" spans="1:5">
      <c r="A2126" s="76" t="s">
        <v>122</v>
      </c>
      <c r="B2126" s="77"/>
      <c r="C2126" s="78"/>
      <c r="D2126" s="78"/>
      <c r="E2126" s="78">
        <f>SUM(E2125:E2125)</f>
        <v>114.78</v>
      </c>
    </row>
    <row r="2127" spans="1:5">
      <c r="A2127" s="76"/>
      <c r="B2127" s="77"/>
      <c r="C2127" s="78"/>
      <c r="D2127" s="78"/>
      <c r="E2127" s="78"/>
    </row>
    <row r="2128" spans="1:5">
      <c r="A2128" s="76" t="s">
        <v>2538</v>
      </c>
      <c r="B2128" s="77"/>
      <c r="C2128" s="78"/>
      <c r="D2128" s="78"/>
      <c r="E2128" s="78">
        <f>E2126</f>
        <v>114.78</v>
      </c>
    </row>
    <row r="2129" spans="1:5">
      <c r="A2129" s="76" t="s">
        <v>2539</v>
      </c>
      <c r="B2129" s="77"/>
      <c r="C2129" s="78"/>
      <c r="D2129" s="78">
        <v>0</v>
      </c>
      <c r="E2129" s="78">
        <f>TRUNC(D2129*E2128/100,2)</f>
        <v>0</v>
      </c>
    </row>
    <row r="2130" spans="1:5">
      <c r="A2130" s="76" t="s">
        <v>2540</v>
      </c>
      <c r="B2130" s="77"/>
      <c r="C2130" s="78"/>
      <c r="D2130" s="78"/>
      <c r="E2130" s="78">
        <f>E2128+E2129</f>
        <v>114.78</v>
      </c>
    </row>
    <row r="2131" spans="1:5">
      <c r="A2131" s="76"/>
      <c r="B2131" s="77"/>
      <c r="C2131" s="78"/>
      <c r="D2131" s="78"/>
      <c r="E2131" s="78"/>
    </row>
    <row r="2132" spans="1:5">
      <c r="A2132" s="76" t="s">
        <v>3068</v>
      </c>
      <c r="B2132" s="77">
        <v>8101008010056</v>
      </c>
      <c r="C2132" s="78"/>
      <c r="D2132" s="78"/>
      <c r="E2132" s="78"/>
    </row>
    <row r="2133" spans="1:5">
      <c r="A2133" s="76" t="s">
        <v>3069</v>
      </c>
      <c r="B2133" s="77"/>
      <c r="C2133" s="78"/>
      <c r="D2133" s="78"/>
      <c r="E2133" s="78"/>
    </row>
    <row r="2134" spans="1:5">
      <c r="A2134" s="76" t="s">
        <v>2552</v>
      </c>
      <c r="B2134" s="77"/>
      <c r="C2134" s="78"/>
      <c r="D2134" s="78"/>
      <c r="E2134" s="78"/>
    </row>
    <row r="2135" spans="1:5">
      <c r="A2135" s="76"/>
      <c r="B2135" s="77"/>
      <c r="C2135" s="78"/>
      <c r="D2135" s="78"/>
      <c r="E2135" s="78"/>
    </row>
    <row r="2136" spans="1:5">
      <c r="A2136" s="76" t="s">
        <v>2543</v>
      </c>
      <c r="B2136" s="77" t="s">
        <v>135</v>
      </c>
      <c r="C2136" s="78" t="s">
        <v>136</v>
      </c>
      <c r="D2136" s="78" t="s">
        <v>2534</v>
      </c>
      <c r="E2136" s="78" t="s">
        <v>2535</v>
      </c>
    </row>
    <row r="2137" ht="25.5" spans="1:5">
      <c r="A2137" s="76" t="s">
        <v>3070</v>
      </c>
      <c r="B2137" s="77" t="s">
        <v>977</v>
      </c>
      <c r="C2137" s="78">
        <v>0.5</v>
      </c>
      <c r="D2137" s="78">
        <v>1.13</v>
      </c>
      <c r="E2137" s="78">
        <f t="shared" ref="E2137:E2153" si="39">TRUNC(C2137*D2137,2)</f>
        <v>0.56</v>
      </c>
    </row>
    <row r="2138" ht="25.5" spans="1:5">
      <c r="A2138" s="76" t="s">
        <v>3071</v>
      </c>
      <c r="B2138" s="77" t="s">
        <v>977</v>
      </c>
      <c r="C2138" s="78">
        <v>0.666667</v>
      </c>
      <c r="D2138" s="78">
        <v>15.93</v>
      </c>
      <c r="E2138" s="78">
        <f t="shared" si="39"/>
        <v>10.62</v>
      </c>
    </row>
    <row r="2139" ht="38.25" spans="1:5">
      <c r="A2139" s="76" t="s">
        <v>3072</v>
      </c>
      <c r="B2139" s="77" t="s">
        <v>977</v>
      </c>
      <c r="C2139" s="78">
        <v>0.5</v>
      </c>
      <c r="D2139" s="78">
        <v>3.23</v>
      </c>
      <c r="E2139" s="78">
        <f t="shared" si="39"/>
        <v>1.61</v>
      </c>
    </row>
    <row r="2140" ht="51" spans="1:5">
      <c r="A2140" s="76" t="s">
        <v>3073</v>
      </c>
      <c r="B2140" s="77" t="s">
        <v>977</v>
      </c>
      <c r="C2140" s="78">
        <v>0.241667</v>
      </c>
      <c r="D2140" s="78">
        <v>126.17</v>
      </c>
      <c r="E2140" s="78">
        <f t="shared" si="39"/>
        <v>30.49</v>
      </c>
    </row>
    <row r="2141" ht="25.5" spans="1:5">
      <c r="A2141" s="76" t="s">
        <v>3074</v>
      </c>
      <c r="B2141" s="77" t="s">
        <v>979</v>
      </c>
      <c r="C2141" s="78">
        <v>1.408333</v>
      </c>
      <c r="D2141" s="78">
        <v>0.69</v>
      </c>
      <c r="E2141" s="78">
        <f t="shared" si="39"/>
        <v>0.97</v>
      </c>
    </row>
    <row r="2142" ht="25.5" spans="1:5">
      <c r="A2142" s="76" t="s">
        <v>3075</v>
      </c>
      <c r="B2142" s="77" t="s">
        <v>979</v>
      </c>
      <c r="C2142" s="78">
        <v>1.241667</v>
      </c>
      <c r="D2142" s="78">
        <v>0.26</v>
      </c>
      <c r="E2142" s="78">
        <f t="shared" si="39"/>
        <v>0.32</v>
      </c>
    </row>
    <row r="2143" ht="38.25" spans="1:5">
      <c r="A2143" s="76" t="s">
        <v>3076</v>
      </c>
      <c r="B2143" s="77" t="s">
        <v>979</v>
      </c>
      <c r="C2143" s="78">
        <v>1.408333</v>
      </c>
      <c r="D2143" s="78">
        <v>1.52</v>
      </c>
      <c r="E2143" s="78">
        <f t="shared" si="39"/>
        <v>2.14</v>
      </c>
    </row>
    <row r="2144" ht="51" spans="1:5">
      <c r="A2144" s="76" t="s">
        <v>3077</v>
      </c>
      <c r="B2144" s="77" t="s">
        <v>979</v>
      </c>
      <c r="C2144" s="78">
        <v>1.666667</v>
      </c>
      <c r="D2144" s="78">
        <v>24.31</v>
      </c>
      <c r="E2144" s="78">
        <f t="shared" si="39"/>
        <v>40.51</v>
      </c>
    </row>
    <row r="2145" spans="1:5">
      <c r="A2145" s="76" t="s">
        <v>2621</v>
      </c>
      <c r="B2145" s="77" t="s">
        <v>839</v>
      </c>
      <c r="C2145" s="78">
        <v>4.29375</v>
      </c>
      <c r="D2145" s="78">
        <v>23.75</v>
      </c>
      <c r="E2145" s="78">
        <f t="shared" si="39"/>
        <v>101.97</v>
      </c>
    </row>
    <row r="2146" ht="25.5" spans="1:5">
      <c r="A2146" s="76" t="s">
        <v>2848</v>
      </c>
      <c r="B2146" s="77" t="s">
        <v>839</v>
      </c>
      <c r="C2146" s="78">
        <v>2.146875</v>
      </c>
      <c r="D2146" s="78">
        <v>30.62</v>
      </c>
      <c r="E2146" s="78">
        <f t="shared" si="39"/>
        <v>65.73</v>
      </c>
    </row>
    <row r="2147" ht="51" spans="1:5">
      <c r="A2147" s="76" t="s">
        <v>2720</v>
      </c>
      <c r="B2147" s="77" t="s">
        <v>977</v>
      </c>
      <c r="C2147" s="78">
        <v>0.741667</v>
      </c>
      <c r="D2147" s="78">
        <v>146.19</v>
      </c>
      <c r="E2147" s="78">
        <f t="shared" si="39"/>
        <v>108.42</v>
      </c>
    </row>
    <row r="2148" ht="38.25" spans="1:5">
      <c r="A2148" s="76" t="s">
        <v>3078</v>
      </c>
      <c r="B2148" s="77" t="s">
        <v>977</v>
      </c>
      <c r="C2148" s="78">
        <v>0.407357</v>
      </c>
      <c r="D2148" s="78">
        <v>10.87</v>
      </c>
      <c r="E2148" s="78">
        <f t="shared" si="39"/>
        <v>4.42</v>
      </c>
    </row>
    <row r="2149" ht="25.5" spans="1:5">
      <c r="A2149" s="76" t="s">
        <v>3079</v>
      </c>
      <c r="B2149" s="77" t="s">
        <v>977</v>
      </c>
      <c r="C2149" s="78">
        <v>0.5</v>
      </c>
      <c r="D2149" s="78">
        <v>6.35</v>
      </c>
      <c r="E2149" s="78">
        <f t="shared" si="39"/>
        <v>3.17</v>
      </c>
    </row>
    <row r="2150" ht="51" spans="1:5">
      <c r="A2150" s="76" t="s">
        <v>2721</v>
      </c>
      <c r="B2150" s="77" t="s">
        <v>979</v>
      </c>
      <c r="C2150" s="78">
        <v>1.166667</v>
      </c>
      <c r="D2150" s="78">
        <v>62.96</v>
      </c>
      <c r="E2150" s="78">
        <f t="shared" si="39"/>
        <v>73.45</v>
      </c>
    </row>
    <row r="2151" ht="38.25" spans="1:5">
      <c r="A2151" s="76" t="s">
        <v>3080</v>
      </c>
      <c r="B2151" s="77" t="s">
        <v>979</v>
      </c>
      <c r="C2151" s="78">
        <v>1.500976</v>
      </c>
      <c r="D2151" s="78">
        <v>1.1</v>
      </c>
      <c r="E2151" s="78">
        <f t="shared" si="39"/>
        <v>1.65</v>
      </c>
    </row>
    <row r="2152" ht="25.5" spans="1:5">
      <c r="A2152" s="76" t="s">
        <v>3081</v>
      </c>
      <c r="B2152" s="77" t="s">
        <v>979</v>
      </c>
      <c r="C2152" s="78">
        <v>1.408333</v>
      </c>
      <c r="D2152" s="78">
        <v>0.86</v>
      </c>
      <c r="E2152" s="78">
        <f t="shared" si="39"/>
        <v>1.21</v>
      </c>
    </row>
    <row r="2153" ht="25.5" spans="1:5">
      <c r="A2153" s="76" t="s">
        <v>3082</v>
      </c>
      <c r="B2153" s="77" t="s">
        <v>839</v>
      </c>
      <c r="C2153" s="78">
        <v>2.146875</v>
      </c>
      <c r="D2153" s="78">
        <v>42.49</v>
      </c>
      <c r="E2153" s="78">
        <f t="shared" si="39"/>
        <v>91.22</v>
      </c>
    </row>
    <row r="2154" spans="1:5">
      <c r="A2154" s="76" t="s">
        <v>122</v>
      </c>
      <c r="B2154" s="77"/>
      <c r="C2154" s="78"/>
      <c r="D2154" s="78"/>
      <c r="E2154" s="78">
        <f>SUM(E2137:E2153)</f>
        <v>538.46</v>
      </c>
    </row>
    <row r="2155" spans="1:5">
      <c r="A2155" s="76"/>
      <c r="B2155" s="77"/>
      <c r="C2155" s="78"/>
      <c r="D2155" s="78"/>
      <c r="E2155" s="78"/>
    </row>
    <row r="2156" spans="1:5">
      <c r="A2156" s="76" t="s">
        <v>2538</v>
      </c>
      <c r="B2156" s="77"/>
      <c r="C2156" s="78"/>
      <c r="D2156" s="78"/>
      <c r="E2156" s="78">
        <f>E2154</f>
        <v>538.46</v>
      </c>
    </row>
    <row r="2157" spans="1:5">
      <c r="A2157" s="76" t="s">
        <v>2539</v>
      </c>
      <c r="B2157" s="77"/>
      <c r="C2157" s="78"/>
      <c r="D2157" s="78">
        <v>0</v>
      </c>
      <c r="E2157" s="78">
        <f>TRUNC(D2157*E2156/100,2)</f>
        <v>0</v>
      </c>
    </row>
    <row r="2158" spans="1:5">
      <c r="A2158" s="76" t="s">
        <v>2540</v>
      </c>
      <c r="B2158" s="77"/>
      <c r="C2158" s="78"/>
      <c r="D2158" s="78"/>
      <c r="E2158" s="78">
        <f>E2156+E2157</f>
        <v>538.46</v>
      </c>
    </row>
    <row r="2159" spans="1:5">
      <c r="A2159" s="76"/>
      <c r="B2159" s="77"/>
      <c r="C2159" s="78"/>
      <c r="D2159" s="78"/>
      <c r="E2159" s="78"/>
    </row>
    <row r="2160" spans="1:5">
      <c r="A2160" s="76" t="s">
        <v>3083</v>
      </c>
      <c r="B2160" s="77" t="s">
        <v>975</v>
      </c>
      <c r="C2160" s="78"/>
      <c r="D2160" s="78"/>
      <c r="E2160" s="78"/>
    </row>
    <row r="2161" spans="1:5">
      <c r="A2161" s="76" t="s">
        <v>3084</v>
      </c>
      <c r="B2161" s="77"/>
      <c r="C2161" s="78"/>
      <c r="D2161" s="78"/>
      <c r="E2161" s="78"/>
    </row>
    <row r="2162" spans="1:5">
      <c r="A2162" s="76" t="s">
        <v>3085</v>
      </c>
      <c r="B2162" s="77"/>
      <c r="C2162" s="78"/>
      <c r="D2162" s="78"/>
      <c r="E2162" s="78"/>
    </row>
    <row r="2163" spans="1:5">
      <c r="A2163" s="76"/>
      <c r="B2163" s="77"/>
      <c r="C2163" s="78"/>
      <c r="D2163" s="78"/>
      <c r="E2163" s="78"/>
    </row>
    <row r="2164" spans="1:5">
      <c r="A2164" s="76" t="s">
        <v>2543</v>
      </c>
      <c r="B2164" s="77" t="s">
        <v>135</v>
      </c>
      <c r="C2164" s="78" t="s">
        <v>136</v>
      </c>
      <c r="D2164" s="78" t="s">
        <v>2534</v>
      </c>
      <c r="E2164" s="78" t="s">
        <v>2535</v>
      </c>
    </row>
    <row r="2165" spans="1:5">
      <c r="A2165" s="76" t="s">
        <v>3086</v>
      </c>
      <c r="B2165" s="77" t="s">
        <v>839</v>
      </c>
      <c r="C2165" s="78">
        <v>1</v>
      </c>
      <c r="D2165" s="78">
        <v>4.85</v>
      </c>
      <c r="E2165" s="78">
        <f>TRUNC(C2165*D2165,2)</f>
        <v>4.85</v>
      </c>
    </row>
    <row r="2166" spans="1:5">
      <c r="A2166" s="76" t="s">
        <v>3087</v>
      </c>
      <c r="B2166" s="77" t="s">
        <v>839</v>
      </c>
      <c r="C2166" s="78">
        <v>1</v>
      </c>
      <c r="D2166" s="78">
        <v>1.7</v>
      </c>
      <c r="E2166" s="78">
        <f>TRUNC(C2166*D2166,2)</f>
        <v>1.7</v>
      </c>
    </row>
    <row r="2167" spans="1:5">
      <c r="A2167" s="76" t="s">
        <v>3088</v>
      </c>
      <c r="B2167" s="77" t="s">
        <v>839</v>
      </c>
      <c r="C2167" s="78">
        <v>1</v>
      </c>
      <c r="D2167" s="78">
        <v>101.4</v>
      </c>
      <c r="E2167" s="78">
        <f>TRUNC(C2167*D2167,2)</f>
        <v>101.4</v>
      </c>
    </row>
    <row r="2168" spans="1:5">
      <c r="A2168" s="76" t="s">
        <v>3089</v>
      </c>
      <c r="B2168" s="77" t="s">
        <v>839</v>
      </c>
      <c r="C2168" s="78">
        <v>1</v>
      </c>
      <c r="D2168" s="78">
        <v>4.33</v>
      </c>
      <c r="E2168" s="78">
        <f>TRUNC(C2168*D2168,2)</f>
        <v>4.33</v>
      </c>
    </row>
    <row r="2169" spans="1:5">
      <c r="A2169" s="76" t="s">
        <v>122</v>
      </c>
      <c r="B2169" s="77"/>
      <c r="C2169" s="78"/>
      <c r="D2169" s="78"/>
      <c r="E2169" s="78">
        <f>SUM(E2165:E2168)</f>
        <v>112.28</v>
      </c>
    </row>
    <row r="2170" spans="1:5">
      <c r="A2170" s="76"/>
      <c r="B2170" s="77"/>
      <c r="C2170" s="78"/>
      <c r="D2170" s="78"/>
      <c r="E2170" s="78"/>
    </row>
    <row r="2171" spans="1:5">
      <c r="A2171" s="76" t="s">
        <v>2538</v>
      </c>
      <c r="B2171" s="77"/>
      <c r="C2171" s="78"/>
      <c r="D2171" s="78"/>
      <c r="E2171" s="78">
        <f>E2169</f>
        <v>112.28</v>
      </c>
    </row>
    <row r="2172" spans="1:5">
      <c r="A2172" s="76" t="s">
        <v>2539</v>
      </c>
      <c r="B2172" s="77"/>
      <c r="C2172" s="78"/>
      <c r="D2172" s="78">
        <v>0</v>
      </c>
      <c r="E2172" s="78">
        <f>TRUNC(D2172*E2171/100,2)</f>
        <v>0</v>
      </c>
    </row>
    <row r="2173" spans="1:5">
      <c r="A2173" s="76" t="s">
        <v>2540</v>
      </c>
      <c r="B2173" s="77"/>
      <c r="C2173" s="78"/>
      <c r="D2173" s="78"/>
      <c r="E2173" s="78">
        <f>E2171+E2172</f>
        <v>112.28</v>
      </c>
    </row>
    <row r="2174" spans="1:5">
      <c r="A2174" s="76"/>
      <c r="B2174" s="77"/>
      <c r="C2174" s="78"/>
      <c r="D2174" s="78"/>
      <c r="E2174" s="78"/>
    </row>
    <row r="2175" spans="1:5">
      <c r="A2175" s="76" t="s">
        <v>3090</v>
      </c>
      <c r="B2175" s="77" t="s">
        <v>978</v>
      </c>
      <c r="C2175" s="78"/>
      <c r="D2175" s="78"/>
      <c r="E2175" s="78"/>
    </row>
    <row r="2176" spans="1:5">
      <c r="A2176" s="76" t="s">
        <v>3084</v>
      </c>
      <c r="B2176" s="77"/>
      <c r="C2176" s="78"/>
      <c r="D2176" s="78"/>
      <c r="E2176" s="78"/>
    </row>
    <row r="2177" spans="1:5">
      <c r="A2177" s="76" t="s">
        <v>3091</v>
      </c>
      <c r="B2177" s="77"/>
      <c r="C2177" s="78"/>
      <c r="D2177" s="78"/>
      <c r="E2177" s="78"/>
    </row>
    <row r="2178" spans="1:5">
      <c r="A2178" s="76"/>
      <c r="B2178" s="77"/>
      <c r="C2178" s="78"/>
      <c r="D2178" s="78"/>
      <c r="E2178" s="78"/>
    </row>
    <row r="2179" spans="1:5">
      <c r="A2179" s="76" t="s">
        <v>2543</v>
      </c>
      <c r="B2179" s="77" t="s">
        <v>135</v>
      </c>
      <c r="C2179" s="78" t="s">
        <v>136</v>
      </c>
      <c r="D2179" s="78" t="s">
        <v>2534</v>
      </c>
      <c r="E2179" s="78" t="s">
        <v>2535</v>
      </c>
    </row>
    <row r="2180" spans="1:5">
      <c r="A2180" s="76" t="s">
        <v>3086</v>
      </c>
      <c r="B2180" s="77" t="s">
        <v>839</v>
      </c>
      <c r="C2180" s="78">
        <v>1</v>
      </c>
      <c r="D2180" s="78">
        <v>4.85</v>
      </c>
      <c r="E2180" s="78">
        <f>TRUNC(C2180*D2180,2)</f>
        <v>4.85</v>
      </c>
    </row>
    <row r="2181" spans="1:5">
      <c r="A2181" s="76" t="s">
        <v>3087</v>
      </c>
      <c r="B2181" s="77" t="s">
        <v>839</v>
      </c>
      <c r="C2181" s="78">
        <v>1</v>
      </c>
      <c r="D2181" s="78">
        <v>1.7</v>
      </c>
      <c r="E2181" s="78">
        <f>TRUNC(C2181*D2181,2)</f>
        <v>1.7</v>
      </c>
    </row>
    <row r="2182" spans="1:5">
      <c r="A2182" s="76" t="s">
        <v>122</v>
      </c>
      <c r="B2182" s="77"/>
      <c r="C2182" s="78"/>
      <c r="D2182" s="78"/>
      <c r="E2182" s="78">
        <f>SUM(E2180:E2181)</f>
        <v>6.55</v>
      </c>
    </row>
    <row r="2183" spans="1:5">
      <c r="A2183" s="76"/>
      <c r="B2183" s="77"/>
      <c r="C2183" s="78"/>
      <c r="D2183" s="78"/>
      <c r="E2183" s="78"/>
    </row>
    <row r="2184" spans="1:5">
      <c r="A2184" s="76" t="s">
        <v>2538</v>
      </c>
      <c r="B2184" s="77"/>
      <c r="C2184" s="78"/>
      <c r="D2184" s="78"/>
      <c r="E2184" s="78">
        <f>E2182</f>
        <v>6.55</v>
      </c>
    </row>
    <row r="2185" spans="1:5">
      <c r="A2185" s="76" t="s">
        <v>2539</v>
      </c>
      <c r="B2185" s="77"/>
      <c r="C2185" s="78"/>
      <c r="D2185" s="78">
        <v>0</v>
      </c>
      <c r="E2185" s="78">
        <f>TRUNC(D2185*E2184/100,2)</f>
        <v>0</v>
      </c>
    </row>
    <row r="2186" spans="1:5">
      <c r="A2186" s="76" t="s">
        <v>2540</v>
      </c>
      <c r="B2186" s="77"/>
      <c r="C2186" s="78"/>
      <c r="D2186" s="78"/>
      <c r="E2186" s="78">
        <f>E2184+E2185</f>
        <v>6.55</v>
      </c>
    </row>
    <row r="2187" spans="1:5">
      <c r="A2187" s="76"/>
      <c r="B2187" s="77"/>
      <c r="C2187" s="78"/>
      <c r="D2187" s="78"/>
      <c r="E2187" s="78"/>
    </row>
    <row r="2188" spans="1:5">
      <c r="A2188" s="76" t="s">
        <v>3092</v>
      </c>
      <c r="B2188" s="77" t="s">
        <v>3093</v>
      </c>
      <c r="C2188" s="78"/>
      <c r="D2188" s="78"/>
      <c r="E2188" s="78"/>
    </row>
    <row r="2189" spans="1:5">
      <c r="A2189" s="76" t="s">
        <v>3094</v>
      </c>
      <c r="B2189" s="77"/>
      <c r="C2189" s="78"/>
      <c r="D2189" s="78"/>
      <c r="E2189" s="78"/>
    </row>
    <row r="2190" spans="1:5">
      <c r="A2190" s="76" t="s">
        <v>2533</v>
      </c>
      <c r="B2190" s="77"/>
      <c r="C2190" s="78"/>
      <c r="D2190" s="78"/>
      <c r="E2190" s="78"/>
    </row>
    <row r="2191" spans="1:5">
      <c r="A2191" s="76"/>
      <c r="B2191" s="77"/>
      <c r="C2191" s="78"/>
      <c r="D2191" s="78"/>
      <c r="E2191" s="78"/>
    </row>
    <row r="2192" spans="1:5">
      <c r="A2192" s="76" t="s">
        <v>280</v>
      </c>
      <c r="B2192" s="77" t="s">
        <v>135</v>
      </c>
      <c r="C2192" s="78" t="s">
        <v>136</v>
      </c>
      <c r="D2192" s="78" t="s">
        <v>2534</v>
      </c>
      <c r="E2192" s="78" t="s">
        <v>2535</v>
      </c>
    </row>
    <row r="2193" spans="1:5">
      <c r="A2193" s="76" t="s">
        <v>3095</v>
      </c>
      <c r="B2193" s="77" t="s">
        <v>598</v>
      </c>
      <c r="C2193" s="78">
        <v>1</v>
      </c>
      <c r="D2193" s="78">
        <v>3073.75</v>
      </c>
      <c r="E2193" s="78">
        <f>TRUNC(C2193*D2193,2)</f>
        <v>3073.75</v>
      </c>
    </row>
    <row r="2194" spans="1:5">
      <c r="A2194" s="76" t="s">
        <v>122</v>
      </c>
      <c r="B2194" s="77"/>
      <c r="C2194" s="78"/>
      <c r="D2194" s="78"/>
      <c r="E2194" s="78">
        <f>SUM(E2193:E2193)</f>
        <v>3073.75</v>
      </c>
    </row>
    <row r="2195" spans="1:5">
      <c r="A2195" s="76" t="s">
        <v>117</v>
      </c>
      <c r="B2195" s="77"/>
      <c r="C2195" s="78"/>
      <c r="D2195" s="78"/>
      <c r="E2195" s="78" t="str">
        <f>"0"</f>
        <v>0</v>
      </c>
    </row>
    <row r="2196" spans="1:5">
      <c r="A2196" s="76" t="s">
        <v>2537</v>
      </c>
      <c r="B2196" s="77"/>
      <c r="C2196" s="78"/>
      <c r="D2196" s="78"/>
      <c r="E2196" s="78">
        <f>E2194+E2195</f>
        <v>3073.75</v>
      </c>
    </row>
    <row r="2197" spans="1:5">
      <c r="A2197" s="76"/>
      <c r="B2197" s="77"/>
      <c r="C2197" s="78"/>
      <c r="D2197" s="78"/>
      <c r="E2197" s="78"/>
    </row>
    <row r="2198" spans="1:5">
      <c r="A2198" s="76" t="s">
        <v>2543</v>
      </c>
      <c r="B2198" s="77" t="s">
        <v>135</v>
      </c>
      <c r="C2198" s="78" t="s">
        <v>136</v>
      </c>
      <c r="D2198" s="78" t="s">
        <v>2534</v>
      </c>
      <c r="E2198" s="78" t="s">
        <v>2535</v>
      </c>
    </row>
    <row r="2199" ht="25.5" spans="1:5">
      <c r="A2199" s="76" t="s">
        <v>3096</v>
      </c>
      <c r="B2199" s="77" t="s">
        <v>598</v>
      </c>
      <c r="C2199" s="78">
        <v>1</v>
      </c>
      <c r="D2199" s="78">
        <v>11.14</v>
      </c>
      <c r="E2199" s="78">
        <f>TRUNC(C2199*D2199,2)</f>
        <v>11.14</v>
      </c>
    </row>
    <row r="2200" ht="25.5" spans="1:5">
      <c r="A2200" s="76" t="s">
        <v>3097</v>
      </c>
      <c r="B2200" s="77" t="s">
        <v>598</v>
      </c>
      <c r="C2200" s="78">
        <v>1</v>
      </c>
      <c r="D2200" s="78">
        <v>15.46</v>
      </c>
      <c r="E2200" s="78">
        <f>TRUNC(C2200*D2200,2)</f>
        <v>15.46</v>
      </c>
    </row>
    <row r="2201" ht="25.5" spans="1:5">
      <c r="A2201" s="76" t="s">
        <v>3098</v>
      </c>
      <c r="B2201" s="77" t="s">
        <v>598</v>
      </c>
      <c r="C2201" s="78">
        <v>1</v>
      </c>
      <c r="D2201" s="78">
        <v>153.54</v>
      </c>
      <c r="E2201" s="78">
        <f>TRUNC(C2201*D2201,2)</f>
        <v>153.54</v>
      </c>
    </row>
    <row r="2202" ht="25.5" spans="1:5">
      <c r="A2202" s="76" t="s">
        <v>3099</v>
      </c>
      <c r="B2202" s="77" t="s">
        <v>598</v>
      </c>
      <c r="C2202" s="78">
        <v>1</v>
      </c>
      <c r="D2202" s="78">
        <v>270.51</v>
      </c>
      <c r="E2202" s="78">
        <f>TRUNC(C2202*D2202,2)</f>
        <v>270.51</v>
      </c>
    </row>
    <row r="2203" ht="25.5" spans="1:5">
      <c r="A2203" s="76" t="s">
        <v>3100</v>
      </c>
      <c r="B2203" s="77" t="s">
        <v>598</v>
      </c>
      <c r="C2203" s="78">
        <v>1</v>
      </c>
      <c r="D2203" s="78">
        <v>41.61</v>
      </c>
      <c r="E2203" s="78">
        <f>TRUNC(C2203*D2203,2)</f>
        <v>41.61</v>
      </c>
    </row>
    <row r="2204" spans="1:5">
      <c r="A2204" s="76" t="s">
        <v>122</v>
      </c>
      <c r="B2204" s="77"/>
      <c r="C2204" s="78"/>
      <c r="D2204" s="78"/>
      <c r="E2204" s="78">
        <f>SUM(E2199:E2203)</f>
        <v>492.26</v>
      </c>
    </row>
    <row r="2205" spans="1:5">
      <c r="A2205" s="76"/>
      <c r="B2205" s="77"/>
      <c r="C2205" s="78"/>
      <c r="D2205" s="78"/>
      <c r="E2205" s="78"/>
    </row>
    <row r="2206" spans="1:5">
      <c r="A2206" s="76" t="s">
        <v>2538</v>
      </c>
      <c r="B2206" s="77"/>
      <c r="C2206" s="78"/>
      <c r="D2206" s="78"/>
      <c r="E2206" s="78">
        <f>E2196+E2204</f>
        <v>3566.01</v>
      </c>
    </row>
    <row r="2207" spans="1:5">
      <c r="A2207" s="76" t="s">
        <v>2539</v>
      </c>
      <c r="B2207" s="77"/>
      <c r="C2207" s="78"/>
      <c r="D2207" s="78">
        <v>0</v>
      </c>
      <c r="E2207" s="78">
        <f>TRUNC(D2207*E2206/100,2)</f>
        <v>0</v>
      </c>
    </row>
    <row r="2208" spans="1:5">
      <c r="A2208" s="76" t="s">
        <v>2540</v>
      </c>
      <c r="B2208" s="77"/>
      <c r="C2208" s="78"/>
      <c r="D2208" s="78"/>
      <c r="E2208" s="78">
        <f>E2206+E2207</f>
        <v>3566.01</v>
      </c>
    </row>
    <row r="2209" spans="1:5">
      <c r="A2209" s="76"/>
      <c r="B2209" s="77"/>
      <c r="C2209" s="78"/>
      <c r="D2209" s="78"/>
      <c r="E2209" s="78"/>
    </row>
    <row r="2210" spans="1:5">
      <c r="A2210" s="76" t="s">
        <v>3092</v>
      </c>
      <c r="B2210" s="77" t="s">
        <v>3101</v>
      </c>
      <c r="C2210" s="78"/>
      <c r="D2210" s="78"/>
      <c r="E2210" s="78"/>
    </row>
    <row r="2211" ht="25.5" spans="1:5">
      <c r="A2211" s="76" t="s">
        <v>3102</v>
      </c>
      <c r="B2211" s="77"/>
      <c r="C2211" s="78"/>
      <c r="D2211" s="78"/>
      <c r="E2211" s="78"/>
    </row>
    <row r="2212" spans="1:5">
      <c r="A2212" s="76" t="s">
        <v>2533</v>
      </c>
      <c r="B2212" s="77"/>
      <c r="C2212" s="78"/>
      <c r="D2212" s="78"/>
      <c r="E2212" s="78"/>
    </row>
    <row r="2213" spans="1:5">
      <c r="A2213" s="76"/>
      <c r="B2213" s="77"/>
      <c r="C2213" s="78"/>
      <c r="D2213" s="78"/>
      <c r="E2213" s="78"/>
    </row>
    <row r="2214" spans="1:5">
      <c r="A2214" s="76" t="s">
        <v>280</v>
      </c>
      <c r="B2214" s="77" t="s">
        <v>135</v>
      </c>
      <c r="C2214" s="78" t="s">
        <v>136</v>
      </c>
      <c r="D2214" s="78" t="s">
        <v>2534</v>
      </c>
      <c r="E2214" s="78" t="s">
        <v>2535</v>
      </c>
    </row>
    <row r="2215" spans="1:5">
      <c r="A2215" s="76" t="s">
        <v>3095</v>
      </c>
      <c r="B2215" s="77" t="s">
        <v>598</v>
      </c>
      <c r="C2215" s="78">
        <v>0.01354</v>
      </c>
      <c r="D2215" s="78">
        <v>3073.75</v>
      </c>
      <c r="E2215" s="78">
        <f>TRUNC(C2215*D2215,2)</f>
        <v>41.61</v>
      </c>
    </row>
    <row r="2216" spans="1:5">
      <c r="A2216" s="76" t="s">
        <v>122</v>
      </c>
      <c r="B2216" s="77"/>
      <c r="C2216" s="78"/>
      <c r="D2216" s="78"/>
      <c r="E2216" s="78">
        <f>SUM(E2215:E2215)</f>
        <v>41.61</v>
      </c>
    </row>
    <row r="2217" spans="1:5">
      <c r="A2217" s="76" t="s">
        <v>117</v>
      </c>
      <c r="B2217" s="77"/>
      <c r="C2217" s="78"/>
      <c r="D2217" s="78"/>
      <c r="E2217" s="78" t="str">
        <f>"0"</f>
        <v>0</v>
      </c>
    </row>
    <row r="2218" spans="1:5">
      <c r="A2218" s="76" t="s">
        <v>2537</v>
      </c>
      <c r="B2218" s="77"/>
      <c r="C2218" s="78"/>
      <c r="D2218" s="78"/>
      <c r="E2218" s="78">
        <f>E2216+E2217</f>
        <v>41.61</v>
      </c>
    </row>
    <row r="2219" spans="1:5">
      <c r="A2219" s="76"/>
      <c r="B2219" s="77"/>
      <c r="C2219" s="78"/>
      <c r="D2219" s="78"/>
      <c r="E2219" s="78"/>
    </row>
    <row r="2220" spans="1:5">
      <c r="A2220" s="76" t="s">
        <v>2538</v>
      </c>
      <c r="B2220" s="77"/>
      <c r="C2220" s="78"/>
      <c r="D2220" s="78"/>
      <c r="E2220" s="78">
        <f>E2218</f>
        <v>41.61</v>
      </c>
    </row>
    <row r="2221" spans="1:5">
      <c r="A2221" s="76" t="s">
        <v>2539</v>
      </c>
      <c r="B2221" s="77"/>
      <c r="C2221" s="78"/>
      <c r="D2221" s="78">
        <v>0</v>
      </c>
      <c r="E2221" s="78">
        <f>TRUNC(D2221*E2220/100,2)</f>
        <v>0</v>
      </c>
    </row>
    <row r="2222" spans="1:5">
      <c r="A2222" s="76" t="s">
        <v>2540</v>
      </c>
      <c r="B2222" s="77"/>
      <c r="C2222" s="78"/>
      <c r="D2222" s="78"/>
      <c r="E2222" s="78">
        <f>E2220+E2221</f>
        <v>41.61</v>
      </c>
    </row>
    <row r="2223" spans="1:5">
      <c r="A2223" s="76"/>
      <c r="B2223" s="77"/>
      <c r="C2223" s="78"/>
      <c r="D2223" s="78"/>
      <c r="E2223" s="78"/>
    </row>
    <row r="2224" spans="1:5">
      <c r="A2224" s="76" t="s">
        <v>3092</v>
      </c>
      <c r="B2224" s="77" t="s">
        <v>3103</v>
      </c>
      <c r="C2224" s="78"/>
      <c r="D2224" s="78"/>
      <c r="E2224" s="78"/>
    </row>
    <row r="2225" spans="1:5">
      <c r="A2225" s="76" t="s">
        <v>3104</v>
      </c>
      <c r="B2225" s="77"/>
      <c r="C2225" s="78"/>
      <c r="D2225" s="78"/>
      <c r="E2225" s="78"/>
    </row>
    <row r="2226" spans="1:5">
      <c r="A2226" s="76" t="s">
        <v>2533</v>
      </c>
      <c r="B2226" s="77"/>
      <c r="C2226" s="78"/>
      <c r="D2226" s="78"/>
      <c r="E2226" s="78"/>
    </row>
    <row r="2227" spans="1:5">
      <c r="A2227" s="76"/>
      <c r="B2227" s="77"/>
      <c r="C2227" s="78"/>
      <c r="D2227" s="78"/>
      <c r="E2227" s="78"/>
    </row>
    <row r="2228" spans="1:5">
      <c r="A2228" s="76" t="s">
        <v>280</v>
      </c>
      <c r="B2228" s="77" t="s">
        <v>135</v>
      </c>
      <c r="C2228" s="78" t="s">
        <v>136</v>
      </c>
      <c r="D2228" s="78" t="s">
        <v>2534</v>
      </c>
      <c r="E2228" s="78" t="s">
        <v>2535</v>
      </c>
    </row>
    <row r="2229" spans="1:5">
      <c r="A2229" s="76" t="s">
        <v>3105</v>
      </c>
      <c r="B2229" s="77" t="s">
        <v>598</v>
      </c>
      <c r="C2229" s="78">
        <v>1</v>
      </c>
      <c r="D2229" s="78">
        <v>8754.42</v>
      </c>
      <c r="E2229" s="78">
        <f>TRUNC(C2229*D2229,2)</f>
        <v>8754.42</v>
      </c>
    </row>
    <row r="2230" spans="1:5">
      <c r="A2230" s="76" t="s">
        <v>122</v>
      </c>
      <c r="B2230" s="77"/>
      <c r="C2230" s="78"/>
      <c r="D2230" s="78"/>
      <c r="E2230" s="78">
        <f>SUM(E2229:E2229)</f>
        <v>8754.42</v>
      </c>
    </row>
    <row r="2231" spans="1:5">
      <c r="A2231" s="76" t="s">
        <v>117</v>
      </c>
      <c r="B2231" s="77"/>
      <c r="C2231" s="78"/>
      <c r="D2231" s="78"/>
      <c r="E2231" s="78" t="str">
        <f>"0"</f>
        <v>0</v>
      </c>
    </row>
    <row r="2232" spans="1:5">
      <c r="A2232" s="76" t="s">
        <v>2537</v>
      </c>
      <c r="B2232" s="77"/>
      <c r="C2232" s="78"/>
      <c r="D2232" s="78"/>
      <c r="E2232" s="78">
        <f>E2230+E2231</f>
        <v>8754.42</v>
      </c>
    </row>
    <row r="2233" spans="1:5">
      <c r="A2233" s="76"/>
      <c r="B2233" s="77"/>
      <c r="C2233" s="78"/>
      <c r="D2233" s="78"/>
      <c r="E2233" s="78"/>
    </row>
    <row r="2234" spans="1:5">
      <c r="A2234" s="76" t="s">
        <v>2543</v>
      </c>
      <c r="B2234" s="77" t="s">
        <v>135</v>
      </c>
      <c r="C2234" s="78" t="s">
        <v>136</v>
      </c>
      <c r="D2234" s="78" t="s">
        <v>2534</v>
      </c>
      <c r="E2234" s="78" t="s">
        <v>2535</v>
      </c>
    </row>
    <row r="2235" ht="25.5" spans="1:5">
      <c r="A2235" s="76" t="s">
        <v>3098</v>
      </c>
      <c r="B2235" s="77" t="s">
        <v>598</v>
      </c>
      <c r="C2235" s="78">
        <v>1</v>
      </c>
      <c r="D2235" s="78">
        <v>153.54</v>
      </c>
      <c r="E2235" s="78">
        <f>TRUNC(C2235*D2235,2)</f>
        <v>153.54</v>
      </c>
    </row>
    <row r="2236" ht="25.5" spans="1:5">
      <c r="A2236" s="76" t="s">
        <v>3099</v>
      </c>
      <c r="B2236" s="77" t="s">
        <v>598</v>
      </c>
      <c r="C2236" s="78">
        <v>1</v>
      </c>
      <c r="D2236" s="78">
        <v>270.51</v>
      </c>
      <c r="E2236" s="78">
        <f>TRUNC(C2236*D2236,2)</f>
        <v>270.51</v>
      </c>
    </row>
    <row r="2237" ht="25.5" spans="1:5">
      <c r="A2237" s="76" t="s">
        <v>3096</v>
      </c>
      <c r="B2237" s="77" t="s">
        <v>598</v>
      </c>
      <c r="C2237" s="78">
        <v>1</v>
      </c>
      <c r="D2237" s="78">
        <v>11.14</v>
      </c>
      <c r="E2237" s="78">
        <f>TRUNC(C2237*D2237,2)</f>
        <v>11.14</v>
      </c>
    </row>
    <row r="2238" ht="25.5" spans="1:5">
      <c r="A2238" s="76" t="s">
        <v>3097</v>
      </c>
      <c r="B2238" s="77" t="s">
        <v>598</v>
      </c>
      <c r="C2238" s="78">
        <v>1</v>
      </c>
      <c r="D2238" s="78">
        <v>15.46</v>
      </c>
      <c r="E2238" s="78">
        <f>TRUNC(C2238*D2238,2)</f>
        <v>15.46</v>
      </c>
    </row>
    <row r="2239" ht="25.5" spans="1:5">
      <c r="A2239" s="76" t="s">
        <v>3106</v>
      </c>
      <c r="B2239" s="77" t="s">
        <v>598</v>
      </c>
      <c r="C2239" s="78">
        <v>1</v>
      </c>
      <c r="D2239" s="78">
        <v>118.53</v>
      </c>
      <c r="E2239" s="78">
        <f>TRUNC(C2239*D2239,2)</f>
        <v>118.53</v>
      </c>
    </row>
    <row r="2240" spans="1:5">
      <c r="A2240" s="76" t="s">
        <v>122</v>
      </c>
      <c r="B2240" s="77"/>
      <c r="C2240" s="78"/>
      <c r="D2240" s="78"/>
      <c r="E2240" s="78">
        <f>SUM(E2235:E2239)</f>
        <v>569.18</v>
      </c>
    </row>
    <row r="2241" spans="1:5">
      <c r="A2241" s="76"/>
      <c r="B2241" s="77"/>
      <c r="C2241" s="78"/>
      <c r="D2241" s="78"/>
      <c r="E2241" s="78"/>
    </row>
    <row r="2242" spans="1:5">
      <c r="A2242" s="76" t="s">
        <v>2538</v>
      </c>
      <c r="B2242" s="77"/>
      <c r="C2242" s="78"/>
      <c r="D2242" s="78"/>
      <c r="E2242" s="78">
        <f>E2232+E2240</f>
        <v>9323.6</v>
      </c>
    </row>
    <row r="2243" spans="1:5">
      <c r="A2243" s="76" t="s">
        <v>2539</v>
      </c>
      <c r="B2243" s="77"/>
      <c r="C2243" s="78"/>
      <c r="D2243" s="78">
        <v>0</v>
      </c>
      <c r="E2243" s="78">
        <f>TRUNC(D2243*E2242/100,2)</f>
        <v>0</v>
      </c>
    </row>
    <row r="2244" spans="1:5">
      <c r="A2244" s="76" t="s">
        <v>2540</v>
      </c>
      <c r="B2244" s="77"/>
      <c r="C2244" s="78"/>
      <c r="D2244" s="78"/>
      <c r="E2244" s="78">
        <f>E2242+E2243</f>
        <v>9323.6</v>
      </c>
    </row>
    <row r="2245" spans="1:5">
      <c r="A2245" s="76"/>
      <c r="B2245" s="77"/>
      <c r="C2245" s="78"/>
      <c r="D2245" s="78"/>
      <c r="E2245" s="78"/>
    </row>
    <row r="2246" spans="1:5">
      <c r="A2246" s="76" t="s">
        <v>3092</v>
      </c>
      <c r="B2246" s="77" t="s">
        <v>3107</v>
      </c>
      <c r="C2246" s="78"/>
      <c r="D2246" s="78"/>
      <c r="E2246" s="78"/>
    </row>
    <row r="2247" ht="25.5" spans="1:5">
      <c r="A2247" s="76" t="s">
        <v>3108</v>
      </c>
      <c r="B2247" s="77"/>
      <c r="C2247" s="78"/>
      <c r="D2247" s="78"/>
      <c r="E2247" s="78"/>
    </row>
    <row r="2248" spans="1:5">
      <c r="A2248" s="76" t="s">
        <v>2533</v>
      </c>
      <c r="B2248" s="77"/>
      <c r="C2248" s="78"/>
      <c r="D2248" s="78"/>
      <c r="E2248" s="78"/>
    </row>
    <row r="2249" spans="1:5">
      <c r="A2249" s="76"/>
      <c r="B2249" s="77"/>
      <c r="C2249" s="78"/>
      <c r="D2249" s="78"/>
      <c r="E2249" s="78"/>
    </row>
    <row r="2250" spans="1:5">
      <c r="A2250" s="76" t="s">
        <v>280</v>
      </c>
      <c r="B2250" s="77" t="s">
        <v>135</v>
      </c>
      <c r="C2250" s="78" t="s">
        <v>136</v>
      </c>
      <c r="D2250" s="78" t="s">
        <v>2534</v>
      </c>
      <c r="E2250" s="78" t="s">
        <v>2535</v>
      </c>
    </row>
    <row r="2251" spans="1:5">
      <c r="A2251" s="76" t="s">
        <v>3105</v>
      </c>
      <c r="B2251" s="77" t="s">
        <v>598</v>
      </c>
      <c r="C2251" s="78">
        <v>0.01354</v>
      </c>
      <c r="D2251" s="78">
        <v>8754.42</v>
      </c>
      <c r="E2251" s="78">
        <f>TRUNC(C2251*D2251,2)</f>
        <v>118.53</v>
      </c>
    </row>
    <row r="2252" spans="1:5">
      <c r="A2252" s="76" t="s">
        <v>122</v>
      </c>
      <c r="B2252" s="77"/>
      <c r="C2252" s="78"/>
      <c r="D2252" s="78"/>
      <c r="E2252" s="78">
        <f>SUM(E2251:E2251)</f>
        <v>118.53</v>
      </c>
    </row>
    <row r="2253" spans="1:5">
      <c r="A2253" s="76" t="s">
        <v>117</v>
      </c>
      <c r="B2253" s="77"/>
      <c r="C2253" s="78"/>
      <c r="D2253" s="78"/>
      <c r="E2253" s="78" t="str">
        <f>"0"</f>
        <v>0</v>
      </c>
    </row>
    <row r="2254" spans="1:5">
      <c r="A2254" s="76" t="s">
        <v>2537</v>
      </c>
      <c r="B2254" s="77"/>
      <c r="C2254" s="78"/>
      <c r="D2254" s="78"/>
      <c r="E2254" s="78">
        <f>E2252+E2253</f>
        <v>118.53</v>
      </c>
    </row>
    <row r="2255" spans="1:5">
      <c r="A2255" s="76"/>
      <c r="B2255" s="77"/>
      <c r="C2255" s="78"/>
      <c r="D2255" s="78"/>
      <c r="E2255" s="78"/>
    </row>
    <row r="2256" spans="1:5">
      <c r="A2256" s="76" t="s">
        <v>2538</v>
      </c>
      <c r="B2256" s="77"/>
      <c r="C2256" s="78"/>
      <c r="D2256" s="78"/>
      <c r="E2256" s="78">
        <f>E2254</f>
        <v>118.53</v>
      </c>
    </row>
    <row r="2257" spans="1:5">
      <c r="A2257" s="76" t="s">
        <v>2539</v>
      </c>
      <c r="B2257" s="77"/>
      <c r="C2257" s="78"/>
      <c r="D2257" s="78">
        <v>0</v>
      </c>
      <c r="E2257" s="78">
        <f>TRUNC(D2257*E2256/100,2)</f>
        <v>0</v>
      </c>
    </row>
    <row r="2258" spans="1:5">
      <c r="A2258" s="76" t="s">
        <v>2540</v>
      </c>
      <c r="B2258" s="77"/>
      <c r="C2258" s="78"/>
      <c r="D2258" s="78"/>
      <c r="E2258" s="78">
        <f>E2256+E2257</f>
        <v>118.53</v>
      </c>
    </row>
    <row r="2259" spans="1:5">
      <c r="A2259" s="76"/>
      <c r="B2259" s="77"/>
      <c r="C2259" s="78"/>
      <c r="D2259" s="78"/>
      <c r="E2259" s="78"/>
    </row>
    <row r="2260" spans="1:5">
      <c r="A2260" s="76" t="s">
        <v>3092</v>
      </c>
      <c r="B2260" s="77" t="s">
        <v>3109</v>
      </c>
      <c r="C2260" s="78"/>
      <c r="D2260" s="78"/>
      <c r="E2260" s="78"/>
    </row>
    <row r="2261" spans="1:5">
      <c r="A2261" s="76" t="s">
        <v>3110</v>
      </c>
      <c r="B2261" s="77"/>
      <c r="C2261" s="78"/>
      <c r="D2261" s="78"/>
      <c r="E2261" s="78"/>
    </row>
    <row r="2262" spans="1:5">
      <c r="A2262" s="76" t="s">
        <v>2764</v>
      </c>
      <c r="B2262" s="77"/>
      <c r="C2262" s="78"/>
      <c r="D2262" s="78"/>
      <c r="E2262" s="78"/>
    </row>
    <row r="2263" spans="1:5">
      <c r="A2263" s="76"/>
      <c r="B2263" s="77"/>
      <c r="C2263" s="78"/>
      <c r="D2263" s="78"/>
      <c r="E2263" s="78"/>
    </row>
    <row r="2264" spans="1:5">
      <c r="A2264" s="76" t="s">
        <v>279</v>
      </c>
      <c r="B2264" s="77" t="s">
        <v>135</v>
      </c>
      <c r="C2264" s="78" t="s">
        <v>136</v>
      </c>
      <c r="D2264" s="78" t="s">
        <v>2534</v>
      </c>
      <c r="E2264" s="78" t="s">
        <v>2535</v>
      </c>
    </row>
    <row r="2265" ht="25.5" spans="1:5">
      <c r="A2265" s="76" t="s">
        <v>3111</v>
      </c>
      <c r="B2265" s="77" t="s">
        <v>839</v>
      </c>
      <c r="C2265" s="78">
        <v>1</v>
      </c>
      <c r="D2265" s="78">
        <v>1.5</v>
      </c>
      <c r="E2265" s="78">
        <f>TRUNC(C2265*D2265,2)</f>
        <v>1.5</v>
      </c>
    </row>
    <row r="2266" spans="1:5">
      <c r="A2266" s="76" t="s">
        <v>122</v>
      </c>
      <c r="B2266" s="77"/>
      <c r="C2266" s="78"/>
      <c r="D2266" s="78"/>
      <c r="E2266" s="78">
        <f>SUM(E2265:E2265)</f>
        <v>1.5</v>
      </c>
    </row>
    <row r="2267" spans="1:5">
      <c r="A2267" s="76"/>
      <c r="B2267" s="77"/>
      <c r="C2267" s="78"/>
      <c r="D2267" s="78"/>
      <c r="E2267" s="78"/>
    </row>
    <row r="2268" spans="1:5">
      <c r="A2268" s="76" t="s">
        <v>280</v>
      </c>
      <c r="B2268" s="77" t="s">
        <v>135</v>
      </c>
      <c r="C2268" s="78" t="s">
        <v>136</v>
      </c>
      <c r="D2268" s="78" t="s">
        <v>2534</v>
      </c>
      <c r="E2268" s="78" t="s">
        <v>2535</v>
      </c>
    </row>
    <row r="2269" ht="25.5" spans="1:5">
      <c r="A2269" s="76" t="s">
        <v>3112</v>
      </c>
      <c r="B2269" s="77" t="s">
        <v>839</v>
      </c>
      <c r="C2269" s="78">
        <v>1</v>
      </c>
      <c r="D2269" s="78">
        <v>3.95</v>
      </c>
      <c r="E2269" s="78">
        <f>TRUNC(C2269*D2269,2)</f>
        <v>3.95</v>
      </c>
    </row>
    <row r="2270" ht="25.5" spans="1:5">
      <c r="A2270" s="76" t="s">
        <v>3113</v>
      </c>
      <c r="B2270" s="77" t="s">
        <v>839</v>
      </c>
      <c r="C2270" s="78">
        <v>1</v>
      </c>
      <c r="D2270" s="78">
        <v>0.08</v>
      </c>
      <c r="E2270" s="78">
        <f>TRUNC(C2270*D2270,2)</f>
        <v>0.08</v>
      </c>
    </row>
    <row r="2271" spans="1:5">
      <c r="A2271" s="76" t="s">
        <v>3114</v>
      </c>
      <c r="B2271" s="77" t="s">
        <v>839</v>
      </c>
      <c r="C2271" s="78">
        <v>1</v>
      </c>
      <c r="D2271" s="78">
        <v>15.46</v>
      </c>
      <c r="E2271" s="78">
        <f>TRUNC(C2271*D2271,2)</f>
        <v>15.46</v>
      </c>
    </row>
    <row r="2272" spans="1:5">
      <c r="A2272" s="76" t="s">
        <v>122</v>
      </c>
      <c r="B2272" s="77"/>
      <c r="C2272" s="78"/>
      <c r="D2272" s="78"/>
      <c r="E2272" s="78">
        <f>SUM(E2269:E2271)</f>
        <v>19.49</v>
      </c>
    </row>
    <row r="2273" spans="1:5">
      <c r="A2273" s="76" t="s">
        <v>117</v>
      </c>
      <c r="B2273" s="77"/>
      <c r="C2273" s="78"/>
      <c r="D2273" s="78"/>
      <c r="E2273" s="78" t="str">
        <f>"0"</f>
        <v>0</v>
      </c>
    </row>
    <row r="2274" spans="1:5">
      <c r="A2274" s="76" t="s">
        <v>2537</v>
      </c>
      <c r="B2274" s="77"/>
      <c r="C2274" s="78"/>
      <c r="D2274" s="78"/>
      <c r="E2274" s="78">
        <f>E2272+E2273</f>
        <v>19.49</v>
      </c>
    </row>
    <row r="2275" spans="1:5">
      <c r="A2275" s="76"/>
      <c r="B2275" s="77"/>
      <c r="C2275" s="78"/>
      <c r="D2275" s="78"/>
      <c r="E2275" s="78"/>
    </row>
    <row r="2276" spans="1:5">
      <c r="A2276" s="76" t="s">
        <v>2543</v>
      </c>
      <c r="B2276" s="77" t="s">
        <v>135</v>
      </c>
      <c r="C2276" s="78" t="s">
        <v>136</v>
      </c>
      <c r="D2276" s="78" t="s">
        <v>2534</v>
      </c>
      <c r="E2276" s="78" t="s">
        <v>2535</v>
      </c>
    </row>
    <row r="2277" ht="25.5" spans="1:5">
      <c r="A2277" s="76" t="s">
        <v>3115</v>
      </c>
      <c r="B2277" s="77" t="s">
        <v>839</v>
      </c>
      <c r="C2277" s="78">
        <v>1</v>
      </c>
      <c r="D2277" s="78">
        <v>1.39</v>
      </c>
      <c r="E2277" s="78">
        <f>TRUNC(C2277*D2277,2)</f>
        <v>1.39</v>
      </c>
    </row>
    <row r="2278" spans="1:5">
      <c r="A2278" s="76" t="s">
        <v>3116</v>
      </c>
      <c r="B2278" s="77" t="s">
        <v>839</v>
      </c>
      <c r="C2278" s="78">
        <v>1</v>
      </c>
      <c r="D2278" s="78">
        <v>1.43</v>
      </c>
      <c r="E2278" s="78">
        <f>TRUNC(C2278*D2278,2)</f>
        <v>1.43</v>
      </c>
    </row>
    <row r="2279" ht="25.5" spans="1:5">
      <c r="A2279" s="76" t="s">
        <v>3117</v>
      </c>
      <c r="B2279" s="77" t="s">
        <v>839</v>
      </c>
      <c r="C2279" s="78">
        <v>1</v>
      </c>
      <c r="D2279" s="78">
        <v>0.61</v>
      </c>
      <c r="E2279" s="78">
        <f>TRUNC(C2279*D2279,2)</f>
        <v>0.61</v>
      </c>
    </row>
    <row r="2280" ht="25.5" spans="1:5">
      <c r="A2280" s="76" t="s">
        <v>3118</v>
      </c>
      <c r="B2280" s="77" t="s">
        <v>839</v>
      </c>
      <c r="C2280" s="78">
        <v>1</v>
      </c>
      <c r="D2280" s="78">
        <v>0.07</v>
      </c>
      <c r="E2280" s="78">
        <f>TRUNC(C2280*D2280,2)</f>
        <v>0.07</v>
      </c>
    </row>
    <row r="2281" spans="1:5">
      <c r="A2281" s="76" t="s">
        <v>122</v>
      </c>
      <c r="B2281" s="77"/>
      <c r="C2281" s="78"/>
      <c r="D2281" s="78"/>
      <c r="E2281" s="78">
        <f>SUM(E2277:E2280)</f>
        <v>3.5</v>
      </c>
    </row>
    <row r="2282" spans="1:5">
      <c r="A2282" s="76"/>
      <c r="B2282" s="77"/>
      <c r="C2282" s="78"/>
      <c r="D2282" s="78"/>
      <c r="E2282" s="78"/>
    </row>
    <row r="2283" spans="1:5">
      <c r="A2283" s="76" t="s">
        <v>2538</v>
      </c>
      <c r="B2283" s="77"/>
      <c r="C2283" s="78"/>
      <c r="D2283" s="78"/>
      <c r="E2283" s="78">
        <f>E2266+E2274+E2281</f>
        <v>24.49</v>
      </c>
    </row>
    <row r="2284" spans="1:5">
      <c r="A2284" s="76" t="s">
        <v>2539</v>
      </c>
      <c r="B2284" s="77"/>
      <c r="C2284" s="78"/>
      <c r="D2284" s="78">
        <v>0</v>
      </c>
      <c r="E2284" s="78">
        <f>TRUNC(D2284*E2283/100,2)</f>
        <v>0</v>
      </c>
    </row>
    <row r="2285" spans="1:5">
      <c r="A2285" s="76" t="s">
        <v>2540</v>
      </c>
      <c r="B2285" s="77"/>
      <c r="C2285" s="78"/>
      <c r="D2285" s="78"/>
      <c r="E2285" s="78">
        <f>E2283+E2284</f>
        <v>24.49</v>
      </c>
    </row>
    <row r="2286" spans="1:5">
      <c r="A2286" s="76"/>
      <c r="B2286" s="77"/>
      <c r="C2286" s="78"/>
      <c r="D2286" s="78"/>
      <c r="E2286" s="78"/>
    </row>
    <row r="2287" spans="1:5">
      <c r="A2287" s="76" t="s">
        <v>3092</v>
      </c>
      <c r="B2287" s="77" t="s">
        <v>3119</v>
      </c>
      <c r="C2287" s="78"/>
      <c r="D2287" s="78"/>
      <c r="E2287" s="78"/>
    </row>
    <row r="2288" ht="25.5" spans="1:5">
      <c r="A2288" s="76" t="s">
        <v>3120</v>
      </c>
      <c r="B2288" s="77"/>
      <c r="C2288" s="78"/>
      <c r="D2288" s="78"/>
      <c r="E2288" s="78"/>
    </row>
    <row r="2289" spans="1:5">
      <c r="A2289" s="76" t="s">
        <v>2764</v>
      </c>
      <c r="B2289" s="77"/>
      <c r="C2289" s="78"/>
      <c r="D2289" s="78"/>
      <c r="E2289" s="78"/>
    </row>
    <row r="2290" spans="1:5">
      <c r="A2290" s="76"/>
      <c r="B2290" s="77"/>
      <c r="C2290" s="78"/>
      <c r="D2290" s="78"/>
      <c r="E2290" s="78"/>
    </row>
    <row r="2291" spans="1:5">
      <c r="A2291" s="76" t="s">
        <v>280</v>
      </c>
      <c r="B2291" s="77" t="s">
        <v>135</v>
      </c>
      <c r="C2291" s="78" t="s">
        <v>136</v>
      </c>
      <c r="D2291" s="78" t="s">
        <v>2534</v>
      </c>
      <c r="E2291" s="78" t="s">
        <v>2535</v>
      </c>
    </row>
    <row r="2292" spans="1:5">
      <c r="A2292" s="76" t="s">
        <v>3114</v>
      </c>
      <c r="B2292" s="77" t="s">
        <v>839</v>
      </c>
      <c r="C2292" s="78">
        <v>0.00509</v>
      </c>
      <c r="D2292" s="78">
        <v>15.46</v>
      </c>
      <c r="E2292" s="78">
        <f>TRUNC(C2292*D2292,2)</f>
        <v>0.07</v>
      </c>
    </row>
    <row r="2293" spans="1:5">
      <c r="A2293" s="76" t="s">
        <v>122</v>
      </c>
      <c r="B2293" s="77"/>
      <c r="C2293" s="78"/>
      <c r="D2293" s="78"/>
      <c r="E2293" s="78">
        <f>SUM(E2292:E2292)</f>
        <v>0.07</v>
      </c>
    </row>
    <row r="2294" spans="1:5">
      <c r="A2294" s="76" t="s">
        <v>117</v>
      </c>
      <c r="B2294" s="77"/>
      <c r="C2294" s="78"/>
      <c r="D2294" s="78"/>
      <c r="E2294" s="78" t="str">
        <f>"0"</f>
        <v>0</v>
      </c>
    </row>
    <row r="2295" spans="1:5">
      <c r="A2295" s="76" t="s">
        <v>2537</v>
      </c>
      <c r="B2295" s="77"/>
      <c r="C2295" s="78"/>
      <c r="D2295" s="78"/>
      <c r="E2295" s="78">
        <f>E2293+E2294</f>
        <v>0.07</v>
      </c>
    </row>
    <row r="2296" spans="1:5">
      <c r="A2296" s="76"/>
      <c r="B2296" s="77"/>
      <c r="C2296" s="78"/>
      <c r="D2296" s="78"/>
      <c r="E2296" s="78"/>
    </row>
    <row r="2297" spans="1:5">
      <c r="A2297" s="76" t="s">
        <v>2538</v>
      </c>
      <c r="B2297" s="77"/>
      <c r="C2297" s="78"/>
      <c r="D2297" s="78"/>
      <c r="E2297" s="78">
        <f>E2295</f>
        <v>0.07</v>
      </c>
    </row>
    <row r="2298" spans="1:5">
      <c r="A2298" s="76" t="s">
        <v>2539</v>
      </c>
      <c r="B2298" s="77"/>
      <c r="C2298" s="78"/>
      <c r="D2298" s="78">
        <v>0</v>
      </c>
      <c r="E2298" s="78">
        <f>TRUNC(D2298*E2297/100,2)</f>
        <v>0</v>
      </c>
    </row>
    <row r="2299" spans="1:5">
      <c r="A2299" s="76" t="s">
        <v>2540</v>
      </c>
      <c r="B2299" s="77"/>
      <c r="C2299" s="78"/>
      <c r="D2299" s="78"/>
      <c r="E2299" s="78">
        <f>E2297+E2298</f>
        <v>0.07</v>
      </c>
    </row>
    <row r="2300" spans="1:5">
      <c r="A2300" s="76"/>
      <c r="B2300" s="77"/>
      <c r="C2300" s="78"/>
      <c r="D2300" s="78"/>
      <c r="E2300" s="78"/>
    </row>
    <row r="2301" spans="1:5">
      <c r="A2301" s="76" t="s">
        <v>3092</v>
      </c>
      <c r="B2301" s="77">
        <v>127000056005</v>
      </c>
      <c r="C2301" s="78"/>
      <c r="D2301" s="78"/>
      <c r="E2301" s="78"/>
    </row>
    <row r="2302" spans="1:5">
      <c r="A2302" s="76" t="s">
        <v>3121</v>
      </c>
      <c r="B2302" s="77"/>
      <c r="C2302" s="78"/>
      <c r="D2302" s="78"/>
      <c r="E2302" s="78"/>
    </row>
    <row r="2303" spans="1:5">
      <c r="A2303" s="76" t="s">
        <v>2764</v>
      </c>
      <c r="B2303" s="77"/>
      <c r="C2303" s="78"/>
      <c r="D2303" s="78"/>
      <c r="E2303" s="78"/>
    </row>
    <row r="2304" spans="1:5">
      <c r="A2304" s="76"/>
      <c r="B2304" s="77"/>
      <c r="C2304" s="78"/>
      <c r="D2304" s="78"/>
      <c r="E2304" s="78"/>
    </row>
    <row r="2305" spans="1:5">
      <c r="A2305" s="76" t="s">
        <v>279</v>
      </c>
      <c r="B2305" s="77" t="s">
        <v>135</v>
      </c>
      <c r="C2305" s="78" t="s">
        <v>136</v>
      </c>
      <c r="D2305" s="78" t="s">
        <v>2534</v>
      </c>
      <c r="E2305" s="78" t="s">
        <v>2535</v>
      </c>
    </row>
    <row r="2306" ht="25.5" spans="1:5">
      <c r="A2306" s="76" t="s">
        <v>3111</v>
      </c>
      <c r="B2306" s="77" t="s">
        <v>839</v>
      </c>
      <c r="C2306" s="78">
        <v>1</v>
      </c>
      <c r="D2306" s="78">
        <v>1.5</v>
      </c>
      <c r="E2306" s="78">
        <f>TRUNC(C2306*D2306,2)</f>
        <v>1.5</v>
      </c>
    </row>
    <row r="2307" spans="1:5">
      <c r="A2307" s="76" t="s">
        <v>122</v>
      </c>
      <c r="B2307" s="77"/>
      <c r="C2307" s="78"/>
      <c r="D2307" s="78"/>
      <c r="E2307" s="78">
        <f>SUM(E2306:E2306)</f>
        <v>1.5</v>
      </c>
    </row>
    <row r="2308" spans="1:5">
      <c r="A2308" s="76"/>
      <c r="B2308" s="77"/>
      <c r="C2308" s="78"/>
      <c r="D2308" s="78"/>
      <c r="E2308" s="78"/>
    </row>
    <row r="2309" spans="1:5">
      <c r="A2309" s="76" t="s">
        <v>280</v>
      </c>
      <c r="B2309" s="77" t="s">
        <v>135</v>
      </c>
      <c r="C2309" s="78" t="s">
        <v>136</v>
      </c>
      <c r="D2309" s="78" t="s">
        <v>2534</v>
      </c>
      <c r="E2309" s="78" t="s">
        <v>2535</v>
      </c>
    </row>
    <row r="2310" ht="25.5" spans="1:5">
      <c r="A2310" s="76" t="s">
        <v>3112</v>
      </c>
      <c r="B2310" s="77" t="s">
        <v>839</v>
      </c>
      <c r="C2310" s="78">
        <v>1</v>
      </c>
      <c r="D2310" s="78">
        <v>3.95</v>
      </c>
      <c r="E2310" s="78">
        <f>TRUNC(C2310*D2310,2)</f>
        <v>3.95</v>
      </c>
    </row>
    <row r="2311" ht="25.5" spans="1:5">
      <c r="A2311" s="76" t="s">
        <v>3113</v>
      </c>
      <c r="B2311" s="77" t="s">
        <v>839</v>
      </c>
      <c r="C2311" s="78">
        <v>1</v>
      </c>
      <c r="D2311" s="78">
        <v>0.08</v>
      </c>
      <c r="E2311" s="78">
        <f>TRUNC(C2311*D2311,2)</f>
        <v>0.08</v>
      </c>
    </row>
    <row r="2312" spans="1:5">
      <c r="A2312" s="76" t="s">
        <v>122</v>
      </c>
      <c r="B2312" s="77"/>
      <c r="C2312" s="78"/>
      <c r="D2312" s="78"/>
      <c r="E2312" s="78">
        <f>SUM(E2310:E2311)</f>
        <v>4.03</v>
      </c>
    </row>
    <row r="2313" spans="1:5">
      <c r="A2313" s="76" t="s">
        <v>117</v>
      </c>
      <c r="B2313" s="77"/>
      <c r="C2313" s="78"/>
      <c r="D2313" s="78"/>
      <c r="E2313" s="78" t="str">
        <f>"0"</f>
        <v>0</v>
      </c>
    </row>
    <row r="2314" spans="1:5">
      <c r="A2314" s="76" t="s">
        <v>2537</v>
      </c>
      <c r="B2314" s="77"/>
      <c r="C2314" s="78"/>
      <c r="D2314" s="78"/>
      <c r="E2314" s="78">
        <f>E2312+E2313</f>
        <v>4.03</v>
      </c>
    </row>
    <row r="2315" spans="1:5">
      <c r="A2315" s="76"/>
      <c r="B2315" s="77"/>
      <c r="C2315" s="78"/>
      <c r="D2315" s="78"/>
      <c r="E2315" s="78"/>
    </row>
    <row r="2316" spans="1:5">
      <c r="A2316" s="76" t="s">
        <v>2543</v>
      </c>
      <c r="B2316" s="77" t="s">
        <v>135</v>
      </c>
      <c r="C2316" s="78" t="s">
        <v>136</v>
      </c>
      <c r="D2316" s="78" t="s">
        <v>2534</v>
      </c>
      <c r="E2316" s="78" t="s">
        <v>2535</v>
      </c>
    </row>
    <row r="2317" ht="25.5" spans="1:5">
      <c r="A2317" s="76" t="s">
        <v>3115</v>
      </c>
      <c r="B2317" s="77" t="s">
        <v>839</v>
      </c>
      <c r="C2317" s="78">
        <v>1</v>
      </c>
      <c r="D2317" s="78">
        <v>1.39</v>
      </c>
      <c r="E2317" s="78">
        <f>TRUNC(C2317*D2317,2)</f>
        <v>1.39</v>
      </c>
    </row>
    <row r="2318" spans="1:5">
      <c r="A2318" s="76" t="s">
        <v>3116</v>
      </c>
      <c r="B2318" s="77" t="s">
        <v>839</v>
      </c>
      <c r="C2318" s="78">
        <v>1</v>
      </c>
      <c r="D2318" s="78">
        <v>1.43</v>
      </c>
      <c r="E2318" s="78">
        <f>TRUNC(C2318*D2318,2)</f>
        <v>1.43</v>
      </c>
    </row>
    <row r="2319" ht="25.5" spans="1:5">
      <c r="A2319" s="76" t="s">
        <v>3117</v>
      </c>
      <c r="B2319" s="77" t="s">
        <v>839</v>
      </c>
      <c r="C2319" s="78">
        <v>1</v>
      </c>
      <c r="D2319" s="78">
        <v>0.61</v>
      </c>
      <c r="E2319" s="78">
        <f>TRUNC(C2319*D2319,2)</f>
        <v>0.61</v>
      </c>
    </row>
    <row r="2320" ht="25.5" spans="1:5">
      <c r="A2320" s="76" t="s">
        <v>3122</v>
      </c>
      <c r="B2320" s="77" t="s">
        <v>839</v>
      </c>
      <c r="C2320" s="78">
        <v>1</v>
      </c>
      <c r="D2320" s="78">
        <v>21.2</v>
      </c>
      <c r="E2320" s="78">
        <f>TRUNC(C2320*D2320,2)</f>
        <v>21.2</v>
      </c>
    </row>
    <row r="2321" ht="25.5" spans="1:5">
      <c r="A2321" s="76" t="s">
        <v>3123</v>
      </c>
      <c r="B2321" s="77" t="s">
        <v>839</v>
      </c>
      <c r="C2321" s="78">
        <v>1</v>
      </c>
      <c r="D2321" s="78">
        <v>0.1</v>
      </c>
      <c r="E2321" s="78">
        <f>TRUNC(C2321*D2321,2)</f>
        <v>0.1</v>
      </c>
    </row>
    <row r="2322" spans="1:5">
      <c r="A2322" s="76" t="s">
        <v>122</v>
      </c>
      <c r="B2322" s="77"/>
      <c r="C2322" s="78"/>
      <c r="D2322" s="78"/>
      <c r="E2322" s="78">
        <f>SUM(E2317:E2321)</f>
        <v>24.73</v>
      </c>
    </row>
    <row r="2323" spans="1:5">
      <c r="A2323" s="76"/>
      <c r="B2323" s="77"/>
      <c r="C2323" s="78"/>
      <c r="D2323" s="78"/>
      <c r="E2323" s="78"/>
    </row>
    <row r="2324" spans="1:5">
      <c r="A2324" s="76" t="s">
        <v>2538</v>
      </c>
      <c r="B2324" s="77"/>
      <c r="C2324" s="78"/>
      <c r="D2324" s="78"/>
      <c r="E2324" s="78">
        <f>E2307+E2314+E2322</f>
        <v>30.26</v>
      </c>
    </row>
    <row r="2325" spans="1:5">
      <c r="A2325" s="76" t="s">
        <v>2539</v>
      </c>
      <c r="B2325" s="77"/>
      <c r="C2325" s="78"/>
      <c r="D2325" s="78">
        <v>0</v>
      </c>
      <c r="E2325" s="78">
        <f>TRUNC(D2325*E2324/100,2)</f>
        <v>0</v>
      </c>
    </row>
    <row r="2326" spans="1:5">
      <c r="A2326" s="76" t="s">
        <v>2540</v>
      </c>
      <c r="B2326" s="77"/>
      <c r="C2326" s="78"/>
      <c r="D2326" s="78"/>
      <c r="E2326" s="78">
        <f>E2324+E2325</f>
        <v>30.26</v>
      </c>
    </row>
    <row r="2327" spans="1:5">
      <c r="A2327" s="76"/>
      <c r="B2327" s="77"/>
      <c r="C2327" s="78"/>
      <c r="D2327" s="78"/>
      <c r="E2327" s="78"/>
    </row>
    <row r="2328" spans="1:5">
      <c r="A2328" s="76" t="s">
        <v>3092</v>
      </c>
      <c r="B2328" s="77">
        <v>128000023003</v>
      </c>
      <c r="C2328" s="78"/>
      <c r="D2328" s="78"/>
      <c r="E2328" s="78"/>
    </row>
    <row r="2329" ht="25.5" spans="1:5">
      <c r="A2329" s="76" t="s">
        <v>3124</v>
      </c>
      <c r="B2329" s="77"/>
      <c r="C2329" s="78"/>
      <c r="D2329" s="78"/>
      <c r="E2329" s="78"/>
    </row>
    <row r="2330" spans="1:5">
      <c r="A2330" s="76" t="s">
        <v>2764</v>
      </c>
      <c r="B2330" s="77"/>
      <c r="C2330" s="78"/>
      <c r="D2330" s="78"/>
      <c r="E2330" s="78"/>
    </row>
    <row r="2331" spans="1:5">
      <c r="A2331" s="76"/>
      <c r="B2331" s="77"/>
      <c r="C2331" s="78"/>
      <c r="D2331" s="78"/>
      <c r="E2331" s="78"/>
    </row>
    <row r="2332" spans="1:5">
      <c r="A2332" s="76" t="s">
        <v>280</v>
      </c>
      <c r="B2332" s="77" t="s">
        <v>135</v>
      </c>
      <c r="C2332" s="78" t="s">
        <v>136</v>
      </c>
      <c r="D2332" s="78" t="s">
        <v>2534</v>
      </c>
      <c r="E2332" s="78" t="s">
        <v>2535</v>
      </c>
    </row>
    <row r="2333" spans="1:5">
      <c r="A2333" s="76" t="s">
        <v>3114</v>
      </c>
      <c r="B2333" s="77" t="s">
        <v>839</v>
      </c>
      <c r="C2333" s="78">
        <v>1.37148</v>
      </c>
      <c r="D2333" s="78">
        <v>15.46</v>
      </c>
      <c r="E2333" s="78">
        <f>TRUNC(C2333*D2333,2)</f>
        <v>21.2</v>
      </c>
    </row>
    <row r="2334" spans="1:5">
      <c r="A2334" s="76" t="s">
        <v>122</v>
      </c>
      <c r="B2334" s="77"/>
      <c r="C2334" s="78"/>
      <c r="D2334" s="78"/>
      <c r="E2334" s="78">
        <f>SUM(E2333:E2333)</f>
        <v>21.2</v>
      </c>
    </row>
    <row r="2335" spans="1:5">
      <c r="A2335" s="76" t="s">
        <v>117</v>
      </c>
      <c r="B2335" s="77"/>
      <c r="C2335" s="78"/>
      <c r="D2335" s="78"/>
      <c r="E2335" s="78" t="str">
        <f>"0"</f>
        <v>0</v>
      </c>
    </row>
    <row r="2336" spans="1:5">
      <c r="A2336" s="76" t="s">
        <v>2537</v>
      </c>
      <c r="B2336" s="77"/>
      <c r="C2336" s="78"/>
      <c r="D2336" s="78"/>
      <c r="E2336" s="78">
        <f>E2334+E2335</f>
        <v>21.2</v>
      </c>
    </row>
    <row r="2337" spans="1:5">
      <c r="A2337" s="76"/>
      <c r="B2337" s="77"/>
      <c r="C2337" s="78"/>
      <c r="D2337" s="78"/>
      <c r="E2337" s="78"/>
    </row>
    <row r="2338" spans="1:5">
      <c r="A2338" s="76" t="s">
        <v>2538</v>
      </c>
      <c r="B2338" s="77"/>
      <c r="C2338" s="78"/>
      <c r="D2338" s="78"/>
      <c r="E2338" s="78">
        <f>E2336</f>
        <v>21.2</v>
      </c>
    </row>
    <row r="2339" spans="1:5">
      <c r="A2339" s="76" t="s">
        <v>2539</v>
      </c>
      <c r="B2339" s="77"/>
      <c r="C2339" s="78"/>
      <c r="D2339" s="78">
        <v>0</v>
      </c>
      <c r="E2339" s="78">
        <f>TRUNC(D2339*E2338/100,2)</f>
        <v>0</v>
      </c>
    </row>
    <row r="2340" spans="1:5">
      <c r="A2340" s="76" t="s">
        <v>2540</v>
      </c>
      <c r="B2340" s="77"/>
      <c r="C2340" s="78"/>
      <c r="D2340" s="78"/>
      <c r="E2340" s="78">
        <f>E2338+E2339</f>
        <v>21.2</v>
      </c>
    </row>
    <row r="2341" spans="1:5">
      <c r="A2341" s="76"/>
      <c r="B2341" s="77"/>
      <c r="C2341" s="78"/>
      <c r="D2341" s="78"/>
      <c r="E2341" s="78"/>
    </row>
    <row r="2342" spans="1:5">
      <c r="A2342" s="76" t="s">
        <v>3092</v>
      </c>
      <c r="B2342" s="77">
        <v>128100118026</v>
      </c>
      <c r="C2342" s="78"/>
      <c r="D2342" s="78"/>
      <c r="E2342" s="78"/>
    </row>
    <row r="2343" ht="25.5" spans="1:5">
      <c r="A2343" s="76" t="s">
        <v>3125</v>
      </c>
      <c r="B2343" s="77"/>
      <c r="C2343" s="78"/>
      <c r="D2343" s="78"/>
      <c r="E2343" s="78"/>
    </row>
    <row r="2344" spans="1:5">
      <c r="A2344" s="76" t="s">
        <v>2764</v>
      </c>
      <c r="B2344" s="77"/>
      <c r="C2344" s="78"/>
      <c r="D2344" s="78"/>
      <c r="E2344" s="78"/>
    </row>
    <row r="2345" spans="1:5">
      <c r="A2345" s="76"/>
      <c r="B2345" s="77"/>
      <c r="C2345" s="78"/>
      <c r="D2345" s="78"/>
      <c r="E2345" s="78"/>
    </row>
    <row r="2346" spans="1:5">
      <c r="A2346" s="76" t="s">
        <v>2543</v>
      </c>
      <c r="B2346" s="77" t="s">
        <v>135</v>
      </c>
      <c r="C2346" s="78" t="s">
        <v>136</v>
      </c>
      <c r="D2346" s="78" t="s">
        <v>2534</v>
      </c>
      <c r="E2346" s="78" t="s">
        <v>2535</v>
      </c>
    </row>
    <row r="2347" ht="25.5" spans="1:5">
      <c r="A2347" s="76" t="s">
        <v>3122</v>
      </c>
      <c r="B2347" s="77" t="s">
        <v>839</v>
      </c>
      <c r="C2347" s="78">
        <v>0.0051</v>
      </c>
      <c r="D2347" s="78">
        <v>21.2</v>
      </c>
      <c r="E2347" s="78">
        <f>TRUNC(C2347*D2347,2)</f>
        <v>0.1</v>
      </c>
    </row>
    <row r="2348" spans="1:5">
      <c r="A2348" s="76" t="s">
        <v>122</v>
      </c>
      <c r="B2348" s="77"/>
      <c r="C2348" s="78"/>
      <c r="D2348" s="78"/>
      <c r="E2348" s="78">
        <f>SUM(E2347:E2347)</f>
        <v>0.1</v>
      </c>
    </row>
    <row r="2349" spans="1:5">
      <c r="A2349" s="76"/>
      <c r="B2349" s="77"/>
      <c r="C2349" s="78"/>
      <c r="D2349" s="78"/>
      <c r="E2349" s="78"/>
    </row>
    <row r="2350" spans="1:5">
      <c r="A2350" s="76" t="s">
        <v>2538</v>
      </c>
      <c r="B2350" s="77"/>
      <c r="C2350" s="78"/>
      <c r="D2350" s="78"/>
      <c r="E2350" s="78">
        <f>E2348</f>
        <v>0.1</v>
      </c>
    </row>
    <row r="2351" spans="1:5">
      <c r="A2351" s="76" t="s">
        <v>2539</v>
      </c>
      <c r="B2351" s="77"/>
      <c r="C2351" s="78"/>
      <c r="D2351" s="78">
        <v>0</v>
      </c>
      <c r="E2351" s="78">
        <f>TRUNC(D2351*E2350/100,2)</f>
        <v>0</v>
      </c>
    </row>
    <row r="2352" spans="1:5">
      <c r="A2352" s="76" t="s">
        <v>2540</v>
      </c>
      <c r="B2352" s="77"/>
      <c r="C2352" s="78"/>
      <c r="D2352" s="78"/>
      <c r="E2352" s="78">
        <f>E2350+E2351</f>
        <v>0.1</v>
      </c>
    </row>
    <row r="2353" spans="1:5">
      <c r="A2353" s="76"/>
      <c r="B2353" s="77"/>
      <c r="C2353" s="78"/>
      <c r="D2353" s="78"/>
      <c r="E2353" s="78"/>
    </row>
    <row r="2354" spans="1:5">
      <c r="A2354" s="76" t="s">
        <v>3092</v>
      </c>
      <c r="B2354" s="77" t="s">
        <v>3126</v>
      </c>
      <c r="C2354" s="78"/>
      <c r="D2354" s="78"/>
      <c r="E2354" s="78"/>
    </row>
    <row r="2355" spans="1:5">
      <c r="A2355" s="76" t="s">
        <v>3127</v>
      </c>
      <c r="B2355" s="77"/>
      <c r="C2355" s="78"/>
      <c r="D2355" s="78"/>
      <c r="E2355" s="78"/>
    </row>
    <row r="2356" spans="1:5">
      <c r="A2356" s="76" t="s">
        <v>2533</v>
      </c>
      <c r="B2356" s="77"/>
      <c r="C2356" s="78"/>
      <c r="D2356" s="78"/>
      <c r="E2356" s="78"/>
    </row>
    <row r="2357" spans="1:5">
      <c r="A2357" s="76"/>
      <c r="B2357" s="77"/>
      <c r="C2357" s="78"/>
      <c r="D2357" s="78"/>
      <c r="E2357" s="78"/>
    </row>
    <row r="2358" spans="1:5">
      <c r="A2358" s="76" t="s">
        <v>280</v>
      </c>
      <c r="B2358" s="77" t="s">
        <v>135</v>
      </c>
      <c r="C2358" s="78" t="s">
        <v>136</v>
      </c>
      <c r="D2358" s="78" t="s">
        <v>2534</v>
      </c>
      <c r="E2358" s="78" t="s">
        <v>2535</v>
      </c>
    </row>
    <row r="2359" spans="1:5">
      <c r="A2359" s="76" t="s">
        <v>3128</v>
      </c>
      <c r="B2359" s="77" t="s">
        <v>598</v>
      </c>
      <c r="C2359" s="78">
        <v>1</v>
      </c>
      <c r="D2359" s="78">
        <v>6185.38</v>
      </c>
      <c r="E2359" s="78">
        <f>TRUNC(C2359*D2359,2)</f>
        <v>6185.38</v>
      </c>
    </row>
    <row r="2360" spans="1:5">
      <c r="A2360" s="76" t="s">
        <v>122</v>
      </c>
      <c r="B2360" s="77"/>
      <c r="C2360" s="78"/>
      <c r="D2360" s="78"/>
      <c r="E2360" s="78">
        <f>SUM(E2359:E2359)</f>
        <v>6185.38</v>
      </c>
    </row>
    <row r="2361" spans="1:5">
      <c r="A2361" s="76" t="s">
        <v>117</v>
      </c>
      <c r="B2361" s="77"/>
      <c r="C2361" s="78"/>
      <c r="D2361" s="78"/>
      <c r="E2361" s="78" t="str">
        <f>"0"</f>
        <v>0</v>
      </c>
    </row>
    <row r="2362" spans="1:5">
      <c r="A2362" s="76" t="s">
        <v>2537</v>
      </c>
      <c r="B2362" s="77"/>
      <c r="C2362" s="78"/>
      <c r="D2362" s="78"/>
      <c r="E2362" s="78">
        <f>E2360+E2361</f>
        <v>6185.38</v>
      </c>
    </row>
    <row r="2363" spans="1:5">
      <c r="A2363" s="76"/>
      <c r="B2363" s="77"/>
      <c r="C2363" s="78"/>
      <c r="D2363" s="78"/>
      <c r="E2363" s="78"/>
    </row>
    <row r="2364" spans="1:5">
      <c r="A2364" s="76" t="s">
        <v>2543</v>
      </c>
      <c r="B2364" s="77" t="s">
        <v>135</v>
      </c>
      <c r="C2364" s="78" t="s">
        <v>136</v>
      </c>
      <c r="D2364" s="78" t="s">
        <v>2534</v>
      </c>
      <c r="E2364" s="78" t="s">
        <v>2535</v>
      </c>
    </row>
    <row r="2365" ht="25.5" spans="1:5">
      <c r="A2365" s="76" t="s">
        <v>3098</v>
      </c>
      <c r="B2365" s="77" t="s">
        <v>598</v>
      </c>
      <c r="C2365" s="78">
        <v>1</v>
      </c>
      <c r="D2365" s="78">
        <v>153.54</v>
      </c>
      <c r="E2365" s="78">
        <f>TRUNC(C2365*D2365,2)</f>
        <v>153.54</v>
      </c>
    </row>
    <row r="2366" ht="25.5" spans="1:5">
      <c r="A2366" s="76" t="s">
        <v>3099</v>
      </c>
      <c r="B2366" s="77" t="s">
        <v>598</v>
      </c>
      <c r="C2366" s="78">
        <v>1</v>
      </c>
      <c r="D2366" s="78">
        <v>270.51</v>
      </c>
      <c r="E2366" s="78">
        <f>TRUNC(C2366*D2366,2)</f>
        <v>270.51</v>
      </c>
    </row>
    <row r="2367" ht="25.5" spans="1:5">
      <c r="A2367" s="76" t="s">
        <v>3096</v>
      </c>
      <c r="B2367" s="77" t="s">
        <v>598</v>
      </c>
      <c r="C2367" s="78">
        <v>1</v>
      </c>
      <c r="D2367" s="78">
        <v>11.14</v>
      </c>
      <c r="E2367" s="78">
        <f>TRUNC(C2367*D2367,2)</f>
        <v>11.14</v>
      </c>
    </row>
    <row r="2368" ht="25.5" spans="1:5">
      <c r="A2368" s="76" t="s">
        <v>3097</v>
      </c>
      <c r="B2368" s="77" t="s">
        <v>598</v>
      </c>
      <c r="C2368" s="78">
        <v>1</v>
      </c>
      <c r="D2368" s="78">
        <v>15.46</v>
      </c>
      <c r="E2368" s="78">
        <f>TRUNC(C2368*D2368,2)</f>
        <v>15.46</v>
      </c>
    </row>
    <row r="2369" ht="25.5" spans="1:5">
      <c r="A2369" s="76" t="s">
        <v>3129</v>
      </c>
      <c r="B2369" s="77" t="s">
        <v>598</v>
      </c>
      <c r="C2369" s="78">
        <v>1</v>
      </c>
      <c r="D2369" s="78">
        <v>23.69</v>
      </c>
      <c r="E2369" s="78">
        <f>TRUNC(C2369*D2369,2)</f>
        <v>23.69</v>
      </c>
    </row>
    <row r="2370" spans="1:5">
      <c r="A2370" s="76" t="s">
        <v>122</v>
      </c>
      <c r="B2370" s="77"/>
      <c r="C2370" s="78"/>
      <c r="D2370" s="78"/>
      <c r="E2370" s="78">
        <f>SUM(E2365:E2369)</f>
        <v>474.34</v>
      </c>
    </row>
    <row r="2371" spans="1:5">
      <c r="A2371" s="76"/>
      <c r="B2371" s="77"/>
      <c r="C2371" s="78"/>
      <c r="D2371" s="78"/>
      <c r="E2371" s="78"/>
    </row>
    <row r="2372" spans="1:5">
      <c r="A2372" s="76" t="s">
        <v>2538</v>
      </c>
      <c r="B2372" s="77"/>
      <c r="C2372" s="78"/>
      <c r="D2372" s="78"/>
      <c r="E2372" s="78">
        <f>E2362+E2370</f>
        <v>6659.72</v>
      </c>
    </row>
    <row r="2373" spans="1:5">
      <c r="A2373" s="76" t="s">
        <v>2539</v>
      </c>
      <c r="B2373" s="77"/>
      <c r="C2373" s="78"/>
      <c r="D2373" s="78">
        <v>0</v>
      </c>
      <c r="E2373" s="78">
        <f>TRUNC(D2373*E2372/100,2)</f>
        <v>0</v>
      </c>
    </row>
    <row r="2374" spans="1:5">
      <c r="A2374" s="76" t="s">
        <v>2540</v>
      </c>
      <c r="B2374" s="77"/>
      <c r="C2374" s="78"/>
      <c r="D2374" s="78"/>
      <c r="E2374" s="78">
        <f>E2372+E2373</f>
        <v>6659.72</v>
      </c>
    </row>
    <row r="2375" spans="1:5">
      <c r="A2375" s="76"/>
      <c r="B2375" s="77"/>
      <c r="C2375" s="78"/>
      <c r="D2375" s="78"/>
      <c r="E2375" s="78"/>
    </row>
    <row r="2376" spans="1:5">
      <c r="A2376" s="76" t="s">
        <v>3092</v>
      </c>
      <c r="B2376" s="77" t="s">
        <v>3130</v>
      </c>
      <c r="C2376" s="78"/>
      <c r="D2376" s="78"/>
      <c r="E2376" s="78"/>
    </row>
    <row r="2377" ht="25.5" spans="1:5">
      <c r="A2377" s="76" t="s">
        <v>3131</v>
      </c>
      <c r="B2377" s="77"/>
      <c r="C2377" s="78"/>
      <c r="D2377" s="78"/>
      <c r="E2377" s="78"/>
    </row>
    <row r="2378" spans="1:5">
      <c r="A2378" s="76" t="s">
        <v>2533</v>
      </c>
      <c r="B2378" s="77"/>
      <c r="C2378" s="78"/>
      <c r="D2378" s="78"/>
      <c r="E2378" s="78"/>
    </row>
    <row r="2379" spans="1:5">
      <c r="A2379" s="76"/>
      <c r="B2379" s="77"/>
      <c r="C2379" s="78"/>
      <c r="D2379" s="78"/>
      <c r="E2379" s="78"/>
    </row>
    <row r="2380" spans="1:5">
      <c r="A2380" s="76" t="s">
        <v>280</v>
      </c>
      <c r="B2380" s="77" t="s">
        <v>135</v>
      </c>
      <c r="C2380" s="78" t="s">
        <v>136</v>
      </c>
      <c r="D2380" s="78" t="s">
        <v>2534</v>
      </c>
      <c r="E2380" s="78" t="s">
        <v>2535</v>
      </c>
    </row>
    <row r="2381" spans="1:5">
      <c r="A2381" s="76" t="s">
        <v>3128</v>
      </c>
      <c r="B2381" s="77" t="s">
        <v>598</v>
      </c>
      <c r="C2381" s="78">
        <v>0.00383</v>
      </c>
      <c r="D2381" s="78">
        <v>6185.38</v>
      </c>
      <c r="E2381" s="78">
        <f>TRUNC(C2381*D2381,2)</f>
        <v>23.69</v>
      </c>
    </row>
    <row r="2382" spans="1:5">
      <c r="A2382" s="76" t="s">
        <v>122</v>
      </c>
      <c r="B2382" s="77"/>
      <c r="C2382" s="78"/>
      <c r="D2382" s="78"/>
      <c r="E2382" s="78">
        <f>SUM(E2381:E2381)</f>
        <v>23.69</v>
      </c>
    </row>
    <row r="2383" spans="1:5">
      <c r="A2383" s="76" t="s">
        <v>117</v>
      </c>
      <c r="B2383" s="77"/>
      <c r="C2383" s="78"/>
      <c r="D2383" s="78"/>
      <c r="E2383" s="78" t="str">
        <f>"0"</f>
        <v>0</v>
      </c>
    </row>
    <row r="2384" spans="1:5">
      <c r="A2384" s="76" t="s">
        <v>2537</v>
      </c>
      <c r="B2384" s="77"/>
      <c r="C2384" s="78"/>
      <c r="D2384" s="78"/>
      <c r="E2384" s="78">
        <f>E2382+E2383</f>
        <v>23.69</v>
      </c>
    </row>
    <row r="2385" spans="1:5">
      <c r="A2385" s="76"/>
      <c r="B2385" s="77"/>
      <c r="C2385" s="78"/>
      <c r="D2385" s="78"/>
      <c r="E2385" s="78"/>
    </row>
    <row r="2386" spans="1:5">
      <c r="A2386" s="76" t="s">
        <v>2538</v>
      </c>
      <c r="B2386" s="77"/>
      <c r="C2386" s="78"/>
      <c r="D2386" s="78"/>
      <c r="E2386" s="78">
        <f>E2384</f>
        <v>23.69</v>
      </c>
    </row>
    <row r="2387" spans="1:5">
      <c r="A2387" s="76" t="s">
        <v>2539</v>
      </c>
      <c r="B2387" s="77"/>
      <c r="C2387" s="78"/>
      <c r="D2387" s="78">
        <v>0</v>
      </c>
      <c r="E2387" s="78">
        <f>TRUNC(D2387*E2386/100,2)</f>
        <v>0</v>
      </c>
    </row>
    <row r="2388" spans="1:5">
      <c r="A2388" s="76" t="s">
        <v>2540</v>
      </c>
      <c r="B2388" s="77"/>
      <c r="C2388" s="78"/>
      <c r="D2388" s="78"/>
      <c r="E2388" s="78">
        <f>E2386+E2387</f>
        <v>23.69</v>
      </c>
    </row>
    <row r="2389" spans="1:5">
      <c r="A2389" s="76"/>
      <c r="B2389" s="77"/>
      <c r="C2389" s="78"/>
      <c r="D2389" s="78"/>
      <c r="E2389" s="78"/>
    </row>
    <row r="2390" spans="1:5">
      <c r="A2390" s="76" t="s">
        <v>3092</v>
      </c>
      <c r="B2390" s="77" t="s">
        <v>3132</v>
      </c>
      <c r="C2390" s="78"/>
      <c r="D2390" s="78"/>
      <c r="E2390" s="78"/>
    </row>
    <row r="2391" spans="1:5">
      <c r="A2391" s="76" t="s">
        <v>3133</v>
      </c>
      <c r="B2391" s="77"/>
      <c r="C2391" s="78"/>
      <c r="D2391" s="78"/>
      <c r="E2391" s="78"/>
    </row>
    <row r="2392" spans="1:5">
      <c r="A2392" s="76" t="s">
        <v>2533</v>
      </c>
      <c r="B2392" s="77"/>
      <c r="C2392" s="78"/>
      <c r="D2392" s="78"/>
      <c r="E2392" s="78"/>
    </row>
    <row r="2393" spans="1:5">
      <c r="A2393" s="76"/>
      <c r="B2393" s="77"/>
      <c r="C2393" s="78"/>
      <c r="D2393" s="78"/>
      <c r="E2393" s="78"/>
    </row>
    <row r="2394" spans="1:5">
      <c r="A2394" s="76" t="s">
        <v>280</v>
      </c>
      <c r="B2394" s="77" t="s">
        <v>135</v>
      </c>
      <c r="C2394" s="78" t="s">
        <v>136</v>
      </c>
      <c r="D2394" s="78" t="s">
        <v>2534</v>
      </c>
      <c r="E2394" s="78" t="s">
        <v>2535</v>
      </c>
    </row>
    <row r="2395" ht="25.5" spans="1:5">
      <c r="A2395" s="76" t="s">
        <v>3134</v>
      </c>
      <c r="B2395" s="77" t="s">
        <v>598</v>
      </c>
      <c r="C2395" s="78">
        <v>1</v>
      </c>
      <c r="D2395" s="78">
        <v>744.3</v>
      </c>
      <c r="E2395" s="78">
        <f>TRUNC(C2395*D2395,2)</f>
        <v>744.3</v>
      </c>
    </row>
    <row r="2396" spans="1:5">
      <c r="A2396" s="76" t="s">
        <v>3135</v>
      </c>
      <c r="B2396" s="77" t="s">
        <v>598</v>
      </c>
      <c r="C2396" s="78">
        <v>1</v>
      </c>
      <c r="D2396" s="78">
        <v>2583.48</v>
      </c>
      <c r="E2396" s="78">
        <f>TRUNC(C2396*D2396,2)</f>
        <v>2583.48</v>
      </c>
    </row>
    <row r="2397" spans="1:5">
      <c r="A2397" s="76" t="s">
        <v>122</v>
      </c>
      <c r="B2397" s="77"/>
      <c r="C2397" s="78"/>
      <c r="D2397" s="78"/>
      <c r="E2397" s="78">
        <f>SUM(E2395:E2396)</f>
        <v>3327.78</v>
      </c>
    </row>
    <row r="2398" spans="1:5">
      <c r="A2398" s="76" t="s">
        <v>117</v>
      </c>
      <c r="B2398" s="77"/>
      <c r="C2398" s="78"/>
      <c r="D2398" s="78"/>
      <c r="E2398" s="78" t="str">
        <f>"0"</f>
        <v>0</v>
      </c>
    </row>
    <row r="2399" spans="1:5">
      <c r="A2399" s="76" t="s">
        <v>2537</v>
      </c>
      <c r="B2399" s="77"/>
      <c r="C2399" s="78"/>
      <c r="D2399" s="78"/>
      <c r="E2399" s="78">
        <f>E2397+E2398</f>
        <v>3327.78</v>
      </c>
    </row>
    <row r="2400" spans="1:5">
      <c r="A2400" s="76"/>
      <c r="B2400" s="77"/>
      <c r="C2400" s="78"/>
      <c r="D2400" s="78"/>
      <c r="E2400" s="78"/>
    </row>
    <row r="2401" spans="1:5">
      <c r="A2401" s="76" t="s">
        <v>2543</v>
      </c>
      <c r="B2401" s="77" t="s">
        <v>135</v>
      </c>
      <c r="C2401" s="78" t="s">
        <v>136</v>
      </c>
      <c r="D2401" s="78" t="s">
        <v>2534</v>
      </c>
      <c r="E2401" s="78" t="s">
        <v>2535</v>
      </c>
    </row>
    <row r="2402" ht="25.5" spans="1:5">
      <c r="A2402" s="76" t="s">
        <v>3136</v>
      </c>
      <c r="B2402" s="77" t="s">
        <v>598</v>
      </c>
      <c r="C2402" s="78">
        <v>1</v>
      </c>
      <c r="D2402" s="78">
        <v>261.93</v>
      </c>
      <c r="E2402" s="78">
        <f t="shared" ref="E2402:E2407" si="40">TRUNC(C2402*D2402,2)</f>
        <v>261.93</v>
      </c>
    </row>
    <row r="2403" ht="25.5" spans="1:5">
      <c r="A2403" s="76" t="s">
        <v>3099</v>
      </c>
      <c r="B2403" s="77" t="s">
        <v>598</v>
      </c>
      <c r="C2403" s="78">
        <v>1</v>
      </c>
      <c r="D2403" s="78">
        <v>270.51</v>
      </c>
      <c r="E2403" s="78">
        <f t="shared" si="40"/>
        <v>270.51</v>
      </c>
    </row>
    <row r="2404" ht="25.5" spans="1:5">
      <c r="A2404" s="76" t="s">
        <v>3137</v>
      </c>
      <c r="B2404" s="77" t="s">
        <v>598</v>
      </c>
      <c r="C2404" s="78">
        <v>1</v>
      </c>
      <c r="D2404" s="78">
        <v>114.77</v>
      </c>
      <c r="E2404" s="78">
        <f t="shared" si="40"/>
        <v>114.77</v>
      </c>
    </row>
    <row r="2405" ht="25.5" spans="1:5">
      <c r="A2405" s="76" t="s">
        <v>3097</v>
      </c>
      <c r="B2405" s="77" t="s">
        <v>598</v>
      </c>
      <c r="C2405" s="78">
        <v>1</v>
      </c>
      <c r="D2405" s="78">
        <v>15.46</v>
      </c>
      <c r="E2405" s="78">
        <f t="shared" si="40"/>
        <v>15.46</v>
      </c>
    </row>
    <row r="2406" ht="25.5" spans="1:5">
      <c r="A2406" s="76" t="s">
        <v>3138</v>
      </c>
      <c r="B2406" s="77" t="s">
        <v>598</v>
      </c>
      <c r="C2406" s="78">
        <v>1</v>
      </c>
      <c r="D2406" s="78">
        <v>282.98</v>
      </c>
      <c r="E2406" s="78">
        <f t="shared" si="40"/>
        <v>282.98</v>
      </c>
    </row>
    <row r="2407" ht="25.5" spans="1:5">
      <c r="A2407" s="76" t="s">
        <v>3139</v>
      </c>
      <c r="B2407" s="77" t="s">
        <v>598</v>
      </c>
      <c r="C2407" s="78">
        <v>1</v>
      </c>
      <c r="D2407" s="78">
        <v>22.45</v>
      </c>
      <c r="E2407" s="78">
        <f t="shared" si="40"/>
        <v>22.45</v>
      </c>
    </row>
    <row r="2408" spans="1:5">
      <c r="A2408" s="76" t="s">
        <v>122</v>
      </c>
      <c r="B2408" s="77"/>
      <c r="C2408" s="78"/>
      <c r="D2408" s="78"/>
      <c r="E2408" s="78">
        <f>SUM(E2402:E2407)</f>
        <v>968.1</v>
      </c>
    </row>
    <row r="2409" spans="1:5">
      <c r="A2409" s="76"/>
      <c r="B2409" s="77"/>
      <c r="C2409" s="78"/>
      <c r="D2409" s="78"/>
      <c r="E2409" s="78"/>
    </row>
    <row r="2410" spans="1:5">
      <c r="A2410" s="76" t="s">
        <v>2538</v>
      </c>
      <c r="B2410" s="77"/>
      <c r="C2410" s="78"/>
      <c r="D2410" s="78"/>
      <c r="E2410" s="78">
        <f>E2399+E2408</f>
        <v>4295.88</v>
      </c>
    </row>
    <row r="2411" spans="1:5">
      <c r="A2411" s="76" t="s">
        <v>2539</v>
      </c>
      <c r="B2411" s="77"/>
      <c r="C2411" s="78"/>
      <c r="D2411" s="78">
        <v>0</v>
      </c>
      <c r="E2411" s="78">
        <f>TRUNC(D2411*E2410/100,2)</f>
        <v>0</v>
      </c>
    </row>
    <row r="2412" spans="1:5">
      <c r="A2412" s="76" t="s">
        <v>2540</v>
      </c>
      <c r="B2412" s="77"/>
      <c r="C2412" s="78"/>
      <c r="D2412" s="78"/>
      <c r="E2412" s="78">
        <f>E2410+E2411</f>
        <v>4295.88</v>
      </c>
    </row>
    <row r="2413" spans="1:5">
      <c r="A2413" s="76"/>
      <c r="B2413" s="77"/>
      <c r="C2413" s="78"/>
      <c r="D2413" s="78"/>
      <c r="E2413" s="78"/>
    </row>
    <row r="2414" spans="1:5">
      <c r="A2414" s="76" t="s">
        <v>3092</v>
      </c>
      <c r="B2414" s="77" t="s">
        <v>3140</v>
      </c>
      <c r="C2414" s="78"/>
      <c r="D2414" s="78"/>
      <c r="E2414" s="78"/>
    </row>
    <row r="2415" ht="25.5" spans="1:5">
      <c r="A2415" s="76" t="s">
        <v>3141</v>
      </c>
      <c r="B2415" s="77"/>
      <c r="C2415" s="78"/>
      <c r="D2415" s="78"/>
      <c r="E2415" s="78"/>
    </row>
    <row r="2416" spans="1:5">
      <c r="A2416" s="76" t="s">
        <v>2533</v>
      </c>
      <c r="B2416" s="77"/>
      <c r="C2416" s="78"/>
      <c r="D2416" s="78"/>
      <c r="E2416" s="78"/>
    </row>
    <row r="2417" spans="1:5">
      <c r="A2417" s="76"/>
      <c r="B2417" s="77"/>
      <c r="C2417" s="78"/>
      <c r="D2417" s="78"/>
      <c r="E2417" s="78"/>
    </row>
    <row r="2418" spans="1:5">
      <c r="A2418" s="76" t="s">
        <v>280</v>
      </c>
      <c r="B2418" s="77" t="s">
        <v>135</v>
      </c>
      <c r="C2418" s="78" t="s">
        <v>136</v>
      </c>
      <c r="D2418" s="78" t="s">
        <v>2534</v>
      </c>
      <c r="E2418" s="78" t="s">
        <v>2535</v>
      </c>
    </row>
    <row r="2419" spans="1:5">
      <c r="A2419" s="76" t="s">
        <v>3135</v>
      </c>
      <c r="B2419" s="77" t="s">
        <v>598</v>
      </c>
      <c r="C2419" s="78">
        <v>0.00869</v>
      </c>
      <c r="D2419" s="78">
        <v>2583.48</v>
      </c>
      <c r="E2419" s="78">
        <f>TRUNC(C2419*D2419,2)</f>
        <v>22.45</v>
      </c>
    </row>
    <row r="2420" spans="1:5">
      <c r="A2420" s="76" t="s">
        <v>122</v>
      </c>
      <c r="B2420" s="77"/>
      <c r="C2420" s="78"/>
      <c r="D2420" s="78"/>
      <c r="E2420" s="78">
        <f>SUM(E2419:E2419)</f>
        <v>22.45</v>
      </c>
    </row>
    <row r="2421" spans="1:5">
      <c r="A2421" s="76" t="s">
        <v>117</v>
      </c>
      <c r="B2421" s="77"/>
      <c r="C2421" s="78"/>
      <c r="D2421" s="78"/>
      <c r="E2421" s="78" t="str">
        <f>"0"</f>
        <v>0</v>
      </c>
    </row>
    <row r="2422" spans="1:5">
      <c r="A2422" s="76" t="s">
        <v>2537</v>
      </c>
      <c r="B2422" s="77"/>
      <c r="C2422" s="78"/>
      <c r="D2422" s="78"/>
      <c r="E2422" s="78">
        <f>E2420+E2421</f>
        <v>22.45</v>
      </c>
    </row>
    <row r="2423" spans="1:5">
      <c r="A2423" s="76"/>
      <c r="B2423" s="77"/>
      <c r="C2423" s="78"/>
      <c r="D2423" s="78"/>
      <c r="E2423" s="78"/>
    </row>
    <row r="2424" spans="1:5">
      <c r="A2424" s="76" t="s">
        <v>2538</v>
      </c>
      <c r="B2424" s="77"/>
      <c r="C2424" s="78"/>
      <c r="D2424" s="78"/>
      <c r="E2424" s="78">
        <f>E2422</f>
        <v>22.45</v>
      </c>
    </row>
    <row r="2425" spans="1:5">
      <c r="A2425" s="76" t="s">
        <v>2539</v>
      </c>
      <c r="B2425" s="77"/>
      <c r="C2425" s="78"/>
      <c r="D2425" s="78">
        <v>0</v>
      </c>
      <c r="E2425" s="78">
        <f>TRUNC(D2425*E2424/100,2)</f>
        <v>0</v>
      </c>
    </row>
    <row r="2426" spans="1:5">
      <c r="A2426" s="76" t="s">
        <v>2540</v>
      </c>
      <c r="B2426" s="77"/>
      <c r="C2426" s="78"/>
      <c r="D2426" s="78"/>
      <c r="E2426" s="78">
        <f>E2424+E2425</f>
        <v>22.45</v>
      </c>
    </row>
    <row r="2427" spans="1:5">
      <c r="A2427" s="76"/>
      <c r="B2427" s="77"/>
      <c r="C2427" s="78"/>
      <c r="D2427" s="78"/>
      <c r="E2427" s="78"/>
    </row>
    <row r="2428" spans="1:5">
      <c r="A2428" s="76" t="s">
        <v>3092</v>
      </c>
      <c r="B2428" s="77" t="s">
        <v>3142</v>
      </c>
      <c r="C2428" s="78"/>
      <c r="D2428" s="78"/>
      <c r="E2428" s="78"/>
    </row>
    <row r="2429" spans="1:5">
      <c r="A2429" s="76" t="s">
        <v>3143</v>
      </c>
      <c r="B2429" s="77"/>
      <c r="C2429" s="78"/>
      <c r="D2429" s="78"/>
      <c r="E2429" s="78"/>
    </row>
    <row r="2430" spans="1:5">
      <c r="A2430" s="76" t="s">
        <v>2533</v>
      </c>
      <c r="B2430" s="77"/>
      <c r="C2430" s="78"/>
      <c r="D2430" s="78"/>
      <c r="E2430" s="78"/>
    </row>
    <row r="2431" spans="1:5">
      <c r="A2431" s="76"/>
      <c r="B2431" s="77"/>
      <c r="C2431" s="78"/>
      <c r="D2431" s="78"/>
      <c r="E2431" s="78"/>
    </row>
    <row r="2432" spans="1:5">
      <c r="A2432" s="76" t="s">
        <v>280</v>
      </c>
      <c r="B2432" s="77" t="s">
        <v>135</v>
      </c>
      <c r="C2432" s="78" t="s">
        <v>136</v>
      </c>
      <c r="D2432" s="78" t="s">
        <v>2534</v>
      </c>
      <c r="E2432" s="78" t="s">
        <v>2535</v>
      </c>
    </row>
    <row r="2433" spans="1:5">
      <c r="A2433" s="76" t="s">
        <v>3144</v>
      </c>
      <c r="B2433" s="77" t="s">
        <v>598</v>
      </c>
      <c r="C2433" s="78">
        <v>1</v>
      </c>
      <c r="D2433" s="78">
        <v>3890.2</v>
      </c>
      <c r="E2433" s="78">
        <f>TRUNC(C2433*D2433,2)</f>
        <v>3890.2</v>
      </c>
    </row>
    <row r="2434" spans="1:5">
      <c r="A2434" s="76" t="s">
        <v>122</v>
      </c>
      <c r="B2434" s="77"/>
      <c r="C2434" s="78"/>
      <c r="D2434" s="78"/>
      <c r="E2434" s="78">
        <f>SUM(E2433:E2433)</f>
        <v>3890.2</v>
      </c>
    </row>
    <row r="2435" spans="1:5">
      <c r="A2435" s="76" t="s">
        <v>117</v>
      </c>
      <c r="B2435" s="77"/>
      <c r="C2435" s="78"/>
      <c r="D2435" s="78"/>
      <c r="E2435" s="78" t="str">
        <f>"0"</f>
        <v>0</v>
      </c>
    </row>
    <row r="2436" spans="1:5">
      <c r="A2436" s="76" t="s">
        <v>2537</v>
      </c>
      <c r="B2436" s="77"/>
      <c r="C2436" s="78"/>
      <c r="D2436" s="78"/>
      <c r="E2436" s="78">
        <f>E2434+E2435</f>
        <v>3890.2</v>
      </c>
    </row>
    <row r="2437" spans="1:5">
      <c r="A2437" s="76"/>
      <c r="B2437" s="77"/>
      <c r="C2437" s="78"/>
      <c r="D2437" s="78"/>
      <c r="E2437" s="78"/>
    </row>
    <row r="2438" spans="1:5">
      <c r="A2438" s="76" t="s">
        <v>2543</v>
      </c>
      <c r="B2438" s="77" t="s">
        <v>135</v>
      </c>
      <c r="C2438" s="78" t="s">
        <v>136</v>
      </c>
      <c r="D2438" s="78" t="s">
        <v>2534</v>
      </c>
      <c r="E2438" s="78" t="s">
        <v>2535</v>
      </c>
    </row>
    <row r="2439" ht="25.5" spans="1:5">
      <c r="A2439" s="76" t="s">
        <v>3145</v>
      </c>
      <c r="B2439" s="77" t="s">
        <v>598</v>
      </c>
      <c r="C2439" s="78">
        <v>1</v>
      </c>
      <c r="D2439" s="78">
        <v>241.99</v>
      </c>
      <c r="E2439" s="78">
        <f>TRUNC(C2439*D2439,2)</f>
        <v>241.99</v>
      </c>
    </row>
    <row r="2440" ht="25.5" spans="1:5">
      <c r="A2440" s="76" t="s">
        <v>3099</v>
      </c>
      <c r="B2440" s="77" t="s">
        <v>598</v>
      </c>
      <c r="C2440" s="78">
        <v>1</v>
      </c>
      <c r="D2440" s="78">
        <v>270.51</v>
      </c>
      <c r="E2440" s="78">
        <f>TRUNC(C2440*D2440,2)</f>
        <v>270.51</v>
      </c>
    </row>
    <row r="2441" ht="25.5" spans="1:5">
      <c r="A2441" s="76" t="s">
        <v>3146</v>
      </c>
      <c r="B2441" s="77" t="s">
        <v>598</v>
      </c>
      <c r="C2441" s="78">
        <v>1</v>
      </c>
      <c r="D2441" s="78">
        <v>15.46</v>
      </c>
      <c r="E2441" s="78">
        <f>TRUNC(C2441*D2441,2)</f>
        <v>15.46</v>
      </c>
    </row>
    <row r="2442" ht="25.5" spans="1:5">
      <c r="A2442" s="76" t="s">
        <v>3097</v>
      </c>
      <c r="B2442" s="77" t="s">
        <v>598</v>
      </c>
      <c r="C2442" s="78">
        <v>1</v>
      </c>
      <c r="D2442" s="78">
        <v>15.46</v>
      </c>
      <c r="E2442" s="78">
        <f>TRUNC(C2442*D2442,2)</f>
        <v>15.46</v>
      </c>
    </row>
    <row r="2443" ht="25.5" spans="1:5">
      <c r="A2443" s="76" t="s">
        <v>3147</v>
      </c>
      <c r="B2443" s="77" t="s">
        <v>598</v>
      </c>
      <c r="C2443" s="78">
        <v>1</v>
      </c>
      <c r="D2443" s="78">
        <v>62.12</v>
      </c>
      <c r="E2443" s="78">
        <f>TRUNC(C2443*D2443,2)</f>
        <v>62.12</v>
      </c>
    </row>
    <row r="2444" spans="1:5">
      <c r="A2444" s="76" t="s">
        <v>122</v>
      </c>
      <c r="B2444" s="77"/>
      <c r="C2444" s="78"/>
      <c r="D2444" s="78"/>
      <c r="E2444" s="78">
        <f>SUM(E2439:E2443)</f>
        <v>605.54</v>
      </c>
    </row>
    <row r="2445" spans="1:5">
      <c r="A2445" s="76"/>
      <c r="B2445" s="77"/>
      <c r="C2445" s="78"/>
      <c r="D2445" s="78"/>
      <c r="E2445" s="78"/>
    </row>
    <row r="2446" spans="1:5">
      <c r="A2446" s="76" t="s">
        <v>2538</v>
      </c>
      <c r="B2446" s="77"/>
      <c r="C2446" s="78"/>
      <c r="D2446" s="78"/>
      <c r="E2446" s="78">
        <f>E2436+E2444</f>
        <v>4495.74</v>
      </c>
    </row>
    <row r="2447" spans="1:5">
      <c r="A2447" s="76" t="s">
        <v>2539</v>
      </c>
      <c r="B2447" s="77"/>
      <c r="C2447" s="78"/>
      <c r="D2447" s="78">
        <v>0</v>
      </c>
      <c r="E2447" s="78">
        <f>TRUNC(D2447*E2446/100,2)</f>
        <v>0</v>
      </c>
    </row>
    <row r="2448" spans="1:5">
      <c r="A2448" s="76" t="s">
        <v>2540</v>
      </c>
      <c r="B2448" s="77"/>
      <c r="C2448" s="78"/>
      <c r="D2448" s="78"/>
      <c r="E2448" s="78">
        <f>E2446+E2447</f>
        <v>4495.74</v>
      </c>
    </row>
    <row r="2449" spans="1:5">
      <c r="A2449" s="76"/>
      <c r="B2449" s="77"/>
      <c r="C2449" s="78"/>
      <c r="D2449" s="78"/>
      <c r="E2449" s="78"/>
    </row>
    <row r="2450" spans="1:5">
      <c r="A2450" s="76" t="s">
        <v>3092</v>
      </c>
      <c r="B2450" s="77" t="s">
        <v>3148</v>
      </c>
      <c r="C2450" s="78"/>
      <c r="D2450" s="78"/>
      <c r="E2450" s="78"/>
    </row>
    <row r="2451" ht="25.5" spans="1:5">
      <c r="A2451" s="76" t="s">
        <v>3149</v>
      </c>
      <c r="B2451" s="77"/>
      <c r="C2451" s="78"/>
      <c r="D2451" s="78"/>
      <c r="E2451" s="78"/>
    </row>
    <row r="2452" spans="1:5">
      <c r="A2452" s="76" t="s">
        <v>2533</v>
      </c>
      <c r="B2452" s="77"/>
      <c r="C2452" s="78"/>
      <c r="D2452" s="78"/>
      <c r="E2452" s="78"/>
    </row>
    <row r="2453" spans="1:5">
      <c r="A2453" s="76"/>
      <c r="B2453" s="77"/>
      <c r="C2453" s="78"/>
      <c r="D2453" s="78"/>
      <c r="E2453" s="78"/>
    </row>
    <row r="2454" spans="1:5">
      <c r="A2454" s="76" t="s">
        <v>280</v>
      </c>
      <c r="B2454" s="77" t="s">
        <v>135</v>
      </c>
      <c r="C2454" s="78" t="s">
        <v>136</v>
      </c>
      <c r="D2454" s="78" t="s">
        <v>2534</v>
      </c>
      <c r="E2454" s="78" t="s">
        <v>2535</v>
      </c>
    </row>
    <row r="2455" spans="1:5">
      <c r="A2455" s="76" t="s">
        <v>3144</v>
      </c>
      <c r="B2455" s="77" t="s">
        <v>598</v>
      </c>
      <c r="C2455" s="78">
        <v>0.01597</v>
      </c>
      <c r="D2455" s="78">
        <v>3890.2</v>
      </c>
      <c r="E2455" s="78">
        <f>TRUNC(C2455*D2455,2)</f>
        <v>62.12</v>
      </c>
    </row>
    <row r="2456" spans="1:5">
      <c r="A2456" s="76" t="s">
        <v>122</v>
      </c>
      <c r="B2456" s="77"/>
      <c r="C2456" s="78"/>
      <c r="D2456" s="78"/>
      <c r="E2456" s="78">
        <f>SUM(E2455:E2455)</f>
        <v>62.12</v>
      </c>
    </row>
    <row r="2457" spans="1:5">
      <c r="A2457" s="76" t="s">
        <v>117</v>
      </c>
      <c r="B2457" s="77"/>
      <c r="C2457" s="78"/>
      <c r="D2457" s="78"/>
      <c r="E2457" s="78" t="str">
        <f>"0"</f>
        <v>0</v>
      </c>
    </row>
    <row r="2458" spans="1:5">
      <c r="A2458" s="76" t="s">
        <v>2537</v>
      </c>
      <c r="B2458" s="77"/>
      <c r="C2458" s="78"/>
      <c r="D2458" s="78"/>
      <c r="E2458" s="78">
        <f>E2456+E2457</f>
        <v>62.12</v>
      </c>
    </row>
    <row r="2459" spans="1:5">
      <c r="A2459" s="76"/>
      <c r="B2459" s="77"/>
      <c r="C2459" s="78"/>
      <c r="D2459" s="78"/>
      <c r="E2459" s="78"/>
    </row>
    <row r="2460" spans="1:5">
      <c r="A2460" s="76" t="s">
        <v>2538</v>
      </c>
      <c r="B2460" s="77"/>
      <c r="C2460" s="78"/>
      <c r="D2460" s="78"/>
      <c r="E2460" s="78">
        <f>E2458</f>
        <v>62.12</v>
      </c>
    </row>
    <row r="2461" spans="1:5">
      <c r="A2461" s="76" t="s">
        <v>2539</v>
      </c>
      <c r="B2461" s="77"/>
      <c r="C2461" s="78"/>
      <c r="D2461" s="78">
        <v>0</v>
      </c>
      <c r="E2461" s="78">
        <f>TRUNC(D2461*E2460/100,2)</f>
        <v>0</v>
      </c>
    </row>
    <row r="2462" spans="1:5">
      <c r="A2462" s="76" t="s">
        <v>2540</v>
      </c>
      <c r="B2462" s="77"/>
      <c r="C2462" s="78"/>
      <c r="D2462" s="78"/>
      <c r="E2462" s="78">
        <f>E2460+E2461</f>
        <v>62.12</v>
      </c>
    </row>
    <row r="2463" spans="1:5">
      <c r="A2463" s="76"/>
      <c r="B2463" s="77"/>
      <c r="C2463" s="78"/>
      <c r="D2463" s="78"/>
      <c r="E2463" s="78"/>
    </row>
    <row r="2464" spans="1:5">
      <c r="A2464" s="76" t="s">
        <v>3092</v>
      </c>
      <c r="B2464" s="77" t="s">
        <v>3150</v>
      </c>
      <c r="C2464" s="78"/>
      <c r="D2464" s="78"/>
      <c r="E2464" s="78"/>
    </row>
    <row r="2465" spans="1:5">
      <c r="A2465" s="76" t="s">
        <v>3151</v>
      </c>
      <c r="B2465" s="77"/>
      <c r="C2465" s="78"/>
      <c r="D2465" s="78"/>
      <c r="E2465" s="78"/>
    </row>
    <row r="2466" spans="1:5">
      <c r="A2466" s="76" t="s">
        <v>2533</v>
      </c>
      <c r="B2466" s="77"/>
      <c r="C2466" s="78"/>
      <c r="D2466" s="78"/>
      <c r="E2466" s="78"/>
    </row>
    <row r="2467" spans="1:5">
      <c r="A2467" s="76"/>
      <c r="B2467" s="77"/>
      <c r="C2467" s="78"/>
      <c r="D2467" s="78"/>
      <c r="E2467" s="78"/>
    </row>
    <row r="2468" spans="1:5">
      <c r="A2468" s="76" t="s">
        <v>280</v>
      </c>
      <c r="B2468" s="77" t="s">
        <v>135</v>
      </c>
      <c r="C2468" s="78" t="s">
        <v>136</v>
      </c>
      <c r="D2468" s="78" t="s">
        <v>2534</v>
      </c>
      <c r="E2468" s="78" t="s">
        <v>2535</v>
      </c>
    </row>
    <row r="2469" spans="1:5">
      <c r="A2469" s="76" t="s">
        <v>3152</v>
      </c>
      <c r="B2469" s="77" t="s">
        <v>598</v>
      </c>
      <c r="C2469" s="78">
        <v>1</v>
      </c>
      <c r="D2469" s="78">
        <v>25988.71</v>
      </c>
      <c r="E2469" s="78">
        <f>TRUNC(C2469*D2469,2)</f>
        <v>25988.71</v>
      </c>
    </row>
    <row r="2470" spans="1:5">
      <c r="A2470" s="76" t="s">
        <v>122</v>
      </c>
      <c r="B2470" s="77"/>
      <c r="C2470" s="78"/>
      <c r="D2470" s="78"/>
      <c r="E2470" s="78">
        <f>SUM(E2469:E2469)</f>
        <v>25988.71</v>
      </c>
    </row>
    <row r="2471" spans="1:5">
      <c r="A2471" s="76" t="s">
        <v>117</v>
      </c>
      <c r="B2471" s="77"/>
      <c r="C2471" s="78"/>
      <c r="D2471" s="78"/>
      <c r="E2471" s="78" t="str">
        <f>"0"</f>
        <v>0</v>
      </c>
    </row>
    <row r="2472" spans="1:5">
      <c r="A2472" s="76" t="s">
        <v>2537</v>
      </c>
      <c r="B2472" s="77"/>
      <c r="C2472" s="78"/>
      <c r="D2472" s="78"/>
      <c r="E2472" s="78">
        <f>E2470+E2471</f>
        <v>25988.71</v>
      </c>
    </row>
    <row r="2473" spans="1:5">
      <c r="A2473" s="76"/>
      <c r="B2473" s="77"/>
      <c r="C2473" s="78"/>
      <c r="D2473" s="78"/>
      <c r="E2473" s="78"/>
    </row>
    <row r="2474" spans="1:5">
      <c r="A2474" s="76" t="s">
        <v>2543</v>
      </c>
      <c r="B2474" s="77" t="s">
        <v>135</v>
      </c>
      <c r="C2474" s="78" t="s">
        <v>136</v>
      </c>
      <c r="D2474" s="78" t="s">
        <v>2534</v>
      </c>
      <c r="E2474" s="78" t="s">
        <v>2535</v>
      </c>
    </row>
    <row r="2475" ht="25.5" spans="1:5">
      <c r="A2475" s="76" t="s">
        <v>3153</v>
      </c>
      <c r="B2475" s="77" t="s">
        <v>598</v>
      </c>
      <c r="C2475" s="78">
        <v>1</v>
      </c>
      <c r="D2475" s="78">
        <v>146</v>
      </c>
      <c r="E2475" s="78">
        <f>TRUNC(C2475*D2475,2)</f>
        <v>146</v>
      </c>
    </row>
    <row r="2476" ht="25.5" spans="1:5">
      <c r="A2476" s="76" t="s">
        <v>3099</v>
      </c>
      <c r="B2476" s="77" t="s">
        <v>598</v>
      </c>
      <c r="C2476" s="78">
        <v>1</v>
      </c>
      <c r="D2476" s="78">
        <v>270.51</v>
      </c>
      <c r="E2476" s="78">
        <f>TRUNC(C2476*D2476,2)</f>
        <v>270.51</v>
      </c>
    </row>
    <row r="2477" ht="25.5" spans="1:5">
      <c r="A2477" s="76" t="s">
        <v>3154</v>
      </c>
      <c r="B2477" s="77" t="s">
        <v>598</v>
      </c>
      <c r="C2477" s="78">
        <v>1</v>
      </c>
      <c r="D2477" s="78">
        <v>2.35</v>
      </c>
      <c r="E2477" s="78">
        <f>TRUNC(C2477*D2477,2)</f>
        <v>2.35</v>
      </c>
    </row>
    <row r="2478" ht="25.5" spans="1:5">
      <c r="A2478" s="76" t="s">
        <v>3097</v>
      </c>
      <c r="B2478" s="77" t="s">
        <v>598</v>
      </c>
      <c r="C2478" s="78">
        <v>1</v>
      </c>
      <c r="D2478" s="78">
        <v>15.46</v>
      </c>
      <c r="E2478" s="78">
        <f>TRUNC(C2478*D2478,2)</f>
        <v>15.46</v>
      </c>
    </row>
    <row r="2479" ht="25.5" spans="1:5">
      <c r="A2479" s="76" t="s">
        <v>3155</v>
      </c>
      <c r="B2479" s="77" t="s">
        <v>598</v>
      </c>
      <c r="C2479" s="78">
        <v>1</v>
      </c>
      <c r="D2479" s="78">
        <v>288.99</v>
      </c>
      <c r="E2479" s="78">
        <f>TRUNC(C2479*D2479,2)</f>
        <v>288.99</v>
      </c>
    </row>
    <row r="2480" spans="1:5">
      <c r="A2480" s="76" t="s">
        <v>122</v>
      </c>
      <c r="B2480" s="77"/>
      <c r="C2480" s="78"/>
      <c r="D2480" s="78"/>
      <c r="E2480" s="78">
        <f>SUM(E2475:E2479)</f>
        <v>723.31</v>
      </c>
    </row>
    <row r="2481" spans="1:5">
      <c r="A2481" s="76"/>
      <c r="B2481" s="77"/>
      <c r="C2481" s="78"/>
      <c r="D2481" s="78"/>
      <c r="E2481" s="78"/>
    </row>
    <row r="2482" spans="1:5">
      <c r="A2482" s="76" t="s">
        <v>2538</v>
      </c>
      <c r="B2482" s="77"/>
      <c r="C2482" s="78"/>
      <c r="D2482" s="78"/>
      <c r="E2482" s="78">
        <f>E2472+E2480</f>
        <v>26712.02</v>
      </c>
    </row>
    <row r="2483" spans="1:5">
      <c r="A2483" s="76" t="s">
        <v>2539</v>
      </c>
      <c r="B2483" s="77"/>
      <c r="C2483" s="78"/>
      <c r="D2483" s="78">
        <v>0</v>
      </c>
      <c r="E2483" s="78">
        <f>TRUNC(D2483*E2482/100,2)</f>
        <v>0</v>
      </c>
    </row>
    <row r="2484" spans="1:5">
      <c r="A2484" s="76" t="s">
        <v>2540</v>
      </c>
      <c r="B2484" s="77"/>
      <c r="C2484" s="78"/>
      <c r="D2484" s="78"/>
      <c r="E2484" s="78">
        <f>E2482+E2483</f>
        <v>26712.02</v>
      </c>
    </row>
    <row r="2485" spans="1:5">
      <c r="A2485" s="76"/>
      <c r="B2485" s="77"/>
      <c r="C2485" s="78"/>
      <c r="D2485" s="78"/>
      <c r="E2485" s="78"/>
    </row>
    <row r="2486" spans="1:5">
      <c r="A2486" s="76" t="s">
        <v>3092</v>
      </c>
      <c r="B2486" s="77" t="s">
        <v>3156</v>
      </c>
      <c r="C2486" s="78"/>
      <c r="D2486" s="78"/>
      <c r="E2486" s="78"/>
    </row>
    <row r="2487" ht="25.5" spans="1:5">
      <c r="A2487" s="76" t="s">
        <v>3157</v>
      </c>
      <c r="B2487" s="77"/>
      <c r="C2487" s="78"/>
      <c r="D2487" s="78"/>
      <c r="E2487" s="78"/>
    </row>
    <row r="2488" spans="1:5">
      <c r="A2488" s="76" t="s">
        <v>2533</v>
      </c>
      <c r="B2488" s="77"/>
      <c r="C2488" s="78"/>
      <c r="D2488" s="78"/>
      <c r="E2488" s="78"/>
    </row>
    <row r="2489" spans="1:5">
      <c r="A2489" s="76"/>
      <c r="B2489" s="77"/>
      <c r="C2489" s="78"/>
      <c r="D2489" s="78"/>
      <c r="E2489" s="78"/>
    </row>
    <row r="2490" spans="1:5">
      <c r="A2490" s="76" t="s">
        <v>280</v>
      </c>
      <c r="B2490" s="77" t="s">
        <v>135</v>
      </c>
      <c r="C2490" s="78" t="s">
        <v>136</v>
      </c>
      <c r="D2490" s="78" t="s">
        <v>2534</v>
      </c>
      <c r="E2490" s="78" t="s">
        <v>2535</v>
      </c>
    </row>
    <row r="2491" spans="1:5">
      <c r="A2491" s="76" t="s">
        <v>3152</v>
      </c>
      <c r="B2491" s="77" t="s">
        <v>598</v>
      </c>
      <c r="C2491" s="78">
        <v>0.01112</v>
      </c>
      <c r="D2491" s="78">
        <v>25988.71</v>
      </c>
      <c r="E2491" s="78">
        <f>TRUNC(C2491*D2491,2)</f>
        <v>288.99</v>
      </c>
    </row>
    <row r="2492" spans="1:5">
      <c r="A2492" s="76" t="s">
        <v>122</v>
      </c>
      <c r="B2492" s="77"/>
      <c r="C2492" s="78"/>
      <c r="D2492" s="78"/>
      <c r="E2492" s="78">
        <f>SUM(E2491:E2491)</f>
        <v>288.99</v>
      </c>
    </row>
    <row r="2493" spans="1:5">
      <c r="A2493" s="76" t="s">
        <v>117</v>
      </c>
      <c r="B2493" s="77"/>
      <c r="C2493" s="78"/>
      <c r="D2493" s="78"/>
      <c r="E2493" s="78" t="str">
        <f>"0"</f>
        <v>0</v>
      </c>
    </row>
    <row r="2494" spans="1:5">
      <c r="A2494" s="76" t="s">
        <v>2537</v>
      </c>
      <c r="B2494" s="77"/>
      <c r="C2494" s="78"/>
      <c r="D2494" s="78"/>
      <c r="E2494" s="78">
        <f>E2492+E2493</f>
        <v>288.99</v>
      </c>
    </row>
    <row r="2495" spans="1:5">
      <c r="A2495" s="76"/>
      <c r="B2495" s="77"/>
      <c r="C2495" s="78"/>
      <c r="D2495" s="78"/>
      <c r="E2495" s="78"/>
    </row>
    <row r="2496" spans="1:5">
      <c r="A2496" s="76" t="s">
        <v>2538</v>
      </c>
      <c r="B2496" s="77"/>
      <c r="C2496" s="78"/>
      <c r="D2496" s="78"/>
      <c r="E2496" s="78">
        <f>E2494</f>
        <v>288.99</v>
      </c>
    </row>
    <row r="2497" spans="1:5">
      <c r="A2497" s="76" t="s">
        <v>2539</v>
      </c>
      <c r="B2497" s="77"/>
      <c r="C2497" s="78"/>
      <c r="D2497" s="78">
        <v>0</v>
      </c>
      <c r="E2497" s="78">
        <f>TRUNC(D2497*E2496/100,2)</f>
        <v>0</v>
      </c>
    </row>
    <row r="2498" spans="1:5">
      <c r="A2498" s="76" t="s">
        <v>2540</v>
      </c>
      <c r="B2498" s="77"/>
      <c r="C2498" s="78"/>
      <c r="D2498" s="78"/>
      <c r="E2498" s="78">
        <f>E2496+E2497</f>
        <v>288.99</v>
      </c>
    </row>
    <row r="2499" spans="1:5">
      <c r="A2499" s="76"/>
      <c r="B2499" s="77"/>
      <c r="C2499" s="78"/>
      <c r="D2499" s="78"/>
      <c r="E2499" s="78"/>
    </row>
    <row r="2500" spans="1:5">
      <c r="A2500" s="76" t="s">
        <v>3092</v>
      </c>
      <c r="B2500" s="77" t="s">
        <v>3158</v>
      </c>
      <c r="C2500" s="78"/>
      <c r="D2500" s="78"/>
      <c r="E2500" s="78"/>
    </row>
    <row r="2501" spans="1:5">
      <c r="A2501" s="76" t="s">
        <v>3159</v>
      </c>
      <c r="B2501" s="77"/>
      <c r="C2501" s="78"/>
      <c r="D2501" s="78"/>
      <c r="E2501" s="78"/>
    </row>
    <row r="2502" spans="1:5">
      <c r="A2502" s="76" t="s">
        <v>2764</v>
      </c>
      <c r="B2502" s="77"/>
      <c r="C2502" s="78"/>
      <c r="D2502" s="78"/>
      <c r="E2502" s="78"/>
    </row>
    <row r="2503" spans="1:5">
      <c r="A2503" s="76"/>
      <c r="B2503" s="77"/>
      <c r="C2503" s="78"/>
      <c r="D2503" s="78"/>
      <c r="E2503" s="78"/>
    </row>
    <row r="2504" spans="1:5">
      <c r="A2504" s="76" t="s">
        <v>279</v>
      </c>
      <c r="B2504" s="77" t="s">
        <v>135</v>
      </c>
      <c r="C2504" s="78" t="s">
        <v>136</v>
      </c>
      <c r="D2504" s="78" t="s">
        <v>2534</v>
      </c>
      <c r="E2504" s="78" t="s">
        <v>2535</v>
      </c>
    </row>
    <row r="2505" ht="25.5" spans="1:5">
      <c r="A2505" s="76" t="s">
        <v>3111</v>
      </c>
      <c r="B2505" s="77" t="s">
        <v>839</v>
      </c>
      <c r="C2505" s="78">
        <v>1</v>
      </c>
      <c r="D2505" s="78">
        <v>1.5</v>
      </c>
      <c r="E2505" s="78">
        <f>TRUNC(C2505*D2505,2)</f>
        <v>1.5</v>
      </c>
    </row>
    <row r="2506" spans="1:5">
      <c r="A2506" s="76" t="s">
        <v>122</v>
      </c>
      <c r="B2506" s="77"/>
      <c r="C2506" s="78"/>
      <c r="D2506" s="78"/>
      <c r="E2506" s="78">
        <f>SUM(E2505:E2505)</f>
        <v>1.5</v>
      </c>
    </row>
    <row r="2507" spans="1:5">
      <c r="A2507" s="76"/>
      <c r="B2507" s="77"/>
      <c r="C2507" s="78"/>
      <c r="D2507" s="78"/>
      <c r="E2507" s="78"/>
    </row>
    <row r="2508" spans="1:5">
      <c r="A2508" s="76" t="s">
        <v>280</v>
      </c>
      <c r="B2508" s="77" t="s">
        <v>135</v>
      </c>
      <c r="C2508" s="78" t="s">
        <v>136</v>
      </c>
      <c r="D2508" s="78" t="s">
        <v>2534</v>
      </c>
      <c r="E2508" s="78" t="s">
        <v>2535</v>
      </c>
    </row>
    <row r="2509" spans="1:5">
      <c r="A2509" s="76" t="s">
        <v>3160</v>
      </c>
      <c r="B2509" s="77" t="s">
        <v>839</v>
      </c>
      <c r="C2509" s="78">
        <v>1</v>
      </c>
      <c r="D2509" s="78">
        <v>15.27</v>
      </c>
      <c r="E2509" s="78">
        <f>TRUNC(C2509*D2509,2)</f>
        <v>15.27</v>
      </c>
    </row>
    <row r="2510" ht="25.5" spans="1:5">
      <c r="A2510" s="76" t="s">
        <v>3112</v>
      </c>
      <c r="B2510" s="77" t="s">
        <v>839</v>
      </c>
      <c r="C2510" s="78">
        <v>1</v>
      </c>
      <c r="D2510" s="78">
        <v>3.95</v>
      </c>
      <c r="E2510" s="78">
        <f>TRUNC(C2510*D2510,2)</f>
        <v>3.95</v>
      </c>
    </row>
    <row r="2511" ht="25.5" spans="1:5">
      <c r="A2511" s="76" t="s">
        <v>3113</v>
      </c>
      <c r="B2511" s="77" t="s">
        <v>839</v>
      </c>
      <c r="C2511" s="78">
        <v>1</v>
      </c>
      <c r="D2511" s="78">
        <v>0.08</v>
      </c>
      <c r="E2511" s="78">
        <f>TRUNC(C2511*D2511,2)</f>
        <v>0.08</v>
      </c>
    </row>
    <row r="2512" spans="1:5">
      <c r="A2512" s="76" t="s">
        <v>122</v>
      </c>
      <c r="B2512" s="77"/>
      <c r="C2512" s="78"/>
      <c r="D2512" s="78"/>
      <c r="E2512" s="78">
        <f>SUM(E2509:E2511)</f>
        <v>19.3</v>
      </c>
    </row>
    <row r="2513" spans="1:5">
      <c r="A2513" s="76" t="s">
        <v>117</v>
      </c>
      <c r="B2513" s="77"/>
      <c r="C2513" s="78"/>
      <c r="D2513" s="78"/>
      <c r="E2513" s="78" t="str">
        <f>"0"</f>
        <v>0</v>
      </c>
    </row>
    <row r="2514" spans="1:5">
      <c r="A2514" s="76" t="s">
        <v>2537</v>
      </c>
      <c r="B2514" s="77"/>
      <c r="C2514" s="78"/>
      <c r="D2514" s="78"/>
      <c r="E2514" s="78">
        <f>E2512+E2513</f>
        <v>19.3</v>
      </c>
    </row>
    <row r="2515" spans="1:5">
      <c r="A2515" s="76"/>
      <c r="B2515" s="77"/>
      <c r="C2515" s="78"/>
      <c r="D2515" s="78"/>
      <c r="E2515" s="78"/>
    </row>
    <row r="2516" spans="1:5">
      <c r="A2516" s="76" t="s">
        <v>2543</v>
      </c>
      <c r="B2516" s="77" t="s">
        <v>135</v>
      </c>
      <c r="C2516" s="78" t="s">
        <v>136</v>
      </c>
      <c r="D2516" s="78" t="s">
        <v>2534</v>
      </c>
      <c r="E2516" s="78" t="s">
        <v>2535</v>
      </c>
    </row>
    <row r="2517" ht="25.5" spans="1:5">
      <c r="A2517" s="76" t="s">
        <v>3115</v>
      </c>
      <c r="B2517" s="77" t="s">
        <v>839</v>
      </c>
      <c r="C2517" s="78">
        <v>1</v>
      </c>
      <c r="D2517" s="78">
        <v>1.39</v>
      </c>
      <c r="E2517" s="78">
        <f>TRUNC(C2517*D2517,2)</f>
        <v>1.39</v>
      </c>
    </row>
    <row r="2518" spans="1:5">
      <c r="A2518" s="76" t="s">
        <v>3116</v>
      </c>
      <c r="B2518" s="77" t="s">
        <v>839</v>
      </c>
      <c r="C2518" s="78">
        <v>1</v>
      </c>
      <c r="D2518" s="78">
        <v>1.43</v>
      </c>
      <c r="E2518" s="78">
        <f>TRUNC(C2518*D2518,2)</f>
        <v>1.43</v>
      </c>
    </row>
    <row r="2519" ht="25.5" spans="1:5">
      <c r="A2519" s="76" t="s">
        <v>3117</v>
      </c>
      <c r="B2519" s="77" t="s">
        <v>839</v>
      </c>
      <c r="C2519" s="78">
        <v>1</v>
      </c>
      <c r="D2519" s="78">
        <v>0.61</v>
      </c>
      <c r="E2519" s="78">
        <f>TRUNC(C2519*D2519,2)</f>
        <v>0.61</v>
      </c>
    </row>
    <row r="2520" ht="25.5" spans="1:5">
      <c r="A2520" s="76" t="s">
        <v>3161</v>
      </c>
      <c r="B2520" s="77" t="s">
        <v>839</v>
      </c>
      <c r="C2520" s="78">
        <v>1</v>
      </c>
      <c r="D2520" s="78">
        <v>0.17</v>
      </c>
      <c r="E2520" s="78">
        <f>TRUNC(C2520*D2520,2)</f>
        <v>0.17</v>
      </c>
    </row>
    <row r="2521" spans="1:5">
      <c r="A2521" s="76" t="s">
        <v>122</v>
      </c>
      <c r="B2521" s="77"/>
      <c r="C2521" s="78"/>
      <c r="D2521" s="78"/>
      <c r="E2521" s="78">
        <f>SUM(E2517:E2520)</f>
        <v>3.6</v>
      </c>
    </row>
    <row r="2522" spans="1:5">
      <c r="A2522" s="76"/>
      <c r="B2522" s="77"/>
      <c r="C2522" s="78"/>
      <c r="D2522" s="78"/>
      <c r="E2522" s="78"/>
    </row>
    <row r="2523" spans="1:5">
      <c r="A2523" s="76" t="s">
        <v>2538</v>
      </c>
      <c r="B2523" s="77"/>
      <c r="C2523" s="78"/>
      <c r="D2523" s="78"/>
      <c r="E2523" s="78">
        <f>E2506+E2514+E2521</f>
        <v>24.4</v>
      </c>
    </row>
    <row r="2524" spans="1:5">
      <c r="A2524" s="76" t="s">
        <v>2539</v>
      </c>
      <c r="B2524" s="77"/>
      <c r="C2524" s="78"/>
      <c r="D2524" s="78">
        <v>0</v>
      </c>
      <c r="E2524" s="78">
        <f>TRUNC(D2524*E2523/100,2)</f>
        <v>0</v>
      </c>
    </row>
    <row r="2525" spans="1:5">
      <c r="A2525" s="76" t="s">
        <v>2540</v>
      </c>
      <c r="B2525" s="77"/>
      <c r="C2525" s="78"/>
      <c r="D2525" s="78"/>
      <c r="E2525" s="78">
        <f>E2523+E2524</f>
        <v>24.4</v>
      </c>
    </row>
    <row r="2526" spans="1:5">
      <c r="A2526" s="76"/>
      <c r="B2526" s="77"/>
      <c r="C2526" s="78"/>
      <c r="D2526" s="78"/>
      <c r="E2526" s="78"/>
    </row>
    <row r="2527" spans="1:5">
      <c r="A2527" s="76" t="s">
        <v>3092</v>
      </c>
      <c r="B2527" s="77" t="s">
        <v>3162</v>
      </c>
      <c r="C2527" s="78"/>
      <c r="D2527" s="78"/>
      <c r="E2527" s="78"/>
    </row>
    <row r="2528" ht="25.5" spans="1:5">
      <c r="A2528" s="76" t="s">
        <v>3163</v>
      </c>
      <c r="B2528" s="77"/>
      <c r="C2528" s="78"/>
      <c r="D2528" s="78"/>
      <c r="E2528" s="78"/>
    </row>
    <row r="2529" spans="1:5">
      <c r="A2529" s="76" t="s">
        <v>2764</v>
      </c>
      <c r="B2529" s="77"/>
      <c r="C2529" s="78"/>
      <c r="D2529" s="78"/>
      <c r="E2529" s="78"/>
    </row>
    <row r="2530" spans="1:5">
      <c r="A2530" s="76"/>
      <c r="B2530" s="77"/>
      <c r="C2530" s="78"/>
      <c r="D2530" s="78"/>
      <c r="E2530" s="78"/>
    </row>
    <row r="2531" spans="1:5">
      <c r="A2531" s="76" t="s">
        <v>280</v>
      </c>
      <c r="B2531" s="77" t="s">
        <v>135</v>
      </c>
      <c r="C2531" s="78" t="s">
        <v>136</v>
      </c>
      <c r="D2531" s="78" t="s">
        <v>2534</v>
      </c>
      <c r="E2531" s="78" t="s">
        <v>2535</v>
      </c>
    </row>
    <row r="2532" spans="1:5">
      <c r="A2532" s="76" t="s">
        <v>3160</v>
      </c>
      <c r="B2532" s="77" t="s">
        <v>839</v>
      </c>
      <c r="C2532" s="78">
        <v>0.01154</v>
      </c>
      <c r="D2532" s="78">
        <v>15.27</v>
      </c>
      <c r="E2532" s="78">
        <f>TRUNC(C2532*D2532,2)</f>
        <v>0.17</v>
      </c>
    </row>
    <row r="2533" spans="1:5">
      <c r="A2533" s="76" t="s">
        <v>122</v>
      </c>
      <c r="B2533" s="77"/>
      <c r="C2533" s="78"/>
      <c r="D2533" s="78"/>
      <c r="E2533" s="78">
        <f>SUM(E2532:E2532)</f>
        <v>0.17</v>
      </c>
    </row>
    <row r="2534" spans="1:5">
      <c r="A2534" s="76" t="s">
        <v>117</v>
      </c>
      <c r="B2534" s="77"/>
      <c r="C2534" s="78"/>
      <c r="D2534" s="78"/>
      <c r="E2534" s="78" t="str">
        <f>"0"</f>
        <v>0</v>
      </c>
    </row>
    <row r="2535" spans="1:5">
      <c r="A2535" s="76" t="s">
        <v>2537</v>
      </c>
      <c r="B2535" s="77"/>
      <c r="C2535" s="78"/>
      <c r="D2535" s="78"/>
      <c r="E2535" s="78">
        <f>E2533+E2534</f>
        <v>0.17</v>
      </c>
    </row>
    <row r="2536" spans="1:5">
      <c r="A2536" s="76"/>
      <c r="B2536" s="77"/>
      <c r="C2536" s="78"/>
      <c r="D2536" s="78"/>
      <c r="E2536" s="78"/>
    </row>
    <row r="2537" spans="1:5">
      <c r="A2537" s="76" t="s">
        <v>2538</v>
      </c>
      <c r="B2537" s="77"/>
      <c r="C2537" s="78"/>
      <c r="D2537" s="78"/>
      <c r="E2537" s="78">
        <f>E2535</f>
        <v>0.17</v>
      </c>
    </row>
    <row r="2538" spans="1:5">
      <c r="A2538" s="76" t="s">
        <v>2539</v>
      </c>
      <c r="B2538" s="77"/>
      <c r="C2538" s="78"/>
      <c r="D2538" s="78">
        <v>0</v>
      </c>
      <c r="E2538" s="78">
        <f>TRUNC(D2538*E2537/100,2)</f>
        <v>0</v>
      </c>
    </row>
    <row r="2539" spans="1:5">
      <c r="A2539" s="76" t="s">
        <v>2540</v>
      </c>
      <c r="B2539" s="77"/>
      <c r="C2539" s="78"/>
      <c r="D2539" s="78"/>
      <c r="E2539" s="78">
        <f>E2537+E2538</f>
        <v>0.17</v>
      </c>
    </row>
    <row r="2540" spans="1:5">
      <c r="A2540" s="76"/>
      <c r="B2540" s="77"/>
      <c r="C2540" s="78"/>
      <c r="D2540" s="78"/>
      <c r="E2540" s="78"/>
    </row>
    <row r="2541" spans="1:5">
      <c r="A2541" s="76" t="s">
        <v>3092</v>
      </c>
      <c r="B2541" s="77" t="s">
        <v>3164</v>
      </c>
      <c r="C2541" s="78"/>
      <c r="D2541" s="78"/>
      <c r="E2541" s="78"/>
    </row>
    <row r="2542" spans="1:5">
      <c r="A2542" s="76" t="s">
        <v>3165</v>
      </c>
      <c r="B2542" s="77"/>
      <c r="C2542" s="78"/>
      <c r="D2542" s="78"/>
      <c r="E2542" s="78"/>
    </row>
    <row r="2543" spans="1:5">
      <c r="A2543" s="76" t="s">
        <v>2764</v>
      </c>
      <c r="B2543" s="77"/>
      <c r="C2543" s="78"/>
      <c r="D2543" s="78"/>
      <c r="E2543" s="78"/>
    </row>
    <row r="2544" spans="1:5">
      <c r="A2544" s="76"/>
      <c r="B2544" s="77"/>
      <c r="C2544" s="78"/>
      <c r="D2544" s="78"/>
      <c r="E2544" s="78"/>
    </row>
    <row r="2545" spans="1:5">
      <c r="A2545" s="76" t="s">
        <v>279</v>
      </c>
      <c r="B2545" s="77" t="s">
        <v>135</v>
      </c>
      <c r="C2545" s="78" t="s">
        <v>136</v>
      </c>
      <c r="D2545" s="78" t="s">
        <v>2534</v>
      </c>
      <c r="E2545" s="78" t="s">
        <v>2535</v>
      </c>
    </row>
    <row r="2546" ht="25.5" spans="1:5">
      <c r="A2546" s="76" t="s">
        <v>3111</v>
      </c>
      <c r="B2546" s="77" t="s">
        <v>839</v>
      </c>
      <c r="C2546" s="78">
        <v>1</v>
      </c>
      <c r="D2546" s="78">
        <v>1.5</v>
      </c>
      <c r="E2546" s="78">
        <f>TRUNC(C2546*D2546,2)</f>
        <v>1.5</v>
      </c>
    </row>
    <row r="2547" spans="1:5">
      <c r="A2547" s="76" t="s">
        <v>122</v>
      </c>
      <c r="B2547" s="77"/>
      <c r="C2547" s="78"/>
      <c r="D2547" s="78"/>
      <c r="E2547" s="78">
        <f>SUM(E2546:E2546)</f>
        <v>1.5</v>
      </c>
    </row>
    <row r="2548" spans="1:5">
      <c r="A2548" s="76"/>
      <c r="B2548" s="77"/>
      <c r="C2548" s="78"/>
      <c r="D2548" s="78"/>
      <c r="E2548" s="78"/>
    </row>
    <row r="2549" spans="1:5">
      <c r="A2549" s="76" t="s">
        <v>280</v>
      </c>
      <c r="B2549" s="77" t="s">
        <v>135</v>
      </c>
      <c r="C2549" s="78" t="s">
        <v>136</v>
      </c>
      <c r="D2549" s="78" t="s">
        <v>2534</v>
      </c>
      <c r="E2549" s="78" t="s">
        <v>2535</v>
      </c>
    </row>
    <row r="2550" ht="25.5" spans="1:5">
      <c r="A2550" s="76" t="s">
        <v>3112</v>
      </c>
      <c r="B2550" s="77" t="s">
        <v>839</v>
      </c>
      <c r="C2550" s="78">
        <v>1</v>
      </c>
      <c r="D2550" s="78">
        <v>3.95</v>
      </c>
      <c r="E2550" s="78">
        <f>TRUNC(C2550*D2550,2)</f>
        <v>3.95</v>
      </c>
    </row>
    <row r="2551" spans="1:5">
      <c r="A2551" s="76" t="s">
        <v>3166</v>
      </c>
      <c r="B2551" s="77" t="s">
        <v>839</v>
      </c>
      <c r="C2551" s="78">
        <v>1</v>
      </c>
      <c r="D2551" s="78">
        <v>21.83</v>
      </c>
      <c r="E2551" s="78">
        <f>TRUNC(C2551*D2551,2)</f>
        <v>21.83</v>
      </c>
    </row>
    <row r="2552" ht="25.5" spans="1:5">
      <c r="A2552" s="76" t="s">
        <v>3113</v>
      </c>
      <c r="B2552" s="77" t="s">
        <v>839</v>
      </c>
      <c r="C2552" s="78">
        <v>1</v>
      </c>
      <c r="D2552" s="78">
        <v>0.08</v>
      </c>
      <c r="E2552" s="78">
        <f>TRUNC(C2552*D2552,2)</f>
        <v>0.08</v>
      </c>
    </row>
    <row r="2553" spans="1:5">
      <c r="A2553" s="76" t="s">
        <v>122</v>
      </c>
      <c r="B2553" s="77"/>
      <c r="C2553" s="78"/>
      <c r="D2553" s="78"/>
      <c r="E2553" s="78">
        <f>SUM(E2550:E2552)</f>
        <v>25.86</v>
      </c>
    </row>
    <row r="2554" spans="1:5">
      <c r="A2554" s="76" t="s">
        <v>117</v>
      </c>
      <c r="B2554" s="77"/>
      <c r="C2554" s="78"/>
      <c r="D2554" s="78"/>
      <c r="E2554" s="78" t="str">
        <f>"0"</f>
        <v>0</v>
      </c>
    </row>
    <row r="2555" spans="1:5">
      <c r="A2555" s="76" t="s">
        <v>2537</v>
      </c>
      <c r="B2555" s="77"/>
      <c r="C2555" s="78"/>
      <c r="D2555" s="78"/>
      <c r="E2555" s="78">
        <f>E2553+E2554</f>
        <v>25.86</v>
      </c>
    </row>
    <row r="2556" spans="1:5">
      <c r="A2556" s="76"/>
      <c r="B2556" s="77"/>
      <c r="C2556" s="78"/>
      <c r="D2556" s="78"/>
      <c r="E2556" s="78"/>
    </row>
    <row r="2557" spans="1:5">
      <c r="A2557" s="76" t="s">
        <v>2543</v>
      </c>
      <c r="B2557" s="77" t="s">
        <v>135</v>
      </c>
      <c r="C2557" s="78" t="s">
        <v>136</v>
      </c>
      <c r="D2557" s="78" t="s">
        <v>2534</v>
      </c>
      <c r="E2557" s="78" t="s">
        <v>2535</v>
      </c>
    </row>
    <row r="2558" ht="25.5" spans="1:5">
      <c r="A2558" s="76" t="s">
        <v>3167</v>
      </c>
      <c r="B2558" s="77" t="s">
        <v>839</v>
      </c>
      <c r="C2558" s="78">
        <v>1</v>
      </c>
      <c r="D2558" s="78">
        <v>1.85</v>
      </c>
      <c r="E2558" s="78">
        <f>TRUNC(C2558*D2558,2)</f>
        <v>1.85</v>
      </c>
    </row>
    <row r="2559" spans="1:5">
      <c r="A2559" s="76" t="s">
        <v>3116</v>
      </c>
      <c r="B2559" s="77" t="s">
        <v>839</v>
      </c>
      <c r="C2559" s="78">
        <v>1</v>
      </c>
      <c r="D2559" s="78">
        <v>1.43</v>
      </c>
      <c r="E2559" s="78">
        <f>TRUNC(C2559*D2559,2)</f>
        <v>1.43</v>
      </c>
    </row>
    <row r="2560" ht="25.5" spans="1:5">
      <c r="A2560" s="76" t="s">
        <v>3168</v>
      </c>
      <c r="B2560" s="77" t="s">
        <v>839</v>
      </c>
      <c r="C2560" s="78">
        <v>1</v>
      </c>
      <c r="D2560" s="78">
        <v>2.05</v>
      </c>
      <c r="E2560" s="78">
        <f>TRUNC(C2560*D2560,2)</f>
        <v>2.05</v>
      </c>
    </row>
    <row r="2561" ht="25.5" spans="1:5">
      <c r="A2561" s="76" t="s">
        <v>3169</v>
      </c>
      <c r="B2561" s="77" t="s">
        <v>839</v>
      </c>
      <c r="C2561" s="78">
        <v>1</v>
      </c>
      <c r="D2561" s="78">
        <v>0.32</v>
      </c>
      <c r="E2561" s="78">
        <f>TRUNC(C2561*D2561,2)</f>
        <v>0.32</v>
      </c>
    </row>
    <row r="2562" spans="1:5">
      <c r="A2562" s="76" t="s">
        <v>122</v>
      </c>
      <c r="B2562" s="77"/>
      <c r="C2562" s="78"/>
      <c r="D2562" s="78"/>
      <c r="E2562" s="78">
        <f>SUM(E2558:E2561)</f>
        <v>5.65</v>
      </c>
    </row>
    <row r="2563" spans="1:5">
      <c r="A2563" s="76"/>
      <c r="B2563" s="77"/>
      <c r="C2563" s="78"/>
      <c r="D2563" s="78"/>
      <c r="E2563" s="78"/>
    </row>
    <row r="2564" spans="1:5">
      <c r="A2564" s="76" t="s">
        <v>2538</v>
      </c>
      <c r="B2564" s="77"/>
      <c r="C2564" s="78"/>
      <c r="D2564" s="78"/>
      <c r="E2564" s="78">
        <f>E2547+E2555+E2562</f>
        <v>33.01</v>
      </c>
    </row>
    <row r="2565" spans="1:5">
      <c r="A2565" s="76" t="s">
        <v>2539</v>
      </c>
      <c r="B2565" s="77"/>
      <c r="C2565" s="78"/>
      <c r="D2565" s="78">
        <v>0</v>
      </c>
      <c r="E2565" s="78">
        <f>TRUNC(D2565*E2564/100,2)</f>
        <v>0</v>
      </c>
    </row>
    <row r="2566" spans="1:5">
      <c r="A2566" s="76" t="s">
        <v>2540</v>
      </c>
      <c r="B2566" s="77"/>
      <c r="C2566" s="78"/>
      <c r="D2566" s="78"/>
      <c r="E2566" s="78">
        <f>E2564+E2565</f>
        <v>33.01</v>
      </c>
    </row>
    <row r="2567" spans="1:5">
      <c r="A2567" s="76"/>
      <c r="B2567" s="77"/>
      <c r="C2567" s="78"/>
      <c r="D2567" s="78"/>
      <c r="E2567" s="78"/>
    </row>
    <row r="2568" spans="1:5">
      <c r="A2568" s="76" t="s">
        <v>3092</v>
      </c>
      <c r="B2568" s="77" t="s">
        <v>3170</v>
      </c>
      <c r="C2568" s="78"/>
      <c r="D2568" s="78"/>
      <c r="E2568" s="78"/>
    </row>
    <row r="2569" ht="25.5" spans="1:5">
      <c r="A2569" s="76" t="s">
        <v>3171</v>
      </c>
      <c r="B2569" s="77"/>
      <c r="C2569" s="78"/>
      <c r="D2569" s="78"/>
      <c r="E2569" s="78"/>
    </row>
    <row r="2570" spans="1:5">
      <c r="A2570" s="76" t="s">
        <v>2764</v>
      </c>
      <c r="B2570" s="77"/>
      <c r="C2570" s="78"/>
      <c r="D2570" s="78"/>
      <c r="E2570" s="78"/>
    </row>
    <row r="2571" spans="1:5">
      <c r="A2571" s="76"/>
      <c r="B2571" s="77"/>
      <c r="C2571" s="78"/>
      <c r="D2571" s="78"/>
      <c r="E2571" s="78"/>
    </row>
    <row r="2572" spans="1:5">
      <c r="A2572" s="76" t="s">
        <v>280</v>
      </c>
      <c r="B2572" s="77" t="s">
        <v>135</v>
      </c>
      <c r="C2572" s="78" t="s">
        <v>136</v>
      </c>
      <c r="D2572" s="78" t="s">
        <v>2534</v>
      </c>
      <c r="E2572" s="78" t="s">
        <v>2535</v>
      </c>
    </row>
    <row r="2573" spans="1:5">
      <c r="A2573" s="76" t="s">
        <v>3166</v>
      </c>
      <c r="B2573" s="77" t="s">
        <v>839</v>
      </c>
      <c r="C2573" s="78">
        <v>0.01476</v>
      </c>
      <c r="D2573" s="78">
        <v>21.83</v>
      </c>
      <c r="E2573" s="78">
        <f>TRUNC(C2573*D2573,2)</f>
        <v>0.32</v>
      </c>
    </row>
    <row r="2574" spans="1:5">
      <c r="A2574" s="76" t="s">
        <v>122</v>
      </c>
      <c r="B2574" s="77"/>
      <c r="C2574" s="78"/>
      <c r="D2574" s="78"/>
      <c r="E2574" s="78">
        <f>SUM(E2573:E2573)</f>
        <v>0.32</v>
      </c>
    </row>
    <row r="2575" spans="1:5">
      <c r="A2575" s="76" t="s">
        <v>117</v>
      </c>
      <c r="B2575" s="77"/>
      <c r="C2575" s="78"/>
      <c r="D2575" s="78"/>
      <c r="E2575" s="78" t="str">
        <f>"0"</f>
        <v>0</v>
      </c>
    </row>
    <row r="2576" spans="1:5">
      <c r="A2576" s="76" t="s">
        <v>2537</v>
      </c>
      <c r="B2576" s="77"/>
      <c r="C2576" s="78"/>
      <c r="D2576" s="78"/>
      <c r="E2576" s="78">
        <f>E2574+E2575</f>
        <v>0.32</v>
      </c>
    </row>
    <row r="2577" spans="1:5">
      <c r="A2577" s="76"/>
      <c r="B2577" s="77"/>
      <c r="C2577" s="78"/>
      <c r="D2577" s="78"/>
      <c r="E2577" s="78"/>
    </row>
    <row r="2578" spans="1:5">
      <c r="A2578" s="76" t="s">
        <v>2538</v>
      </c>
      <c r="B2578" s="77"/>
      <c r="C2578" s="78"/>
      <c r="D2578" s="78"/>
      <c r="E2578" s="78">
        <f>E2576</f>
        <v>0.32</v>
      </c>
    </row>
    <row r="2579" spans="1:5">
      <c r="A2579" s="76" t="s">
        <v>2539</v>
      </c>
      <c r="B2579" s="77"/>
      <c r="C2579" s="78"/>
      <c r="D2579" s="78">
        <v>0</v>
      </c>
      <c r="E2579" s="78">
        <f>TRUNC(D2579*E2578/100,2)</f>
        <v>0</v>
      </c>
    </row>
    <row r="2580" spans="1:5">
      <c r="A2580" s="76" t="s">
        <v>2540</v>
      </c>
      <c r="B2580" s="77"/>
      <c r="C2580" s="78"/>
      <c r="D2580" s="78"/>
      <c r="E2580" s="78">
        <f>E2578+E2579</f>
        <v>0.32</v>
      </c>
    </row>
    <row r="2581" spans="1:5">
      <c r="A2581" s="76"/>
      <c r="B2581" s="77"/>
      <c r="C2581" s="78"/>
      <c r="D2581" s="78"/>
      <c r="E2581" s="78"/>
    </row>
    <row r="2582" spans="1:5">
      <c r="A2582" s="76" t="s">
        <v>3092</v>
      </c>
      <c r="B2582" s="77" t="s">
        <v>3172</v>
      </c>
      <c r="C2582" s="78"/>
      <c r="D2582" s="78"/>
      <c r="E2582" s="78"/>
    </row>
    <row r="2583" ht="25.5" spans="1:5">
      <c r="A2583" s="76" t="s">
        <v>3173</v>
      </c>
      <c r="B2583" s="77"/>
      <c r="C2583" s="78"/>
      <c r="D2583" s="78"/>
      <c r="E2583" s="78"/>
    </row>
    <row r="2584" spans="1:5">
      <c r="A2584" s="76" t="s">
        <v>2655</v>
      </c>
      <c r="B2584" s="77"/>
      <c r="C2584" s="78"/>
      <c r="D2584" s="78"/>
      <c r="E2584" s="78"/>
    </row>
    <row r="2585" spans="1:5">
      <c r="A2585" s="76"/>
      <c r="B2585" s="77"/>
      <c r="C2585" s="78"/>
      <c r="D2585" s="78"/>
      <c r="E2585" s="78"/>
    </row>
    <row r="2586" spans="1:5">
      <c r="A2586" s="76" t="s">
        <v>2543</v>
      </c>
      <c r="B2586" s="77" t="s">
        <v>135</v>
      </c>
      <c r="C2586" s="78" t="s">
        <v>136</v>
      </c>
      <c r="D2586" s="78" t="s">
        <v>2534</v>
      </c>
      <c r="E2586" s="78" t="s">
        <v>2535</v>
      </c>
    </row>
    <row r="2587" spans="1:5">
      <c r="A2587" s="76" t="s">
        <v>2621</v>
      </c>
      <c r="B2587" s="77" t="s">
        <v>839</v>
      </c>
      <c r="C2587" s="78">
        <v>0.50675675</v>
      </c>
      <c r="D2587" s="78">
        <v>23.75</v>
      </c>
      <c r="E2587" s="78">
        <f>TRUNC(C2587*D2587,2)</f>
        <v>12.03</v>
      </c>
    </row>
    <row r="2588" spans="1:5">
      <c r="A2588" s="76" t="s">
        <v>3174</v>
      </c>
      <c r="B2588" s="77" t="s">
        <v>977</v>
      </c>
      <c r="C2588" s="78">
        <v>0.08445945</v>
      </c>
      <c r="D2588" s="78">
        <v>259.97</v>
      </c>
      <c r="E2588" s="78">
        <f>TRUNC(C2588*D2588,2)</f>
        <v>21.95</v>
      </c>
    </row>
    <row r="2589" spans="1:5">
      <c r="A2589" s="76" t="s">
        <v>122</v>
      </c>
      <c r="B2589" s="77"/>
      <c r="C2589" s="78"/>
      <c r="D2589" s="78"/>
      <c r="E2589" s="78">
        <f>SUM(E2587:E2588)</f>
        <v>33.98</v>
      </c>
    </row>
    <row r="2590" spans="1:5">
      <c r="A2590" s="76"/>
      <c r="B2590" s="77"/>
      <c r="C2590" s="78"/>
      <c r="D2590" s="78"/>
      <c r="E2590" s="78"/>
    </row>
    <row r="2591" spans="1:5">
      <c r="A2591" s="76" t="s">
        <v>2538</v>
      </c>
      <c r="B2591" s="77"/>
      <c r="C2591" s="78"/>
      <c r="D2591" s="78"/>
      <c r="E2591" s="78">
        <f>E2589</f>
        <v>33.98</v>
      </c>
    </row>
    <row r="2592" spans="1:5">
      <c r="A2592" s="76" t="s">
        <v>2539</v>
      </c>
      <c r="B2592" s="77"/>
      <c r="C2592" s="78"/>
      <c r="D2592" s="78">
        <v>0</v>
      </c>
      <c r="E2592" s="78">
        <f>TRUNC(D2592*E2591/100,2)</f>
        <v>0</v>
      </c>
    </row>
    <row r="2593" spans="1:5">
      <c r="A2593" s="76" t="s">
        <v>2540</v>
      </c>
      <c r="B2593" s="77"/>
      <c r="C2593" s="78"/>
      <c r="D2593" s="78"/>
      <c r="E2593" s="78">
        <f>E2591+E2592</f>
        <v>33.98</v>
      </c>
    </row>
    <row r="2594" spans="1:5">
      <c r="A2594" s="76"/>
      <c r="B2594" s="77"/>
      <c r="C2594" s="78"/>
      <c r="D2594" s="78"/>
      <c r="E2594" s="78"/>
    </row>
    <row r="2595" spans="1:5">
      <c r="A2595" s="76" t="s">
        <v>3092</v>
      </c>
      <c r="B2595" s="77" t="s">
        <v>3175</v>
      </c>
      <c r="C2595" s="78"/>
      <c r="D2595" s="78"/>
      <c r="E2595" s="78"/>
    </row>
    <row r="2596" spans="1:5">
      <c r="A2596" s="76" t="s">
        <v>3176</v>
      </c>
      <c r="B2596" s="77"/>
      <c r="C2596" s="78"/>
      <c r="D2596" s="78"/>
      <c r="E2596" s="78"/>
    </row>
    <row r="2597" spans="1:5">
      <c r="A2597" s="76" t="s">
        <v>2764</v>
      </c>
      <c r="B2597" s="77"/>
      <c r="C2597" s="78"/>
      <c r="D2597" s="78"/>
      <c r="E2597" s="78"/>
    </row>
    <row r="2598" spans="1:5">
      <c r="A2598" s="76"/>
      <c r="B2598" s="77"/>
      <c r="C2598" s="78"/>
      <c r="D2598" s="78"/>
      <c r="E2598" s="78"/>
    </row>
    <row r="2599" spans="1:5">
      <c r="A2599" s="76" t="s">
        <v>279</v>
      </c>
      <c r="B2599" s="77" t="s">
        <v>135</v>
      </c>
      <c r="C2599" s="78" t="s">
        <v>136</v>
      </c>
      <c r="D2599" s="78" t="s">
        <v>2534</v>
      </c>
      <c r="E2599" s="78" t="s">
        <v>2535</v>
      </c>
    </row>
    <row r="2600" ht="25.5" spans="1:5">
      <c r="A2600" s="76" t="s">
        <v>3111</v>
      </c>
      <c r="B2600" s="77" t="s">
        <v>839</v>
      </c>
      <c r="C2600" s="78">
        <v>1</v>
      </c>
      <c r="D2600" s="78">
        <v>1.5</v>
      </c>
      <c r="E2600" s="78">
        <f>TRUNC(C2600*D2600,2)</f>
        <v>1.5</v>
      </c>
    </row>
    <row r="2601" spans="1:5">
      <c r="A2601" s="76" t="s">
        <v>122</v>
      </c>
      <c r="B2601" s="77"/>
      <c r="C2601" s="78"/>
      <c r="D2601" s="78"/>
      <c r="E2601" s="78">
        <f>SUM(E2600:E2600)</f>
        <v>1.5</v>
      </c>
    </row>
    <row r="2602" spans="1:5">
      <c r="A2602" s="76"/>
      <c r="B2602" s="77"/>
      <c r="C2602" s="78"/>
      <c r="D2602" s="78"/>
      <c r="E2602" s="78"/>
    </row>
    <row r="2603" spans="1:5">
      <c r="A2603" s="76" t="s">
        <v>280</v>
      </c>
      <c r="B2603" s="77" t="s">
        <v>135</v>
      </c>
      <c r="C2603" s="78" t="s">
        <v>136</v>
      </c>
      <c r="D2603" s="78" t="s">
        <v>2534</v>
      </c>
      <c r="E2603" s="78" t="s">
        <v>2535</v>
      </c>
    </row>
    <row r="2604" ht="25.5" spans="1:5">
      <c r="A2604" s="76" t="s">
        <v>3112</v>
      </c>
      <c r="B2604" s="77" t="s">
        <v>839</v>
      </c>
      <c r="C2604" s="78">
        <v>1</v>
      </c>
      <c r="D2604" s="78">
        <v>3.95</v>
      </c>
      <c r="E2604" s="78">
        <f>TRUNC(C2604*D2604,2)</f>
        <v>3.95</v>
      </c>
    </row>
    <row r="2605" ht="25.5" spans="1:5">
      <c r="A2605" s="76" t="s">
        <v>3113</v>
      </c>
      <c r="B2605" s="77" t="s">
        <v>839</v>
      </c>
      <c r="C2605" s="78">
        <v>1</v>
      </c>
      <c r="D2605" s="78">
        <v>0.08</v>
      </c>
      <c r="E2605" s="78">
        <f>TRUNC(C2605*D2605,2)</f>
        <v>0.08</v>
      </c>
    </row>
    <row r="2606" spans="1:5">
      <c r="A2606" s="76" t="s">
        <v>3177</v>
      </c>
      <c r="B2606" s="77" t="s">
        <v>839</v>
      </c>
      <c r="C2606" s="78">
        <v>1</v>
      </c>
      <c r="D2606" s="78">
        <v>14.49</v>
      </c>
      <c r="E2606" s="78">
        <f>TRUNC(C2606*D2606,2)</f>
        <v>14.49</v>
      </c>
    </row>
    <row r="2607" spans="1:5">
      <c r="A2607" s="76" t="s">
        <v>122</v>
      </c>
      <c r="B2607" s="77"/>
      <c r="C2607" s="78"/>
      <c r="D2607" s="78"/>
      <c r="E2607" s="78">
        <f>SUM(E2604:E2606)</f>
        <v>18.52</v>
      </c>
    </row>
    <row r="2608" spans="1:5">
      <c r="A2608" s="76" t="s">
        <v>117</v>
      </c>
      <c r="B2608" s="77"/>
      <c r="C2608" s="78"/>
      <c r="D2608" s="78"/>
      <c r="E2608" s="78" t="str">
        <f>"0"</f>
        <v>0</v>
      </c>
    </row>
    <row r="2609" spans="1:5">
      <c r="A2609" s="76" t="s">
        <v>2537</v>
      </c>
      <c r="B2609" s="77"/>
      <c r="C2609" s="78"/>
      <c r="D2609" s="78"/>
      <c r="E2609" s="78">
        <f>E2607+E2608</f>
        <v>18.52</v>
      </c>
    </row>
    <row r="2610" spans="1:5">
      <c r="A2610" s="76"/>
      <c r="B2610" s="77"/>
      <c r="C2610" s="78"/>
      <c r="D2610" s="78"/>
      <c r="E2610" s="78"/>
    </row>
    <row r="2611" spans="1:5">
      <c r="A2611" s="76" t="s">
        <v>2543</v>
      </c>
      <c r="B2611" s="77" t="s">
        <v>135</v>
      </c>
      <c r="C2611" s="78" t="s">
        <v>136</v>
      </c>
      <c r="D2611" s="78" t="s">
        <v>2534</v>
      </c>
      <c r="E2611" s="78" t="s">
        <v>2535</v>
      </c>
    </row>
    <row r="2612" ht="25.5" spans="1:5">
      <c r="A2612" s="76" t="s">
        <v>3115</v>
      </c>
      <c r="B2612" s="77" t="s">
        <v>839</v>
      </c>
      <c r="C2612" s="78">
        <v>1</v>
      </c>
      <c r="D2612" s="78">
        <v>1.39</v>
      </c>
      <c r="E2612" s="78">
        <f>TRUNC(C2612*D2612,2)</f>
        <v>1.39</v>
      </c>
    </row>
    <row r="2613" spans="1:5">
      <c r="A2613" s="76" t="s">
        <v>3116</v>
      </c>
      <c r="B2613" s="77" t="s">
        <v>839</v>
      </c>
      <c r="C2613" s="78">
        <v>1</v>
      </c>
      <c r="D2613" s="78">
        <v>1.43</v>
      </c>
      <c r="E2613" s="78">
        <f>TRUNC(C2613*D2613,2)</f>
        <v>1.43</v>
      </c>
    </row>
    <row r="2614" ht="25.5" spans="1:5">
      <c r="A2614" s="76" t="s">
        <v>3117</v>
      </c>
      <c r="B2614" s="77" t="s">
        <v>839</v>
      </c>
      <c r="C2614" s="78">
        <v>1</v>
      </c>
      <c r="D2614" s="78">
        <v>0.61</v>
      </c>
      <c r="E2614" s="78">
        <f>TRUNC(C2614*D2614,2)</f>
        <v>0.61</v>
      </c>
    </row>
    <row r="2615" ht="25.5" spans="1:5">
      <c r="A2615" s="76" t="s">
        <v>3178</v>
      </c>
      <c r="B2615" s="77" t="s">
        <v>839</v>
      </c>
      <c r="C2615" s="78">
        <v>1</v>
      </c>
      <c r="D2615" s="78">
        <v>0.3</v>
      </c>
      <c r="E2615" s="78">
        <f>TRUNC(C2615*D2615,2)</f>
        <v>0.3</v>
      </c>
    </row>
    <row r="2616" spans="1:5">
      <c r="A2616" s="76" t="s">
        <v>122</v>
      </c>
      <c r="B2616" s="77"/>
      <c r="C2616" s="78"/>
      <c r="D2616" s="78"/>
      <c r="E2616" s="78">
        <f>SUM(E2612:E2615)</f>
        <v>3.73</v>
      </c>
    </row>
    <row r="2617" spans="1:5">
      <c r="A2617" s="76"/>
      <c r="B2617" s="77"/>
      <c r="C2617" s="78"/>
      <c r="D2617" s="78"/>
      <c r="E2617" s="78"/>
    </row>
    <row r="2618" spans="1:5">
      <c r="A2618" s="76" t="s">
        <v>2538</v>
      </c>
      <c r="B2618" s="77"/>
      <c r="C2618" s="78"/>
      <c r="D2618" s="78"/>
      <c r="E2618" s="78">
        <f>E2601+E2609+E2616</f>
        <v>23.75</v>
      </c>
    </row>
    <row r="2619" spans="1:5">
      <c r="A2619" s="76" t="s">
        <v>2539</v>
      </c>
      <c r="B2619" s="77"/>
      <c r="C2619" s="78"/>
      <c r="D2619" s="78">
        <v>0</v>
      </c>
      <c r="E2619" s="78">
        <f>TRUNC(D2619*E2618/100,2)</f>
        <v>0</v>
      </c>
    </row>
    <row r="2620" spans="1:5">
      <c r="A2620" s="76" t="s">
        <v>2540</v>
      </c>
      <c r="B2620" s="77"/>
      <c r="C2620" s="78"/>
      <c r="D2620" s="78"/>
      <c r="E2620" s="78">
        <f>E2618+E2619</f>
        <v>23.75</v>
      </c>
    </row>
    <row r="2621" spans="1:5">
      <c r="A2621" s="76"/>
      <c r="B2621" s="77"/>
      <c r="C2621" s="78"/>
      <c r="D2621" s="78"/>
      <c r="E2621" s="78"/>
    </row>
    <row r="2622" spans="1:5">
      <c r="A2622" s="76" t="s">
        <v>3092</v>
      </c>
      <c r="B2622" s="77" t="s">
        <v>3179</v>
      </c>
      <c r="C2622" s="78"/>
      <c r="D2622" s="78"/>
      <c r="E2622" s="78"/>
    </row>
    <row r="2623" ht="25.5" spans="1:5">
      <c r="A2623" s="76" t="s">
        <v>3180</v>
      </c>
      <c r="B2623" s="77"/>
      <c r="C2623" s="78"/>
      <c r="D2623" s="78"/>
      <c r="E2623" s="78"/>
    </row>
    <row r="2624" spans="1:5">
      <c r="A2624" s="76" t="s">
        <v>2764</v>
      </c>
      <c r="B2624" s="77"/>
      <c r="C2624" s="78"/>
      <c r="D2624" s="78"/>
      <c r="E2624" s="78"/>
    </row>
    <row r="2625" spans="1:5">
      <c r="A2625" s="76"/>
      <c r="B2625" s="77"/>
      <c r="C2625" s="78"/>
      <c r="D2625" s="78"/>
      <c r="E2625" s="78"/>
    </row>
    <row r="2626" spans="1:5">
      <c r="A2626" s="76" t="s">
        <v>280</v>
      </c>
      <c r="B2626" s="77" t="s">
        <v>135</v>
      </c>
      <c r="C2626" s="78" t="s">
        <v>136</v>
      </c>
      <c r="D2626" s="78" t="s">
        <v>2534</v>
      </c>
      <c r="E2626" s="78" t="s">
        <v>2535</v>
      </c>
    </row>
    <row r="2627" spans="1:5">
      <c r="A2627" s="76" t="s">
        <v>3177</v>
      </c>
      <c r="B2627" s="77" t="s">
        <v>839</v>
      </c>
      <c r="C2627" s="78">
        <v>0.0212</v>
      </c>
      <c r="D2627" s="78">
        <v>14.49</v>
      </c>
      <c r="E2627" s="78">
        <f>TRUNC(C2627*D2627,2)</f>
        <v>0.3</v>
      </c>
    </row>
    <row r="2628" spans="1:5">
      <c r="A2628" s="76" t="s">
        <v>122</v>
      </c>
      <c r="B2628" s="77"/>
      <c r="C2628" s="78"/>
      <c r="D2628" s="78"/>
      <c r="E2628" s="78">
        <f>SUM(E2627:E2627)</f>
        <v>0.3</v>
      </c>
    </row>
    <row r="2629" spans="1:5">
      <c r="A2629" s="76" t="s">
        <v>117</v>
      </c>
      <c r="B2629" s="77"/>
      <c r="C2629" s="78"/>
      <c r="D2629" s="78"/>
      <c r="E2629" s="78" t="str">
        <f>"0"</f>
        <v>0</v>
      </c>
    </row>
    <row r="2630" spans="1:5">
      <c r="A2630" s="76" t="s">
        <v>2537</v>
      </c>
      <c r="B2630" s="77"/>
      <c r="C2630" s="78"/>
      <c r="D2630" s="78"/>
      <c r="E2630" s="78">
        <f>E2628+E2629</f>
        <v>0.3</v>
      </c>
    </row>
    <row r="2631" spans="1:5">
      <c r="A2631" s="76"/>
      <c r="B2631" s="77"/>
      <c r="C2631" s="78"/>
      <c r="D2631" s="78"/>
      <c r="E2631" s="78"/>
    </row>
    <row r="2632" spans="1:5">
      <c r="A2632" s="76" t="s">
        <v>2538</v>
      </c>
      <c r="B2632" s="77"/>
      <c r="C2632" s="78"/>
      <c r="D2632" s="78"/>
      <c r="E2632" s="78">
        <f>E2630</f>
        <v>0.3</v>
      </c>
    </row>
    <row r="2633" spans="1:5">
      <c r="A2633" s="76" t="s">
        <v>2539</v>
      </c>
      <c r="B2633" s="77"/>
      <c r="C2633" s="78"/>
      <c r="D2633" s="78">
        <v>0</v>
      </c>
      <c r="E2633" s="78">
        <f>TRUNC(D2633*E2632/100,2)</f>
        <v>0</v>
      </c>
    </row>
    <row r="2634" spans="1:5">
      <c r="A2634" s="76" t="s">
        <v>2540</v>
      </c>
      <c r="B2634" s="77"/>
      <c r="C2634" s="78"/>
      <c r="D2634" s="78"/>
      <c r="E2634" s="78">
        <f>E2632+E2633</f>
        <v>0.3</v>
      </c>
    </row>
    <row r="2635" spans="1:5">
      <c r="A2635" s="76"/>
      <c r="B2635" s="77"/>
      <c r="C2635" s="78"/>
      <c r="D2635" s="78"/>
      <c r="E2635" s="78"/>
    </row>
    <row r="2636" spans="1:5">
      <c r="A2636" s="76" t="s">
        <v>3092</v>
      </c>
      <c r="B2636" s="77" t="s">
        <v>3181</v>
      </c>
      <c r="C2636" s="78"/>
      <c r="D2636" s="78"/>
      <c r="E2636" s="78"/>
    </row>
    <row r="2637" spans="1:5">
      <c r="A2637" s="76" t="s">
        <v>3182</v>
      </c>
      <c r="B2637" s="77"/>
      <c r="C2637" s="78"/>
      <c r="D2637" s="78"/>
      <c r="E2637" s="78"/>
    </row>
    <row r="2638" spans="1:5">
      <c r="A2638" s="76" t="s">
        <v>3085</v>
      </c>
      <c r="B2638" s="77"/>
      <c r="C2638" s="78"/>
      <c r="D2638" s="78"/>
      <c r="E2638" s="78"/>
    </row>
    <row r="2639" spans="1:5">
      <c r="A2639" s="76"/>
      <c r="B2639" s="77"/>
      <c r="C2639" s="78"/>
      <c r="D2639" s="78"/>
      <c r="E2639" s="78"/>
    </row>
    <row r="2640" spans="1:5">
      <c r="A2640" s="76" t="s">
        <v>2543</v>
      </c>
      <c r="B2640" s="77" t="s">
        <v>135</v>
      </c>
      <c r="C2640" s="78" t="s">
        <v>136</v>
      </c>
      <c r="D2640" s="78" t="s">
        <v>2534</v>
      </c>
      <c r="E2640" s="78" t="s">
        <v>2535</v>
      </c>
    </row>
    <row r="2641" spans="1:5">
      <c r="A2641" s="76" t="s">
        <v>3183</v>
      </c>
      <c r="B2641" s="77" t="s">
        <v>839</v>
      </c>
      <c r="C2641" s="78">
        <v>1</v>
      </c>
      <c r="D2641" s="78">
        <v>29.8</v>
      </c>
      <c r="E2641" s="78">
        <f t="shared" ref="E2641:E2649" si="41">TRUNC(C2641*D2641,2)</f>
        <v>29.8</v>
      </c>
    </row>
    <row r="2642" ht="25.5" spans="1:5">
      <c r="A2642" s="76" t="s">
        <v>3184</v>
      </c>
      <c r="B2642" s="77" t="s">
        <v>839</v>
      </c>
      <c r="C2642" s="78">
        <v>1</v>
      </c>
      <c r="D2642" s="78">
        <v>156.07</v>
      </c>
      <c r="E2642" s="78">
        <f t="shared" si="41"/>
        <v>156.07</v>
      </c>
    </row>
    <row r="2643" ht="25.5" spans="1:5">
      <c r="A2643" s="76" t="s">
        <v>3185</v>
      </c>
      <c r="B2643" s="77" t="s">
        <v>839</v>
      </c>
      <c r="C2643" s="78">
        <v>1</v>
      </c>
      <c r="D2643" s="78">
        <v>19.55</v>
      </c>
      <c r="E2643" s="78">
        <f t="shared" si="41"/>
        <v>19.55</v>
      </c>
    </row>
    <row r="2644" ht="25.5" spans="1:5">
      <c r="A2644" s="76" t="s">
        <v>3186</v>
      </c>
      <c r="B2644" s="77" t="s">
        <v>839</v>
      </c>
      <c r="C2644" s="78">
        <v>1</v>
      </c>
      <c r="D2644" s="78">
        <v>3.25</v>
      </c>
      <c r="E2644" s="78">
        <f t="shared" si="41"/>
        <v>3.25</v>
      </c>
    </row>
    <row r="2645" ht="25.5" spans="1:5">
      <c r="A2645" s="76" t="s">
        <v>3187</v>
      </c>
      <c r="B2645" s="77" t="s">
        <v>839</v>
      </c>
      <c r="C2645" s="78">
        <v>1</v>
      </c>
      <c r="D2645" s="78">
        <v>8.03</v>
      </c>
      <c r="E2645" s="78">
        <f t="shared" si="41"/>
        <v>8.03</v>
      </c>
    </row>
    <row r="2646" ht="25.5" spans="1:5">
      <c r="A2646" s="76" t="s">
        <v>3188</v>
      </c>
      <c r="B2646" s="77" t="s">
        <v>839</v>
      </c>
      <c r="C2646" s="78">
        <v>1</v>
      </c>
      <c r="D2646" s="78">
        <v>36.67</v>
      </c>
      <c r="E2646" s="78">
        <f t="shared" si="41"/>
        <v>36.67</v>
      </c>
    </row>
    <row r="2647" spans="1:5">
      <c r="A2647" s="76" t="s">
        <v>3189</v>
      </c>
      <c r="B2647" s="77" t="s">
        <v>839</v>
      </c>
      <c r="C2647" s="78">
        <v>1</v>
      </c>
      <c r="D2647" s="78">
        <v>2.63</v>
      </c>
      <c r="E2647" s="78">
        <f t="shared" si="41"/>
        <v>2.63</v>
      </c>
    </row>
    <row r="2648" spans="1:5">
      <c r="A2648" s="76" t="s">
        <v>3190</v>
      </c>
      <c r="B2648" s="77" t="s">
        <v>839</v>
      </c>
      <c r="C2648" s="78">
        <v>1</v>
      </c>
      <c r="D2648" s="78">
        <v>0.68</v>
      </c>
      <c r="E2648" s="78">
        <f t="shared" si="41"/>
        <v>0.68</v>
      </c>
    </row>
    <row r="2649" spans="1:5">
      <c r="A2649" s="76" t="s">
        <v>3191</v>
      </c>
      <c r="B2649" s="77" t="s">
        <v>839</v>
      </c>
      <c r="C2649" s="78">
        <v>1</v>
      </c>
      <c r="D2649" s="78">
        <v>3.29</v>
      </c>
      <c r="E2649" s="78">
        <f t="shared" si="41"/>
        <v>3.29</v>
      </c>
    </row>
    <row r="2650" spans="1:5">
      <c r="A2650" s="76" t="s">
        <v>122</v>
      </c>
      <c r="B2650" s="77"/>
      <c r="C2650" s="78"/>
      <c r="D2650" s="78"/>
      <c r="E2650" s="78">
        <f>SUM(E2641:E2649)</f>
        <v>259.97</v>
      </c>
    </row>
    <row r="2651" spans="1:5">
      <c r="A2651" s="76"/>
      <c r="B2651" s="77"/>
      <c r="C2651" s="78"/>
      <c r="D2651" s="78"/>
      <c r="E2651" s="78"/>
    </row>
    <row r="2652" spans="1:5">
      <c r="A2652" s="76" t="s">
        <v>2538</v>
      </c>
      <c r="B2652" s="77"/>
      <c r="C2652" s="78"/>
      <c r="D2652" s="78"/>
      <c r="E2652" s="78">
        <f>E2650</f>
        <v>259.97</v>
      </c>
    </row>
    <row r="2653" spans="1:5">
      <c r="A2653" s="76" t="s">
        <v>2539</v>
      </c>
      <c r="B2653" s="77"/>
      <c r="C2653" s="78"/>
      <c r="D2653" s="78">
        <v>0</v>
      </c>
      <c r="E2653" s="78">
        <f>TRUNC(D2653*E2652/100,2)</f>
        <v>0</v>
      </c>
    </row>
    <row r="2654" spans="1:5">
      <c r="A2654" s="76" t="s">
        <v>2540</v>
      </c>
      <c r="B2654" s="77"/>
      <c r="C2654" s="78"/>
      <c r="D2654" s="78"/>
      <c r="E2654" s="78">
        <f>E2652+E2653</f>
        <v>259.97</v>
      </c>
    </row>
    <row r="2655" spans="1:5">
      <c r="A2655" s="76"/>
      <c r="B2655" s="77"/>
      <c r="C2655" s="78"/>
      <c r="D2655" s="78"/>
      <c r="E2655" s="78"/>
    </row>
    <row r="2656" spans="1:5">
      <c r="A2656" s="76" t="s">
        <v>3092</v>
      </c>
      <c r="B2656" s="77" t="s">
        <v>3192</v>
      </c>
      <c r="C2656" s="78"/>
      <c r="D2656" s="78"/>
      <c r="E2656" s="78"/>
    </row>
    <row r="2657" spans="1:5">
      <c r="A2657" s="76" t="s">
        <v>3193</v>
      </c>
      <c r="B2657" s="77"/>
      <c r="C2657" s="78"/>
      <c r="D2657" s="78"/>
      <c r="E2657" s="78"/>
    </row>
    <row r="2658" spans="1:5">
      <c r="A2658" s="76" t="s">
        <v>2764</v>
      </c>
      <c r="B2658" s="77"/>
      <c r="C2658" s="78"/>
      <c r="D2658" s="78"/>
      <c r="E2658" s="78"/>
    </row>
    <row r="2659" spans="1:5">
      <c r="A2659" s="76"/>
      <c r="B2659" s="77"/>
      <c r="C2659" s="78"/>
      <c r="D2659" s="78"/>
      <c r="E2659" s="78"/>
    </row>
    <row r="2660" spans="1:5">
      <c r="A2660" s="76" t="s">
        <v>279</v>
      </c>
      <c r="B2660" s="77" t="s">
        <v>135</v>
      </c>
      <c r="C2660" s="78" t="s">
        <v>136</v>
      </c>
      <c r="D2660" s="78" t="s">
        <v>2534</v>
      </c>
      <c r="E2660" s="78" t="s">
        <v>2535</v>
      </c>
    </row>
    <row r="2661" ht="25.5" spans="1:5">
      <c r="A2661" s="76" t="s">
        <v>3111</v>
      </c>
      <c r="B2661" s="77" t="s">
        <v>839</v>
      </c>
      <c r="C2661" s="78">
        <v>1</v>
      </c>
      <c r="D2661" s="78">
        <v>1.5</v>
      </c>
      <c r="E2661" s="78">
        <f>TRUNC(C2661*D2661,2)</f>
        <v>1.5</v>
      </c>
    </row>
    <row r="2662" spans="1:5">
      <c r="A2662" s="76" t="s">
        <v>122</v>
      </c>
      <c r="B2662" s="77"/>
      <c r="C2662" s="78"/>
      <c r="D2662" s="78"/>
      <c r="E2662" s="78">
        <f>SUM(E2661:E2661)</f>
        <v>1.5</v>
      </c>
    </row>
    <row r="2663" spans="1:5">
      <c r="A2663" s="76"/>
      <c r="B2663" s="77"/>
      <c r="C2663" s="78"/>
      <c r="D2663" s="78"/>
      <c r="E2663" s="78"/>
    </row>
    <row r="2664" spans="1:5">
      <c r="A2664" s="76" t="s">
        <v>280</v>
      </c>
      <c r="B2664" s="77" t="s">
        <v>135</v>
      </c>
      <c r="C2664" s="78" t="s">
        <v>136</v>
      </c>
      <c r="D2664" s="78" t="s">
        <v>2534</v>
      </c>
      <c r="E2664" s="78" t="s">
        <v>2535</v>
      </c>
    </row>
    <row r="2665" ht="25.5" spans="1:5">
      <c r="A2665" s="76" t="s">
        <v>3112</v>
      </c>
      <c r="B2665" s="77" t="s">
        <v>839</v>
      </c>
      <c r="C2665" s="78">
        <v>1</v>
      </c>
      <c r="D2665" s="78">
        <v>3.95</v>
      </c>
      <c r="E2665" s="78">
        <f>TRUNC(C2665*D2665,2)</f>
        <v>3.95</v>
      </c>
    </row>
    <row r="2666" spans="1:5">
      <c r="A2666" s="76" t="s">
        <v>3194</v>
      </c>
      <c r="B2666" s="77" t="s">
        <v>839</v>
      </c>
      <c r="C2666" s="78">
        <v>1</v>
      </c>
      <c r="D2666" s="78">
        <v>21.83</v>
      </c>
      <c r="E2666" s="78">
        <f>TRUNC(C2666*D2666,2)</f>
        <v>21.83</v>
      </c>
    </row>
    <row r="2667" ht="25.5" spans="1:5">
      <c r="A2667" s="76" t="s">
        <v>3113</v>
      </c>
      <c r="B2667" s="77" t="s">
        <v>839</v>
      </c>
      <c r="C2667" s="78">
        <v>1</v>
      </c>
      <c r="D2667" s="78">
        <v>0.08</v>
      </c>
      <c r="E2667" s="78">
        <f>TRUNC(C2667*D2667,2)</f>
        <v>0.08</v>
      </c>
    </row>
    <row r="2668" spans="1:5">
      <c r="A2668" s="76" t="s">
        <v>122</v>
      </c>
      <c r="B2668" s="77"/>
      <c r="C2668" s="78"/>
      <c r="D2668" s="78"/>
      <c r="E2668" s="78">
        <f>SUM(E2665:E2667)</f>
        <v>25.86</v>
      </c>
    </row>
    <row r="2669" spans="1:5">
      <c r="A2669" s="76" t="s">
        <v>117</v>
      </c>
      <c r="B2669" s="77"/>
      <c r="C2669" s="78"/>
      <c r="D2669" s="78"/>
      <c r="E2669" s="78" t="str">
        <f>"0"</f>
        <v>0</v>
      </c>
    </row>
    <row r="2670" spans="1:5">
      <c r="A2670" s="76" t="s">
        <v>2537</v>
      </c>
      <c r="B2670" s="77"/>
      <c r="C2670" s="78"/>
      <c r="D2670" s="78"/>
      <c r="E2670" s="78">
        <f>E2668+E2669</f>
        <v>25.86</v>
      </c>
    </row>
    <row r="2671" spans="1:5">
      <c r="A2671" s="76"/>
      <c r="B2671" s="77"/>
      <c r="C2671" s="78"/>
      <c r="D2671" s="78"/>
      <c r="E2671" s="78"/>
    </row>
    <row r="2672" spans="1:5">
      <c r="A2672" s="76" t="s">
        <v>2543</v>
      </c>
      <c r="B2672" s="77" t="s">
        <v>135</v>
      </c>
      <c r="C2672" s="78" t="s">
        <v>136</v>
      </c>
      <c r="D2672" s="78" t="s">
        <v>2534</v>
      </c>
      <c r="E2672" s="78" t="s">
        <v>2535</v>
      </c>
    </row>
    <row r="2673" ht="25.5" spans="1:5">
      <c r="A2673" s="76" t="s">
        <v>3195</v>
      </c>
      <c r="B2673" s="77" t="s">
        <v>839</v>
      </c>
      <c r="C2673" s="78">
        <v>1</v>
      </c>
      <c r="D2673" s="78">
        <v>0.89</v>
      </c>
      <c r="E2673" s="78">
        <f>TRUNC(C2673*D2673,2)</f>
        <v>0.89</v>
      </c>
    </row>
    <row r="2674" spans="1:5">
      <c r="A2674" s="76" t="s">
        <v>3116</v>
      </c>
      <c r="B2674" s="77" t="s">
        <v>839</v>
      </c>
      <c r="C2674" s="78">
        <v>1</v>
      </c>
      <c r="D2674" s="78">
        <v>1.43</v>
      </c>
      <c r="E2674" s="78">
        <f>TRUNC(C2674*D2674,2)</f>
        <v>1.43</v>
      </c>
    </row>
    <row r="2675" ht="25.5" spans="1:5">
      <c r="A2675" s="76" t="s">
        <v>3196</v>
      </c>
      <c r="B2675" s="77" t="s">
        <v>839</v>
      </c>
      <c r="C2675" s="78">
        <v>1</v>
      </c>
      <c r="D2675" s="78">
        <v>0.01</v>
      </c>
      <c r="E2675" s="78">
        <f>TRUNC(C2675*D2675,2)</f>
        <v>0.01</v>
      </c>
    </row>
    <row r="2676" ht="25.5" spans="1:5">
      <c r="A2676" s="76" t="s">
        <v>3197</v>
      </c>
      <c r="B2676" s="77" t="s">
        <v>839</v>
      </c>
      <c r="C2676" s="78">
        <v>1</v>
      </c>
      <c r="D2676" s="78">
        <v>0.11</v>
      </c>
      <c r="E2676" s="78">
        <f>TRUNC(C2676*D2676,2)</f>
        <v>0.11</v>
      </c>
    </row>
    <row r="2677" spans="1:5">
      <c r="A2677" s="76" t="s">
        <v>122</v>
      </c>
      <c r="B2677" s="77"/>
      <c r="C2677" s="78"/>
      <c r="D2677" s="78"/>
      <c r="E2677" s="78">
        <f>SUM(E2673:E2676)</f>
        <v>2.44</v>
      </c>
    </row>
    <row r="2678" spans="1:5">
      <c r="A2678" s="76"/>
      <c r="B2678" s="77"/>
      <c r="C2678" s="78"/>
      <c r="D2678" s="78"/>
      <c r="E2678" s="78"/>
    </row>
    <row r="2679" spans="1:5">
      <c r="A2679" s="76" t="s">
        <v>2538</v>
      </c>
      <c r="B2679" s="77"/>
      <c r="C2679" s="78"/>
      <c r="D2679" s="78"/>
      <c r="E2679" s="78">
        <f>E2662+E2670+E2677</f>
        <v>29.8</v>
      </c>
    </row>
    <row r="2680" spans="1:5">
      <c r="A2680" s="76" t="s">
        <v>2539</v>
      </c>
      <c r="B2680" s="77"/>
      <c r="C2680" s="78"/>
      <c r="D2680" s="78">
        <v>0</v>
      </c>
      <c r="E2680" s="78">
        <f>TRUNC(D2680*E2679/100,2)</f>
        <v>0</v>
      </c>
    </row>
    <row r="2681" spans="1:5">
      <c r="A2681" s="76" t="s">
        <v>2540</v>
      </c>
      <c r="B2681" s="77"/>
      <c r="C2681" s="78"/>
      <c r="D2681" s="78"/>
      <c r="E2681" s="78">
        <f>E2679+E2680</f>
        <v>29.8</v>
      </c>
    </row>
    <row r="2682" spans="1:5">
      <c r="A2682" s="76"/>
      <c r="B2682" s="77"/>
      <c r="C2682" s="78"/>
      <c r="D2682" s="78"/>
      <c r="E2682" s="78"/>
    </row>
    <row r="2683" spans="1:5">
      <c r="A2683" s="76" t="s">
        <v>3092</v>
      </c>
      <c r="B2683" s="77" t="s">
        <v>3198</v>
      </c>
      <c r="C2683" s="78"/>
      <c r="D2683" s="78"/>
      <c r="E2683" s="78"/>
    </row>
    <row r="2684" ht="25.5" spans="1:5">
      <c r="A2684" s="76" t="s">
        <v>3199</v>
      </c>
      <c r="B2684" s="77"/>
      <c r="C2684" s="78"/>
      <c r="D2684" s="78"/>
      <c r="E2684" s="78"/>
    </row>
    <row r="2685" spans="1:5">
      <c r="A2685" s="76" t="s">
        <v>2764</v>
      </c>
      <c r="B2685" s="77"/>
      <c r="C2685" s="78"/>
      <c r="D2685" s="78"/>
      <c r="E2685" s="78"/>
    </row>
    <row r="2686" spans="1:5">
      <c r="A2686" s="76"/>
      <c r="B2686" s="77"/>
      <c r="C2686" s="78"/>
      <c r="D2686" s="78"/>
      <c r="E2686" s="78"/>
    </row>
    <row r="2687" spans="1:5">
      <c r="A2687" s="76" t="s">
        <v>280</v>
      </c>
      <c r="B2687" s="77" t="s">
        <v>135</v>
      </c>
      <c r="C2687" s="78" t="s">
        <v>136</v>
      </c>
      <c r="D2687" s="78" t="s">
        <v>2534</v>
      </c>
      <c r="E2687" s="78" t="s">
        <v>2535</v>
      </c>
    </row>
    <row r="2688" spans="1:5">
      <c r="A2688" s="76" t="s">
        <v>3194</v>
      </c>
      <c r="B2688" s="77" t="s">
        <v>839</v>
      </c>
      <c r="C2688" s="78">
        <v>0.00509</v>
      </c>
      <c r="D2688" s="78">
        <v>21.83</v>
      </c>
      <c r="E2688" s="78">
        <f>TRUNC(C2688*D2688,2)</f>
        <v>0.11</v>
      </c>
    </row>
    <row r="2689" spans="1:5">
      <c r="A2689" s="76" t="s">
        <v>122</v>
      </c>
      <c r="B2689" s="77"/>
      <c r="C2689" s="78"/>
      <c r="D2689" s="78"/>
      <c r="E2689" s="78">
        <f>SUM(E2688:E2688)</f>
        <v>0.11</v>
      </c>
    </row>
    <row r="2690" spans="1:5">
      <c r="A2690" s="76" t="s">
        <v>117</v>
      </c>
      <c r="B2690" s="77"/>
      <c r="C2690" s="78"/>
      <c r="D2690" s="78"/>
      <c r="E2690" s="78" t="str">
        <f>"0"</f>
        <v>0</v>
      </c>
    </row>
    <row r="2691" spans="1:5">
      <c r="A2691" s="76" t="s">
        <v>2537</v>
      </c>
      <c r="B2691" s="77"/>
      <c r="C2691" s="78"/>
      <c r="D2691" s="78"/>
      <c r="E2691" s="78">
        <f>E2689+E2690</f>
        <v>0.11</v>
      </c>
    </row>
    <row r="2692" spans="1:5">
      <c r="A2692" s="76"/>
      <c r="B2692" s="77"/>
      <c r="C2692" s="78"/>
      <c r="D2692" s="78"/>
      <c r="E2692" s="78"/>
    </row>
    <row r="2693" spans="1:5">
      <c r="A2693" s="76" t="s">
        <v>2538</v>
      </c>
      <c r="B2693" s="77"/>
      <c r="C2693" s="78"/>
      <c r="D2693" s="78"/>
      <c r="E2693" s="78">
        <f>E2691</f>
        <v>0.11</v>
      </c>
    </row>
    <row r="2694" spans="1:5">
      <c r="A2694" s="76" t="s">
        <v>2539</v>
      </c>
      <c r="B2694" s="77"/>
      <c r="C2694" s="78"/>
      <c r="D2694" s="78">
        <v>0</v>
      </c>
      <c r="E2694" s="78">
        <f>TRUNC(D2694*E2693/100,2)</f>
        <v>0</v>
      </c>
    </row>
    <row r="2695" spans="1:5">
      <c r="A2695" s="76" t="s">
        <v>2540</v>
      </c>
      <c r="B2695" s="77"/>
      <c r="C2695" s="78"/>
      <c r="D2695" s="78"/>
      <c r="E2695" s="78">
        <f>E2693+E2694</f>
        <v>0.11</v>
      </c>
    </row>
    <row r="2696" spans="1:5">
      <c r="A2696" s="76"/>
      <c r="B2696" s="77"/>
      <c r="C2696" s="78"/>
      <c r="D2696" s="78"/>
      <c r="E2696" s="78"/>
    </row>
    <row r="2697" spans="1:5">
      <c r="A2697" s="76" t="s">
        <v>3092</v>
      </c>
      <c r="B2697" s="77" t="s">
        <v>3200</v>
      </c>
      <c r="C2697" s="78"/>
      <c r="D2697" s="78"/>
      <c r="E2697" s="78"/>
    </row>
    <row r="2698" ht="25.5" spans="1:5">
      <c r="A2698" s="76" t="s">
        <v>3201</v>
      </c>
      <c r="B2698" s="77"/>
      <c r="C2698" s="78"/>
      <c r="D2698" s="78"/>
      <c r="E2698" s="78"/>
    </row>
    <row r="2699" spans="1:5">
      <c r="A2699" s="76" t="s">
        <v>2764</v>
      </c>
      <c r="B2699" s="77"/>
      <c r="C2699" s="78"/>
      <c r="D2699" s="78"/>
      <c r="E2699" s="78"/>
    </row>
    <row r="2700" spans="1:5">
      <c r="A2700" s="76"/>
      <c r="B2700" s="77"/>
      <c r="C2700" s="78"/>
      <c r="D2700" s="78"/>
      <c r="E2700" s="78"/>
    </row>
    <row r="2701" spans="1:5">
      <c r="A2701" s="76" t="s">
        <v>2543</v>
      </c>
      <c r="B2701" s="77" t="s">
        <v>135</v>
      </c>
      <c r="C2701" s="78" t="s">
        <v>136</v>
      </c>
      <c r="D2701" s="78" t="s">
        <v>2534</v>
      </c>
      <c r="E2701" s="78" t="s">
        <v>2535</v>
      </c>
    </row>
    <row r="2702" spans="1:5">
      <c r="A2702" s="76" t="s">
        <v>3202</v>
      </c>
      <c r="B2702" s="77" t="s">
        <v>215</v>
      </c>
      <c r="C2702" s="78">
        <v>26.32</v>
      </c>
      <c r="D2702" s="78">
        <v>5.93</v>
      </c>
      <c r="E2702" s="78">
        <f>TRUNC(C2702*D2702,2)</f>
        <v>156.07</v>
      </c>
    </row>
    <row r="2703" spans="1:5">
      <c r="A2703" s="76" t="s">
        <v>122</v>
      </c>
      <c r="B2703" s="77"/>
      <c r="C2703" s="78"/>
      <c r="D2703" s="78"/>
      <c r="E2703" s="78">
        <f>SUM(E2702:E2702)</f>
        <v>156.07</v>
      </c>
    </row>
    <row r="2704" spans="1:5">
      <c r="A2704" s="76"/>
      <c r="B2704" s="77"/>
      <c r="C2704" s="78"/>
      <c r="D2704" s="78"/>
      <c r="E2704" s="78"/>
    </row>
    <row r="2705" spans="1:5">
      <c r="A2705" s="76" t="s">
        <v>2538</v>
      </c>
      <c r="B2705" s="77"/>
      <c r="C2705" s="78"/>
      <c r="D2705" s="78"/>
      <c r="E2705" s="78">
        <f>E2703</f>
        <v>156.07</v>
      </c>
    </row>
    <row r="2706" spans="1:5">
      <c r="A2706" s="76" t="s">
        <v>2539</v>
      </c>
      <c r="B2706" s="77"/>
      <c r="C2706" s="78"/>
      <c r="D2706" s="78">
        <v>0</v>
      </c>
      <c r="E2706" s="78">
        <f>TRUNC(D2706*E2705/100,2)</f>
        <v>0</v>
      </c>
    </row>
    <row r="2707" spans="1:5">
      <c r="A2707" s="76" t="s">
        <v>2540</v>
      </c>
      <c r="B2707" s="77"/>
      <c r="C2707" s="78"/>
      <c r="D2707" s="78"/>
      <c r="E2707" s="78">
        <f>E2705+E2706</f>
        <v>156.07</v>
      </c>
    </row>
    <row r="2708" spans="1:5">
      <c r="A2708" s="76"/>
      <c r="B2708" s="77"/>
      <c r="C2708" s="78"/>
      <c r="D2708" s="78"/>
      <c r="E2708" s="78"/>
    </row>
    <row r="2709" spans="1:5">
      <c r="A2709" s="76" t="s">
        <v>3092</v>
      </c>
      <c r="B2709" s="77" t="s">
        <v>3203</v>
      </c>
      <c r="C2709" s="78"/>
      <c r="D2709" s="78"/>
      <c r="E2709" s="78"/>
    </row>
    <row r="2710" ht="25.5" spans="1:5">
      <c r="A2710" s="76" t="s">
        <v>3204</v>
      </c>
      <c r="B2710" s="77"/>
      <c r="C2710" s="78"/>
      <c r="D2710" s="78"/>
      <c r="E2710" s="78"/>
    </row>
    <row r="2711" spans="1:5">
      <c r="A2711" s="76" t="s">
        <v>2764</v>
      </c>
      <c r="B2711" s="77"/>
      <c r="C2711" s="78"/>
      <c r="D2711" s="78"/>
      <c r="E2711" s="78"/>
    </row>
    <row r="2712" spans="1:5">
      <c r="A2712" s="76"/>
      <c r="B2712" s="77"/>
      <c r="C2712" s="78"/>
      <c r="D2712" s="78"/>
      <c r="E2712" s="78"/>
    </row>
    <row r="2713" spans="1:5">
      <c r="A2713" s="76" t="s">
        <v>279</v>
      </c>
      <c r="B2713" s="77" t="s">
        <v>135</v>
      </c>
      <c r="C2713" s="78" t="s">
        <v>136</v>
      </c>
      <c r="D2713" s="78" t="s">
        <v>2534</v>
      </c>
      <c r="E2713" s="78" t="s">
        <v>2535</v>
      </c>
    </row>
    <row r="2714" ht="25.5" spans="1:5">
      <c r="A2714" s="76" t="s">
        <v>3205</v>
      </c>
      <c r="B2714" s="77" t="s">
        <v>494</v>
      </c>
      <c r="C2714" s="78">
        <v>3.427e-5</v>
      </c>
      <c r="D2714" s="78">
        <v>570622.72</v>
      </c>
      <c r="E2714" s="78">
        <f>TRUNC(C2714*D2714,2)</f>
        <v>19.55</v>
      </c>
    </row>
    <row r="2715" spans="1:5">
      <c r="A2715" s="76" t="s">
        <v>122</v>
      </c>
      <c r="B2715" s="77"/>
      <c r="C2715" s="78"/>
      <c r="D2715" s="78"/>
      <c r="E2715" s="78">
        <f>SUM(E2714:E2714)</f>
        <v>19.55</v>
      </c>
    </row>
    <row r="2716" spans="1:5">
      <c r="A2716" s="76"/>
      <c r="B2716" s="77"/>
      <c r="C2716" s="78"/>
      <c r="D2716" s="78"/>
      <c r="E2716" s="78"/>
    </row>
    <row r="2717" spans="1:5">
      <c r="A2717" s="76" t="s">
        <v>2538</v>
      </c>
      <c r="B2717" s="77"/>
      <c r="C2717" s="78"/>
      <c r="D2717" s="78"/>
      <c r="E2717" s="78">
        <f>E2715</f>
        <v>19.55</v>
      </c>
    </row>
    <row r="2718" spans="1:5">
      <c r="A2718" s="76" t="s">
        <v>2539</v>
      </c>
      <c r="B2718" s="77"/>
      <c r="C2718" s="78"/>
      <c r="D2718" s="78">
        <v>0</v>
      </c>
      <c r="E2718" s="78">
        <f>TRUNC(D2718*E2717/100,2)</f>
        <v>0</v>
      </c>
    </row>
    <row r="2719" spans="1:5">
      <c r="A2719" s="76" t="s">
        <v>2540</v>
      </c>
      <c r="B2719" s="77"/>
      <c r="C2719" s="78"/>
      <c r="D2719" s="78"/>
      <c r="E2719" s="78">
        <f>E2717+E2718</f>
        <v>19.55</v>
      </c>
    </row>
    <row r="2720" spans="1:5">
      <c r="A2720" s="76"/>
      <c r="B2720" s="77"/>
      <c r="C2720" s="78"/>
      <c r="D2720" s="78"/>
      <c r="E2720" s="78"/>
    </row>
    <row r="2721" spans="1:5">
      <c r="A2721" s="76" t="s">
        <v>3092</v>
      </c>
      <c r="B2721" s="77" t="s">
        <v>3206</v>
      </c>
      <c r="C2721" s="78"/>
      <c r="D2721" s="78"/>
      <c r="E2721" s="78"/>
    </row>
    <row r="2722" ht="25.5" spans="1:5">
      <c r="A2722" s="76" t="s">
        <v>3207</v>
      </c>
      <c r="B2722" s="77"/>
      <c r="C2722" s="78"/>
      <c r="D2722" s="78"/>
      <c r="E2722" s="78"/>
    </row>
    <row r="2723" spans="1:5">
      <c r="A2723" s="76" t="s">
        <v>2764</v>
      </c>
      <c r="B2723" s="77"/>
      <c r="C2723" s="78"/>
      <c r="D2723" s="78"/>
      <c r="E2723" s="78"/>
    </row>
    <row r="2724" spans="1:5">
      <c r="A2724" s="76"/>
      <c r="B2724" s="77"/>
      <c r="C2724" s="78"/>
      <c r="D2724" s="78"/>
      <c r="E2724" s="78"/>
    </row>
    <row r="2725" spans="1:5">
      <c r="A2725" s="76" t="s">
        <v>279</v>
      </c>
      <c r="B2725" s="77" t="s">
        <v>135</v>
      </c>
      <c r="C2725" s="78" t="s">
        <v>136</v>
      </c>
      <c r="D2725" s="78" t="s">
        <v>2534</v>
      </c>
      <c r="E2725" s="78" t="s">
        <v>2535</v>
      </c>
    </row>
    <row r="2726" ht="25.5" spans="1:5">
      <c r="A2726" s="76" t="s">
        <v>3205</v>
      </c>
      <c r="B2726" s="77" t="s">
        <v>494</v>
      </c>
      <c r="C2726" s="78">
        <v>5.71e-6</v>
      </c>
      <c r="D2726" s="78">
        <v>570622.72</v>
      </c>
      <c r="E2726" s="78">
        <f>TRUNC(C2726*D2726,2)</f>
        <v>3.25</v>
      </c>
    </row>
    <row r="2727" spans="1:5">
      <c r="A2727" s="76" t="s">
        <v>122</v>
      </c>
      <c r="B2727" s="77"/>
      <c r="C2727" s="78"/>
      <c r="D2727" s="78"/>
      <c r="E2727" s="78">
        <f>SUM(E2726:E2726)</f>
        <v>3.25</v>
      </c>
    </row>
    <row r="2728" spans="1:5">
      <c r="A2728" s="76"/>
      <c r="B2728" s="77"/>
      <c r="C2728" s="78"/>
      <c r="D2728" s="78"/>
      <c r="E2728" s="78"/>
    </row>
    <row r="2729" spans="1:5">
      <c r="A2729" s="76" t="s">
        <v>2538</v>
      </c>
      <c r="B2729" s="77"/>
      <c r="C2729" s="78"/>
      <c r="D2729" s="78"/>
      <c r="E2729" s="78">
        <f>E2727</f>
        <v>3.25</v>
      </c>
    </row>
    <row r="2730" spans="1:5">
      <c r="A2730" s="76" t="s">
        <v>2539</v>
      </c>
      <c r="B2730" s="77"/>
      <c r="C2730" s="78"/>
      <c r="D2730" s="78">
        <v>0</v>
      </c>
      <c r="E2730" s="78">
        <f>TRUNC(D2730*E2729/100,2)</f>
        <v>0</v>
      </c>
    </row>
    <row r="2731" spans="1:5">
      <c r="A2731" s="76" t="s">
        <v>2540</v>
      </c>
      <c r="B2731" s="77"/>
      <c r="C2731" s="78"/>
      <c r="D2731" s="78"/>
      <c r="E2731" s="78">
        <f>E2729+E2730</f>
        <v>3.25</v>
      </c>
    </row>
    <row r="2732" spans="1:5">
      <c r="A2732" s="76"/>
      <c r="B2732" s="77"/>
      <c r="C2732" s="78"/>
      <c r="D2732" s="78"/>
      <c r="E2732" s="78"/>
    </row>
    <row r="2733" spans="1:5">
      <c r="A2733" s="76" t="s">
        <v>3092</v>
      </c>
      <c r="B2733" s="77" t="s">
        <v>3208</v>
      </c>
      <c r="C2733" s="78"/>
      <c r="D2733" s="78"/>
      <c r="E2733" s="78"/>
    </row>
    <row r="2734" ht="25.5" spans="1:5">
      <c r="A2734" s="76" t="s">
        <v>3209</v>
      </c>
      <c r="B2734" s="77"/>
      <c r="C2734" s="78"/>
      <c r="D2734" s="78"/>
      <c r="E2734" s="78"/>
    </row>
    <row r="2735" spans="1:5">
      <c r="A2735" s="76" t="s">
        <v>2764</v>
      </c>
      <c r="B2735" s="77"/>
      <c r="C2735" s="78"/>
      <c r="D2735" s="78"/>
      <c r="E2735" s="78"/>
    </row>
    <row r="2736" spans="1:5">
      <c r="A2736" s="76"/>
      <c r="B2736" s="77"/>
      <c r="C2736" s="78"/>
      <c r="D2736" s="78"/>
      <c r="E2736" s="78"/>
    </row>
    <row r="2737" spans="1:5">
      <c r="A2737" s="76" t="s">
        <v>279</v>
      </c>
      <c r="B2737" s="77" t="s">
        <v>135</v>
      </c>
      <c r="C2737" s="78" t="s">
        <v>136</v>
      </c>
      <c r="D2737" s="78" t="s">
        <v>2534</v>
      </c>
      <c r="E2737" s="78" t="s">
        <v>2535</v>
      </c>
    </row>
    <row r="2738" ht="25.5" spans="1:5">
      <c r="A2738" s="76" t="s">
        <v>3205</v>
      </c>
      <c r="B2738" s="77" t="s">
        <v>494</v>
      </c>
      <c r="C2738" s="78">
        <v>1.408e-5</v>
      </c>
      <c r="D2738" s="78">
        <v>570622.72</v>
      </c>
      <c r="E2738" s="78">
        <f>TRUNC(C2738*D2738,2)</f>
        <v>8.03</v>
      </c>
    </row>
    <row r="2739" spans="1:5">
      <c r="A2739" s="76" t="s">
        <v>122</v>
      </c>
      <c r="B2739" s="77"/>
      <c r="C2739" s="78"/>
      <c r="D2739" s="78"/>
      <c r="E2739" s="78">
        <f>SUM(E2738:E2738)</f>
        <v>8.03</v>
      </c>
    </row>
    <row r="2740" spans="1:5">
      <c r="A2740" s="76"/>
      <c r="B2740" s="77"/>
      <c r="C2740" s="78"/>
      <c r="D2740" s="78"/>
      <c r="E2740" s="78"/>
    </row>
    <row r="2741" spans="1:5">
      <c r="A2741" s="76" t="s">
        <v>2538</v>
      </c>
      <c r="B2741" s="77"/>
      <c r="C2741" s="78"/>
      <c r="D2741" s="78"/>
      <c r="E2741" s="78">
        <f>E2739</f>
        <v>8.03</v>
      </c>
    </row>
    <row r="2742" spans="1:5">
      <c r="A2742" s="76" t="s">
        <v>2539</v>
      </c>
      <c r="B2742" s="77"/>
      <c r="C2742" s="78"/>
      <c r="D2742" s="78">
        <v>0</v>
      </c>
      <c r="E2742" s="78">
        <f>TRUNC(D2742*E2741/100,2)</f>
        <v>0</v>
      </c>
    </row>
    <row r="2743" spans="1:5">
      <c r="A2743" s="76" t="s">
        <v>2540</v>
      </c>
      <c r="B2743" s="77"/>
      <c r="C2743" s="78"/>
      <c r="D2743" s="78"/>
      <c r="E2743" s="78">
        <f>E2741+E2742</f>
        <v>8.03</v>
      </c>
    </row>
    <row r="2744" spans="1:5">
      <c r="A2744" s="76"/>
      <c r="B2744" s="77"/>
      <c r="C2744" s="78"/>
      <c r="D2744" s="78"/>
      <c r="E2744" s="78"/>
    </row>
    <row r="2745" spans="1:5">
      <c r="A2745" s="76" t="s">
        <v>3092</v>
      </c>
      <c r="B2745" s="77" t="s">
        <v>3210</v>
      </c>
      <c r="C2745" s="78"/>
      <c r="D2745" s="78"/>
      <c r="E2745" s="78"/>
    </row>
    <row r="2746" ht="25.5" spans="1:5">
      <c r="A2746" s="76" t="s">
        <v>3211</v>
      </c>
      <c r="B2746" s="77"/>
      <c r="C2746" s="78"/>
      <c r="D2746" s="78"/>
      <c r="E2746" s="78"/>
    </row>
    <row r="2747" spans="1:5">
      <c r="A2747" s="76" t="s">
        <v>2764</v>
      </c>
      <c r="B2747" s="77"/>
      <c r="C2747" s="78"/>
      <c r="D2747" s="78"/>
      <c r="E2747" s="78"/>
    </row>
    <row r="2748" spans="1:5">
      <c r="A2748" s="76"/>
      <c r="B2748" s="77"/>
      <c r="C2748" s="78"/>
      <c r="D2748" s="78"/>
      <c r="E2748" s="78"/>
    </row>
    <row r="2749" spans="1:5">
      <c r="A2749" s="76" t="s">
        <v>279</v>
      </c>
      <c r="B2749" s="77" t="s">
        <v>135</v>
      </c>
      <c r="C2749" s="78" t="s">
        <v>136</v>
      </c>
      <c r="D2749" s="78" t="s">
        <v>2534</v>
      </c>
      <c r="E2749" s="78" t="s">
        <v>2535</v>
      </c>
    </row>
    <row r="2750" ht="25.5" spans="1:5">
      <c r="A2750" s="76" t="s">
        <v>3205</v>
      </c>
      <c r="B2750" s="77" t="s">
        <v>494</v>
      </c>
      <c r="C2750" s="78">
        <v>6.428e-5</v>
      </c>
      <c r="D2750" s="78">
        <v>570622.72</v>
      </c>
      <c r="E2750" s="78">
        <f>TRUNC(C2750*D2750,2)</f>
        <v>36.67</v>
      </c>
    </row>
    <row r="2751" spans="1:5">
      <c r="A2751" s="76" t="s">
        <v>122</v>
      </c>
      <c r="B2751" s="77"/>
      <c r="C2751" s="78"/>
      <c r="D2751" s="78"/>
      <c r="E2751" s="78">
        <f>SUM(E2750:E2750)</f>
        <v>36.67</v>
      </c>
    </row>
    <row r="2752" spans="1:5">
      <c r="A2752" s="76"/>
      <c r="B2752" s="77"/>
      <c r="C2752" s="78"/>
      <c r="D2752" s="78"/>
      <c r="E2752" s="78"/>
    </row>
    <row r="2753" spans="1:5">
      <c r="A2753" s="76" t="s">
        <v>2538</v>
      </c>
      <c r="B2753" s="77"/>
      <c r="C2753" s="78"/>
      <c r="D2753" s="78"/>
      <c r="E2753" s="78">
        <f>E2751</f>
        <v>36.67</v>
      </c>
    </row>
    <row r="2754" spans="1:5">
      <c r="A2754" s="76" t="s">
        <v>2539</v>
      </c>
      <c r="B2754" s="77"/>
      <c r="C2754" s="78"/>
      <c r="D2754" s="78">
        <v>0</v>
      </c>
      <c r="E2754" s="78">
        <f>TRUNC(D2754*E2753/100,2)</f>
        <v>0</v>
      </c>
    </row>
    <row r="2755" spans="1:5">
      <c r="A2755" s="76" t="s">
        <v>2540</v>
      </c>
      <c r="B2755" s="77"/>
      <c r="C2755" s="78"/>
      <c r="D2755" s="78"/>
      <c r="E2755" s="78">
        <f>E2753+E2754</f>
        <v>36.67</v>
      </c>
    </row>
    <row r="2756" spans="1:5">
      <c r="A2756" s="76"/>
      <c r="B2756" s="77"/>
      <c r="C2756" s="78"/>
      <c r="D2756" s="78"/>
      <c r="E2756" s="78"/>
    </row>
    <row r="2757" spans="1:5">
      <c r="A2757" s="76" t="s">
        <v>3092</v>
      </c>
      <c r="B2757" s="77" t="s">
        <v>3212</v>
      </c>
      <c r="C2757" s="78"/>
      <c r="D2757" s="78"/>
      <c r="E2757" s="78"/>
    </row>
    <row r="2758" spans="1:5">
      <c r="A2758" s="76" t="s">
        <v>3213</v>
      </c>
      <c r="B2758" s="77"/>
      <c r="C2758" s="78"/>
      <c r="D2758" s="78"/>
      <c r="E2758" s="78"/>
    </row>
    <row r="2759" spans="1:5">
      <c r="A2759" s="76" t="s">
        <v>2764</v>
      </c>
      <c r="B2759" s="77"/>
      <c r="C2759" s="78"/>
      <c r="D2759" s="78"/>
      <c r="E2759" s="78"/>
    </row>
    <row r="2760" spans="1:5">
      <c r="A2760" s="76"/>
      <c r="B2760" s="77"/>
      <c r="C2760" s="78"/>
      <c r="D2760" s="78"/>
      <c r="E2760" s="78"/>
    </row>
    <row r="2761" spans="1:5">
      <c r="A2761" s="76" t="s">
        <v>2543</v>
      </c>
      <c r="B2761" s="77" t="s">
        <v>135</v>
      </c>
      <c r="C2761" s="78" t="s">
        <v>136</v>
      </c>
      <c r="D2761" s="78" t="s">
        <v>2534</v>
      </c>
      <c r="E2761" s="78" t="s">
        <v>2535</v>
      </c>
    </row>
    <row r="2762" spans="1:5">
      <c r="A2762" s="76" t="s">
        <v>3214</v>
      </c>
      <c r="B2762" s="77" t="s">
        <v>494</v>
      </c>
      <c r="C2762" s="78">
        <v>5.506e-5</v>
      </c>
      <c r="D2762" s="78">
        <v>47943.4</v>
      </c>
      <c r="E2762" s="78">
        <f>TRUNC(C2762*D2762,2)</f>
        <v>2.63</v>
      </c>
    </row>
    <row r="2763" spans="1:5">
      <c r="A2763" s="76" t="s">
        <v>122</v>
      </c>
      <c r="B2763" s="77"/>
      <c r="C2763" s="78"/>
      <c r="D2763" s="78"/>
      <c r="E2763" s="78">
        <f>SUM(E2762:E2762)</f>
        <v>2.63</v>
      </c>
    </row>
    <row r="2764" spans="1:5">
      <c r="A2764" s="76"/>
      <c r="B2764" s="77"/>
      <c r="C2764" s="78"/>
      <c r="D2764" s="78"/>
      <c r="E2764" s="78"/>
    </row>
    <row r="2765" spans="1:5">
      <c r="A2765" s="76" t="s">
        <v>2538</v>
      </c>
      <c r="B2765" s="77"/>
      <c r="C2765" s="78"/>
      <c r="D2765" s="78"/>
      <c r="E2765" s="78">
        <f>E2763</f>
        <v>2.63</v>
      </c>
    </row>
    <row r="2766" spans="1:5">
      <c r="A2766" s="76" t="s">
        <v>2539</v>
      </c>
      <c r="B2766" s="77"/>
      <c r="C2766" s="78"/>
      <c r="D2766" s="78">
        <v>0</v>
      </c>
      <c r="E2766" s="78">
        <f>TRUNC(D2766*E2765/100,2)</f>
        <v>0</v>
      </c>
    </row>
    <row r="2767" spans="1:5">
      <c r="A2767" s="76" t="s">
        <v>2540</v>
      </c>
      <c r="B2767" s="77"/>
      <c r="C2767" s="78"/>
      <c r="D2767" s="78"/>
      <c r="E2767" s="78">
        <f>E2765+E2766</f>
        <v>2.63</v>
      </c>
    </row>
    <row r="2768" spans="1:5">
      <c r="A2768" s="76"/>
      <c r="B2768" s="77"/>
      <c r="C2768" s="78"/>
      <c r="D2768" s="78"/>
      <c r="E2768" s="78"/>
    </row>
    <row r="2769" spans="1:5">
      <c r="A2769" s="76" t="s">
        <v>3092</v>
      </c>
      <c r="B2769" s="77" t="s">
        <v>3215</v>
      </c>
      <c r="C2769" s="78"/>
      <c r="D2769" s="78"/>
      <c r="E2769" s="78"/>
    </row>
    <row r="2770" spans="1:5">
      <c r="A2770" s="76" t="s">
        <v>3216</v>
      </c>
      <c r="B2770" s="77"/>
      <c r="C2770" s="78"/>
      <c r="D2770" s="78"/>
      <c r="E2770" s="78"/>
    </row>
    <row r="2771" spans="1:5">
      <c r="A2771" s="76" t="s">
        <v>2764</v>
      </c>
      <c r="B2771" s="77"/>
      <c r="C2771" s="78"/>
      <c r="D2771" s="78"/>
      <c r="E2771" s="78"/>
    </row>
    <row r="2772" spans="1:5">
      <c r="A2772" s="76"/>
      <c r="B2772" s="77"/>
      <c r="C2772" s="78"/>
      <c r="D2772" s="78"/>
      <c r="E2772" s="78"/>
    </row>
    <row r="2773" spans="1:5">
      <c r="A2773" s="76" t="s">
        <v>2543</v>
      </c>
      <c r="B2773" s="77" t="s">
        <v>135</v>
      </c>
      <c r="C2773" s="78" t="s">
        <v>136</v>
      </c>
      <c r="D2773" s="78" t="s">
        <v>2534</v>
      </c>
      <c r="E2773" s="78" t="s">
        <v>2535</v>
      </c>
    </row>
    <row r="2774" spans="1:5">
      <c r="A2774" s="76" t="s">
        <v>3214</v>
      </c>
      <c r="B2774" s="77" t="s">
        <v>494</v>
      </c>
      <c r="C2774" s="78">
        <v>1.439e-5</v>
      </c>
      <c r="D2774" s="78">
        <v>47943.4</v>
      </c>
      <c r="E2774" s="78">
        <f>TRUNC(C2774*D2774,2)</f>
        <v>0.68</v>
      </c>
    </row>
    <row r="2775" spans="1:5">
      <c r="A2775" s="76" t="s">
        <v>122</v>
      </c>
      <c r="B2775" s="77"/>
      <c r="C2775" s="78"/>
      <c r="D2775" s="78"/>
      <c r="E2775" s="78">
        <f>SUM(E2774:E2774)</f>
        <v>0.68</v>
      </c>
    </row>
    <row r="2776" spans="1:5">
      <c r="A2776" s="76"/>
      <c r="B2776" s="77"/>
      <c r="C2776" s="78"/>
      <c r="D2776" s="78"/>
      <c r="E2776" s="78"/>
    </row>
    <row r="2777" spans="1:5">
      <c r="A2777" s="76" t="s">
        <v>2538</v>
      </c>
      <c r="B2777" s="77"/>
      <c r="C2777" s="78"/>
      <c r="D2777" s="78"/>
      <c r="E2777" s="78">
        <f>E2775</f>
        <v>0.68</v>
      </c>
    </row>
    <row r="2778" spans="1:5">
      <c r="A2778" s="76" t="s">
        <v>2539</v>
      </c>
      <c r="B2778" s="77"/>
      <c r="C2778" s="78"/>
      <c r="D2778" s="78">
        <v>0</v>
      </c>
      <c r="E2778" s="78">
        <f>TRUNC(D2778*E2777/100,2)</f>
        <v>0</v>
      </c>
    </row>
    <row r="2779" spans="1:5">
      <c r="A2779" s="76" t="s">
        <v>2540</v>
      </c>
      <c r="B2779" s="77"/>
      <c r="C2779" s="78"/>
      <c r="D2779" s="78"/>
      <c r="E2779" s="78">
        <f>E2777+E2778</f>
        <v>0.68</v>
      </c>
    </row>
    <row r="2780" spans="1:5">
      <c r="A2780" s="76"/>
      <c r="B2780" s="77"/>
      <c r="C2780" s="78"/>
      <c r="D2780" s="78"/>
      <c r="E2780" s="78"/>
    </row>
    <row r="2781" spans="1:5">
      <c r="A2781" s="76" t="s">
        <v>3092</v>
      </c>
      <c r="B2781" s="77" t="s">
        <v>3217</v>
      </c>
      <c r="C2781" s="78"/>
      <c r="D2781" s="78"/>
      <c r="E2781" s="78"/>
    </row>
    <row r="2782" spans="1:5">
      <c r="A2782" s="76" t="s">
        <v>3218</v>
      </c>
      <c r="B2782" s="77"/>
      <c r="C2782" s="78"/>
      <c r="D2782" s="78"/>
      <c r="E2782" s="78"/>
    </row>
    <row r="2783" spans="1:5">
      <c r="A2783" s="76" t="s">
        <v>2764</v>
      </c>
      <c r="B2783" s="77"/>
      <c r="C2783" s="78"/>
      <c r="D2783" s="78"/>
      <c r="E2783" s="78"/>
    </row>
    <row r="2784" spans="1:5">
      <c r="A2784" s="76"/>
      <c r="B2784" s="77"/>
      <c r="C2784" s="78"/>
      <c r="D2784" s="78"/>
      <c r="E2784" s="78"/>
    </row>
    <row r="2785" spans="1:5">
      <c r="A2785" s="76" t="s">
        <v>2543</v>
      </c>
      <c r="B2785" s="77" t="s">
        <v>135</v>
      </c>
      <c r="C2785" s="78" t="s">
        <v>136</v>
      </c>
      <c r="D2785" s="78" t="s">
        <v>2534</v>
      </c>
      <c r="E2785" s="78" t="s">
        <v>2535</v>
      </c>
    </row>
    <row r="2786" spans="1:5">
      <c r="A2786" s="76" t="s">
        <v>3214</v>
      </c>
      <c r="B2786" s="77" t="s">
        <v>494</v>
      </c>
      <c r="C2786" s="78">
        <v>6.883e-5</v>
      </c>
      <c r="D2786" s="78">
        <v>47943.4</v>
      </c>
      <c r="E2786" s="78">
        <f>TRUNC(C2786*D2786,2)</f>
        <v>3.29</v>
      </c>
    </row>
    <row r="2787" spans="1:5">
      <c r="A2787" s="76" t="s">
        <v>122</v>
      </c>
      <c r="B2787" s="77"/>
      <c r="C2787" s="78"/>
      <c r="D2787" s="78"/>
      <c r="E2787" s="78">
        <f>SUM(E2786:E2786)</f>
        <v>3.29</v>
      </c>
    </row>
    <row r="2788" spans="1:5">
      <c r="A2788" s="76"/>
      <c r="B2788" s="77"/>
      <c r="C2788" s="78"/>
      <c r="D2788" s="78"/>
      <c r="E2788" s="78"/>
    </row>
    <row r="2789" spans="1:5">
      <c r="A2789" s="76" t="s">
        <v>2538</v>
      </c>
      <c r="B2789" s="77"/>
      <c r="C2789" s="78"/>
      <c r="D2789" s="78"/>
      <c r="E2789" s="78">
        <f>E2787</f>
        <v>3.29</v>
      </c>
    </row>
    <row r="2790" spans="1:5">
      <c r="A2790" s="76" t="s">
        <v>2539</v>
      </c>
      <c r="B2790" s="77"/>
      <c r="C2790" s="78"/>
      <c r="D2790" s="78">
        <v>0</v>
      </c>
      <c r="E2790" s="78">
        <f>TRUNC(D2790*E2789/100,2)</f>
        <v>0</v>
      </c>
    </row>
    <row r="2791" spans="1:5">
      <c r="A2791" s="76" t="s">
        <v>2540</v>
      </c>
      <c r="B2791" s="77"/>
      <c r="C2791" s="78"/>
      <c r="D2791" s="78"/>
      <c r="E2791" s="78">
        <f>E2789+E2790</f>
        <v>3.29</v>
      </c>
    </row>
    <row r="2792" spans="1:5">
      <c r="A2792" s="76"/>
      <c r="B2792" s="77"/>
      <c r="C2792" s="78"/>
      <c r="D2792" s="78"/>
      <c r="E2792" s="78"/>
    </row>
    <row r="2793" spans="1:5">
      <c r="A2793" s="76" t="s">
        <v>3092</v>
      </c>
      <c r="B2793" s="77" t="s">
        <v>3219</v>
      </c>
      <c r="C2793" s="78"/>
      <c r="D2793" s="78"/>
      <c r="E2793" s="78"/>
    </row>
    <row r="2794" spans="1:5">
      <c r="A2794" s="76" t="s">
        <v>3220</v>
      </c>
      <c r="B2794" s="77"/>
      <c r="C2794" s="78"/>
      <c r="D2794" s="78"/>
      <c r="E2794" s="78"/>
    </row>
    <row r="2795" spans="1:5">
      <c r="A2795" s="76" t="s">
        <v>3085</v>
      </c>
      <c r="B2795" s="77"/>
      <c r="C2795" s="78"/>
      <c r="D2795" s="78"/>
      <c r="E2795" s="78"/>
    </row>
    <row r="2796" spans="1:5">
      <c r="A2796" s="76"/>
      <c r="B2796" s="77"/>
      <c r="C2796" s="78"/>
      <c r="D2796" s="78"/>
      <c r="E2796" s="78"/>
    </row>
    <row r="2797" spans="1:5">
      <c r="A2797" s="76" t="s">
        <v>2543</v>
      </c>
      <c r="B2797" s="77" t="s">
        <v>135</v>
      </c>
      <c r="C2797" s="78" t="s">
        <v>136</v>
      </c>
      <c r="D2797" s="78" t="s">
        <v>2534</v>
      </c>
      <c r="E2797" s="78" t="s">
        <v>2535</v>
      </c>
    </row>
    <row r="2798" spans="1:5">
      <c r="A2798" s="76" t="s">
        <v>3221</v>
      </c>
      <c r="B2798" s="77" t="s">
        <v>839</v>
      </c>
      <c r="C2798" s="78">
        <v>1</v>
      </c>
      <c r="D2798" s="78">
        <v>0.62</v>
      </c>
      <c r="E2798" s="78">
        <f>TRUNC(C2798*D2798,2)</f>
        <v>0.62</v>
      </c>
    </row>
    <row r="2799" spans="1:5">
      <c r="A2799" s="76" t="s">
        <v>3222</v>
      </c>
      <c r="B2799" s="77" t="s">
        <v>839</v>
      </c>
      <c r="C2799" s="78">
        <v>1</v>
      </c>
      <c r="D2799" s="78">
        <v>0.13</v>
      </c>
      <c r="E2799" s="78">
        <f>TRUNC(C2799*D2799,2)</f>
        <v>0.13</v>
      </c>
    </row>
    <row r="2800" spans="1:5">
      <c r="A2800" s="76" t="s">
        <v>3223</v>
      </c>
      <c r="B2800" s="77" t="s">
        <v>839</v>
      </c>
      <c r="C2800" s="78">
        <v>1</v>
      </c>
      <c r="D2800" s="78">
        <v>0.58</v>
      </c>
      <c r="E2800" s="78">
        <f>TRUNC(C2800*D2800,2)</f>
        <v>0.58</v>
      </c>
    </row>
    <row r="2801" spans="1:5">
      <c r="A2801" s="76" t="s">
        <v>122</v>
      </c>
      <c r="B2801" s="77"/>
      <c r="C2801" s="78"/>
      <c r="D2801" s="78"/>
      <c r="E2801" s="78">
        <f>SUM(E2798:E2800)</f>
        <v>1.33</v>
      </c>
    </row>
    <row r="2802" spans="1:5">
      <c r="A2802" s="76"/>
      <c r="B2802" s="77"/>
      <c r="C2802" s="78"/>
      <c r="D2802" s="78"/>
      <c r="E2802" s="78"/>
    </row>
    <row r="2803" spans="1:5">
      <c r="A2803" s="76" t="s">
        <v>2538</v>
      </c>
      <c r="B2803" s="77"/>
      <c r="C2803" s="78"/>
      <c r="D2803" s="78"/>
      <c r="E2803" s="78">
        <f>E2801</f>
        <v>1.33</v>
      </c>
    </row>
    <row r="2804" spans="1:5">
      <c r="A2804" s="76" t="s">
        <v>2539</v>
      </c>
      <c r="B2804" s="77"/>
      <c r="C2804" s="78"/>
      <c r="D2804" s="78">
        <v>0</v>
      </c>
      <c r="E2804" s="78">
        <f>TRUNC(D2804*E2803/100,2)</f>
        <v>0</v>
      </c>
    </row>
    <row r="2805" spans="1:5">
      <c r="A2805" s="76" t="s">
        <v>2540</v>
      </c>
      <c r="B2805" s="77"/>
      <c r="C2805" s="78"/>
      <c r="D2805" s="78"/>
      <c r="E2805" s="78">
        <f>E2803+E2804</f>
        <v>1.33</v>
      </c>
    </row>
    <row r="2806" spans="1:5">
      <c r="A2806" s="76"/>
      <c r="B2806" s="77"/>
      <c r="C2806" s="78"/>
      <c r="D2806" s="78"/>
      <c r="E2806" s="78"/>
    </row>
    <row r="2807" spans="1:5">
      <c r="A2807" s="76" t="s">
        <v>3092</v>
      </c>
      <c r="B2807" s="77" t="s">
        <v>3224</v>
      </c>
      <c r="C2807" s="78"/>
      <c r="D2807" s="78"/>
      <c r="E2807" s="78"/>
    </row>
    <row r="2808" spans="1:5">
      <c r="A2808" s="76" t="s">
        <v>3225</v>
      </c>
      <c r="B2808" s="77"/>
      <c r="C2808" s="78"/>
      <c r="D2808" s="78"/>
      <c r="E2808" s="78"/>
    </row>
    <row r="2809" spans="1:5">
      <c r="A2809" s="76" t="s">
        <v>2764</v>
      </c>
      <c r="B2809" s="77"/>
      <c r="C2809" s="78"/>
      <c r="D2809" s="78"/>
      <c r="E2809" s="78"/>
    </row>
    <row r="2810" spans="1:5">
      <c r="A2810" s="76"/>
      <c r="B2810" s="77"/>
      <c r="C2810" s="78"/>
      <c r="D2810" s="78"/>
      <c r="E2810" s="78"/>
    </row>
    <row r="2811" spans="1:5">
      <c r="A2811" s="76" t="s">
        <v>2543</v>
      </c>
      <c r="B2811" s="77" t="s">
        <v>135</v>
      </c>
      <c r="C2811" s="78" t="s">
        <v>136</v>
      </c>
      <c r="D2811" s="78" t="s">
        <v>2534</v>
      </c>
      <c r="E2811" s="78" t="s">
        <v>2535</v>
      </c>
    </row>
    <row r="2812" spans="1:5">
      <c r="A2812" s="76" t="s">
        <v>3226</v>
      </c>
      <c r="B2812" s="77" t="s">
        <v>494</v>
      </c>
      <c r="C2812" s="78">
        <v>6.383e-5</v>
      </c>
      <c r="D2812" s="78">
        <v>9869.81</v>
      </c>
      <c r="E2812" s="78">
        <f>TRUNC(C2812*D2812,2)</f>
        <v>0.62</v>
      </c>
    </row>
    <row r="2813" spans="1:5">
      <c r="A2813" s="76" t="s">
        <v>122</v>
      </c>
      <c r="B2813" s="77"/>
      <c r="C2813" s="78"/>
      <c r="D2813" s="78"/>
      <c r="E2813" s="78">
        <f>SUM(E2812:E2812)</f>
        <v>0.62</v>
      </c>
    </row>
    <row r="2814" spans="1:5">
      <c r="A2814" s="76"/>
      <c r="B2814" s="77"/>
      <c r="C2814" s="78"/>
      <c r="D2814" s="78"/>
      <c r="E2814" s="78"/>
    </row>
    <row r="2815" spans="1:5">
      <c r="A2815" s="76" t="s">
        <v>2538</v>
      </c>
      <c r="B2815" s="77"/>
      <c r="C2815" s="78"/>
      <c r="D2815" s="78"/>
      <c r="E2815" s="78">
        <f>E2813</f>
        <v>0.62</v>
      </c>
    </row>
    <row r="2816" spans="1:5">
      <c r="A2816" s="76" t="s">
        <v>2539</v>
      </c>
      <c r="B2816" s="77"/>
      <c r="C2816" s="78"/>
      <c r="D2816" s="78">
        <v>0</v>
      </c>
      <c r="E2816" s="78">
        <f>TRUNC(D2816*E2815/100,2)</f>
        <v>0</v>
      </c>
    </row>
    <row r="2817" spans="1:5">
      <c r="A2817" s="76" t="s">
        <v>2540</v>
      </c>
      <c r="B2817" s="77"/>
      <c r="C2817" s="78"/>
      <c r="D2817" s="78"/>
      <c r="E2817" s="78">
        <f>E2815+E2816</f>
        <v>0.62</v>
      </c>
    </row>
    <row r="2818" spans="1:5">
      <c r="A2818" s="76"/>
      <c r="B2818" s="77"/>
      <c r="C2818" s="78"/>
      <c r="D2818" s="78"/>
      <c r="E2818" s="78"/>
    </row>
    <row r="2819" spans="1:5">
      <c r="A2819" s="76" t="s">
        <v>3092</v>
      </c>
      <c r="B2819" s="77" t="s">
        <v>3227</v>
      </c>
      <c r="C2819" s="78"/>
      <c r="D2819" s="78"/>
      <c r="E2819" s="78"/>
    </row>
    <row r="2820" spans="1:5">
      <c r="A2820" s="76" t="s">
        <v>3228</v>
      </c>
      <c r="B2820" s="77"/>
      <c r="C2820" s="78"/>
      <c r="D2820" s="78"/>
      <c r="E2820" s="78"/>
    </row>
    <row r="2821" spans="1:5">
      <c r="A2821" s="76" t="s">
        <v>2764</v>
      </c>
      <c r="B2821" s="77"/>
      <c r="C2821" s="78"/>
      <c r="D2821" s="78"/>
      <c r="E2821" s="78"/>
    </row>
    <row r="2822" spans="1:5">
      <c r="A2822" s="76"/>
      <c r="B2822" s="77"/>
      <c r="C2822" s="78"/>
      <c r="D2822" s="78"/>
      <c r="E2822" s="78"/>
    </row>
    <row r="2823" spans="1:5">
      <c r="A2823" s="76" t="s">
        <v>2543</v>
      </c>
      <c r="B2823" s="77" t="s">
        <v>135</v>
      </c>
      <c r="C2823" s="78" t="s">
        <v>136</v>
      </c>
      <c r="D2823" s="78" t="s">
        <v>2534</v>
      </c>
      <c r="E2823" s="78" t="s">
        <v>2535</v>
      </c>
    </row>
    <row r="2824" spans="1:5">
      <c r="A2824" s="76" t="s">
        <v>3226</v>
      </c>
      <c r="B2824" s="77" t="s">
        <v>494</v>
      </c>
      <c r="C2824" s="78">
        <v>1.418e-5</v>
      </c>
      <c r="D2824" s="78">
        <v>9869.81</v>
      </c>
      <c r="E2824" s="78">
        <f>TRUNC(C2824*D2824,2)</f>
        <v>0.13</v>
      </c>
    </row>
    <row r="2825" spans="1:5">
      <c r="A2825" s="76" t="s">
        <v>122</v>
      </c>
      <c r="B2825" s="77"/>
      <c r="C2825" s="78"/>
      <c r="D2825" s="78"/>
      <c r="E2825" s="78">
        <f>SUM(E2824:E2824)</f>
        <v>0.13</v>
      </c>
    </row>
    <row r="2826" spans="1:5">
      <c r="A2826" s="76"/>
      <c r="B2826" s="77"/>
      <c r="C2826" s="78"/>
      <c r="D2826" s="78"/>
      <c r="E2826" s="78"/>
    </row>
    <row r="2827" spans="1:5">
      <c r="A2827" s="76" t="s">
        <v>2538</v>
      </c>
      <c r="B2827" s="77"/>
      <c r="C2827" s="78"/>
      <c r="D2827" s="78"/>
      <c r="E2827" s="78">
        <f>E2825</f>
        <v>0.13</v>
      </c>
    </row>
    <row r="2828" spans="1:5">
      <c r="A2828" s="76" t="s">
        <v>2539</v>
      </c>
      <c r="B2828" s="77"/>
      <c r="C2828" s="78"/>
      <c r="D2828" s="78">
        <v>0</v>
      </c>
      <c r="E2828" s="78">
        <f>TRUNC(D2828*E2827/100,2)</f>
        <v>0</v>
      </c>
    </row>
    <row r="2829" spans="1:5">
      <c r="A2829" s="76" t="s">
        <v>2540</v>
      </c>
      <c r="B2829" s="77"/>
      <c r="C2829" s="78"/>
      <c r="D2829" s="78"/>
      <c r="E2829" s="78">
        <f>E2827+E2828</f>
        <v>0.13</v>
      </c>
    </row>
    <row r="2830" spans="1:5">
      <c r="A2830" s="76"/>
      <c r="B2830" s="77"/>
      <c r="C2830" s="78"/>
      <c r="D2830" s="78"/>
      <c r="E2830" s="78"/>
    </row>
    <row r="2831" spans="1:5">
      <c r="A2831" s="76" t="s">
        <v>3092</v>
      </c>
      <c r="B2831" s="77" t="s">
        <v>3229</v>
      </c>
      <c r="C2831" s="78"/>
      <c r="D2831" s="78"/>
      <c r="E2831" s="78"/>
    </row>
    <row r="2832" spans="1:5">
      <c r="A2832" s="76" t="s">
        <v>3230</v>
      </c>
      <c r="B2832" s="77"/>
      <c r="C2832" s="78"/>
      <c r="D2832" s="78"/>
      <c r="E2832" s="78"/>
    </row>
    <row r="2833" spans="1:5">
      <c r="A2833" s="76" t="s">
        <v>2764</v>
      </c>
      <c r="B2833" s="77"/>
      <c r="C2833" s="78"/>
      <c r="D2833" s="78"/>
      <c r="E2833" s="78"/>
    </row>
    <row r="2834" spans="1:5">
      <c r="A2834" s="76"/>
      <c r="B2834" s="77"/>
      <c r="C2834" s="78"/>
      <c r="D2834" s="78"/>
      <c r="E2834" s="78"/>
    </row>
    <row r="2835" spans="1:5">
      <c r="A2835" s="76" t="s">
        <v>2543</v>
      </c>
      <c r="B2835" s="77" t="s">
        <v>135</v>
      </c>
      <c r="C2835" s="78" t="s">
        <v>136</v>
      </c>
      <c r="D2835" s="78" t="s">
        <v>2534</v>
      </c>
      <c r="E2835" s="78" t="s">
        <v>2535</v>
      </c>
    </row>
    <row r="2836" spans="1:5">
      <c r="A2836" s="76" t="s">
        <v>3226</v>
      </c>
      <c r="B2836" s="77" t="s">
        <v>494</v>
      </c>
      <c r="C2836" s="78">
        <v>5.977e-5</v>
      </c>
      <c r="D2836" s="78">
        <v>9869.81</v>
      </c>
      <c r="E2836" s="78">
        <f>TRUNC(C2836*D2836,2)</f>
        <v>0.58</v>
      </c>
    </row>
    <row r="2837" spans="1:5">
      <c r="A2837" s="76" t="s">
        <v>122</v>
      </c>
      <c r="B2837" s="77"/>
      <c r="C2837" s="78"/>
      <c r="D2837" s="78"/>
      <c r="E2837" s="78">
        <f>SUM(E2836:E2836)</f>
        <v>0.58</v>
      </c>
    </row>
    <row r="2838" spans="1:5">
      <c r="A2838" s="76"/>
      <c r="B2838" s="77"/>
      <c r="C2838" s="78"/>
      <c r="D2838" s="78"/>
      <c r="E2838" s="78"/>
    </row>
    <row r="2839" spans="1:5">
      <c r="A2839" s="76" t="s">
        <v>2538</v>
      </c>
      <c r="B2839" s="77"/>
      <c r="C2839" s="78"/>
      <c r="D2839" s="78"/>
      <c r="E2839" s="78">
        <f>E2837</f>
        <v>0.58</v>
      </c>
    </row>
    <row r="2840" spans="1:5">
      <c r="A2840" s="76" t="s">
        <v>2539</v>
      </c>
      <c r="B2840" s="77"/>
      <c r="C2840" s="78"/>
      <c r="D2840" s="78">
        <v>0</v>
      </c>
      <c r="E2840" s="78">
        <f>TRUNC(D2840*E2839/100,2)</f>
        <v>0</v>
      </c>
    </row>
    <row r="2841" spans="1:5">
      <c r="A2841" s="76" t="s">
        <v>2540</v>
      </c>
      <c r="B2841" s="77"/>
      <c r="C2841" s="78"/>
      <c r="D2841" s="78"/>
      <c r="E2841" s="78">
        <f>E2839+E2840</f>
        <v>0.58</v>
      </c>
    </row>
    <row r="2842" spans="1:5">
      <c r="A2842" s="76"/>
      <c r="B2842" s="77"/>
      <c r="C2842" s="78"/>
      <c r="D2842" s="78"/>
      <c r="E2842" s="78"/>
    </row>
    <row r="2843" spans="1:5">
      <c r="A2843" s="76" t="s">
        <v>3092</v>
      </c>
      <c r="B2843" s="77" t="s">
        <v>3231</v>
      </c>
      <c r="C2843" s="78"/>
      <c r="D2843" s="78"/>
      <c r="E2843" s="78"/>
    </row>
    <row r="2844" ht="25.5" spans="1:5">
      <c r="A2844" s="76" t="s">
        <v>3232</v>
      </c>
      <c r="B2844" s="77"/>
      <c r="C2844" s="78"/>
      <c r="D2844" s="78"/>
      <c r="E2844" s="78"/>
    </row>
    <row r="2845" spans="1:5">
      <c r="A2845" s="76" t="s">
        <v>3085</v>
      </c>
      <c r="B2845" s="77"/>
      <c r="C2845" s="78"/>
      <c r="D2845" s="78"/>
      <c r="E2845" s="78"/>
    </row>
    <row r="2846" spans="1:5">
      <c r="A2846" s="76"/>
      <c r="B2846" s="77"/>
      <c r="C2846" s="78"/>
      <c r="D2846" s="78"/>
      <c r="E2846" s="78"/>
    </row>
    <row r="2847" spans="1:5">
      <c r="A2847" s="76" t="s">
        <v>2543</v>
      </c>
      <c r="B2847" s="77" t="s">
        <v>135</v>
      </c>
      <c r="C2847" s="78" t="s">
        <v>136</v>
      </c>
      <c r="D2847" s="78" t="s">
        <v>2534</v>
      </c>
      <c r="E2847" s="78" t="s">
        <v>2535</v>
      </c>
    </row>
    <row r="2848" ht="25.5" spans="1:5">
      <c r="A2848" s="76" t="s">
        <v>3233</v>
      </c>
      <c r="B2848" s="77" t="s">
        <v>839</v>
      </c>
      <c r="C2848" s="78">
        <v>1</v>
      </c>
      <c r="D2848" s="78">
        <v>0.07</v>
      </c>
      <c r="E2848" s="78">
        <f>TRUNC(C2848*D2848,2)</f>
        <v>0.07</v>
      </c>
    </row>
    <row r="2849" ht="25.5" spans="1:5">
      <c r="A2849" s="76" t="s">
        <v>3234</v>
      </c>
      <c r="B2849" s="77" t="s">
        <v>839</v>
      </c>
      <c r="C2849" s="78">
        <v>1</v>
      </c>
      <c r="D2849" s="78">
        <v>0.89</v>
      </c>
      <c r="E2849" s="78">
        <f>TRUNC(C2849*D2849,2)</f>
        <v>0.89</v>
      </c>
    </row>
    <row r="2850" ht="25.5" spans="1:5">
      <c r="A2850" s="76" t="s">
        <v>3235</v>
      </c>
      <c r="B2850" s="77" t="s">
        <v>839</v>
      </c>
      <c r="C2850" s="78">
        <v>1</v>
      </c>
      <c r="D2850" s="78">
        <v>0.32</v>
      </c>
      <c r="E2850" s="78">
        <f>TRUNC(C2850*D2850,2)</f>
        <v>0.32</v>
      </c>
    </row>
    <row r="2851" ht="25.5" spans="1:5">
      <c r="A2851" s="76" t="s">
        <v>3236</v>
      </c>
      <c r="B2851" s="77" t="s">
        <v>839</v>
      </c>
      <c r="C2851" s="78">
        <v>1</v>
      </c>
      <c r="D2851" s="78">
        <v>0.39</v>
      </c>
      <c r="E2851" s="78">
        <f>TRUNC(C2851*D2851,2)</f>
        <v>0.39</v>
      </c>
    </row>
    <row r="2852" spans="1:5">
      <c r="A2852" s="76" t="s">
        <v>122</v>
      </c>
      <c r="B2852" s="77"/>
      <c r="C2852" s="78"/>
      <c r="D2852" s="78"/>
      <c r="E2852" s="78">
        <f>SUM(E2848:E2851)</f>
        <v>1.67</v>
      </c>
    </row>
    <row r="2853" spans="1:5">
      <c r="A2853" s="76"/>
      <c r="B2853" s="77"/>
      <c r="C2853" s="78"/>
      <c r="D2853" s="78"/>
      <c r="E2853" s="78"/>
    </row>
    <row r="2854" spans="1:5">
      <c r="A2854" s="76" t="s">
        <v>2538</v>
      </c>
      <c r="B2854" s="77"/>
      <c r="C2854" s="78"/>
      <c r="D2854" s="78"/>
      <c r="E2854" s="78">
        <f>E2852</f>
        <v>1.67</v>
      </c>
    </row>
    <row r="2855" spans="1:5">
      <c r="A2855" s="76" t="s">
        <v>2539</v>
      </c>
      <c r="B2855" s="77"/>
      <c r="C2855" s="78"/>
      <c r="D2855" s="78">
        <v>0</v>
      </c>
      <c r="E2855" s="78">
        <f>TRUNC(D2855*E2854/100,2)</f>
        <v>0</v>
      </c>
    </row>
    <row r="2856" spans="1:5">
      <c r="A2856" s="76" t="s">
        <v>2540</v>
      </c>
      <c r="B2856" s="77"/>
      <c r="C2856" s="78"/>
      <c r="D2856" s="78"/>
      <c r="E2856" s="78">
        <f>E2854+E2855</f>
        <v>1.67</v>
      </c>
    </row>
    <row r="2857" spans="1:5">
      <c r="A2857" s="76"/>
      <c r="B2857" s="77"/>
      <c r="C2857" s="78"/>
      <c r="D2857" s="78"/>
      <c r="E2857" s="78"/>
    </row>
    <row r="2858" spans="1:5">
      <c r="A2858" s="76" t="s">
        <v>3092</v>
      </c>
      <c r="B2858" s="77" t="s">
        <v>3237</v>
      </c>
      <c r="C2858" s="78"/>
      <c r="D2858" s="78"/>
      <c r="E2858" s="78"/>
    </row>
    <row r="2859" spans="1:5">
      <c r="A2859" s="76" t="s">
        <v>3238</v>
      </c>
      <c r="B2859" s="77"/>
      <c r="C2859" s="78"/>
      <c r="D2859" s="78"/>
      <c r="E2859" s="78"/>
    </row>
    <row r="2860" spans="1:5">
      <c r="A2860" s="76" t="s">
        <v>2764</v>
      </c>
      <c r="B2860" s="77"/>
      <c r="C2860" s="78"/>
      <c r="D2860" s="78"/>
      <c r="E2860" s="78"/>
    </row>
    <row r="2861" spans="1:5">
      <c r="A2861" s="76"/>
      <c r="B2861" s="77"/>
      <c r="C2861" s="78"/>
      <c r="D2861" s="78"/>
      <c r="E2861" s="78"/>
    </row>
    <row r="2862" spans="1:5">
      <c r="A2862" s="76" t="s">
        <v>2543</v>
      </c>
      <c r="B2862" s="77" t="s">
        <v>135</v>
      </c>
      <c r="C2862" s="78" t="s">
        <v>136</v>
      </c>
      <c r="D2862" s="78" t="s">
        <v>2534</v>
      </c>
      <c r="E2862" s="78" t="s">
        <v>2535</v>
      </c>
    </row>
    <row r="2863" ht="25.5" spans="1:5">
      <c r="A2863" s="76" t="s">
        <v>3239</v>
      </c>
      <c r="B2863" s="77" t="s">
        <v>494</v>
      </c>
      <c r="C2863" s="78">
        <v>1.423e-5</v>
      </c>
      <c r="D2863" s="78">
        <v>5619.73</v>
      </c>
      <c r="E2863" s="78">
        <f>TRUNC(C2863*D2863,2)</f>
        <v>0.07</v>
      </c>
    </row>
    <row r="2864" spans="1:5">
      <c r="A2864" s="76" t="s">
        <v>122</v>
      </c>
      <c r="B2864" s="77"/>
      <c r="C2864" s="78"/>
      <c r="D2864" s="78"/>
      <c r="E2864" s="78">
        <f>SUM(E2863:E2863)</f>
        <v>0.07</v>
      </c>
    </row>
    <row r="2865" spans="1:5">
      <c r="A2865" s="76"/>
      <c r="B2865" s="77"/>
      <c r="C2865" s="78"/>
      <c r="D2865" s="78"/>
      <c r="E2865" s="78"/>
    </row>
    <row r="2866" spans="1:5">
      <c r="A2866" s="76" t="s">
        <v>2538</v>
      </c>
      <c r="B2866" s="77"/>
      <c r="C2866" s="78"/>
      <c r="D2866" s="78"/>
      <c r="E2866" s="78">
        <f>E2864</f>
        <v>0.07</v>
      </c>
    </row>
    <row r="2867" spans="1:5">
      <c r="A2867" s="76" t="s">
        <v>2539</v>
      </c>
      <c r="B2867" s="77"/>
      <c r="C2867" s="78"/>
      <c r="D2867" s="78">
        <v>0</v>
      </c>
      <c r="E2867" s="78">
        <f>TRUNC(D2867*E2866/100,2)</f>
        <v>0</v>
      </c>
    </row>
    <row r="2868" spans="1:5">
      <c r="A2868" s="76" t="s">
        <v>2540</v>
      </c>
      <c r="B2868" s="77"/>
      <c r="C2868" s="78"/>
      <c r="D2868" s="78"/>
      <c r="E2868" s="78">
        <f>E2866+E2867</f>
        <v>0.07</v>
      </c>
    </row>
    <row r="2869" spans="1:5">
      <c r="A2869" s="76"/>
      <c r="B2869" s="77"/>
      <c r="C2869" s="78"/>
      <c r="D2869" s="78"/>
      <c r="E2869" s="78"/>
    </row>
    <row r="2870" spans="1:5">
      <c r="A2870" s="76" t="s">
        <v>3092</v>
      </c>
      <c r="B2870" s="77" t="s">
        <v>3240</v>
      </c>
      <c r="C2870" s="78"/>
      <c r="D2870" s="78"/>
      <c r="E2870" s="78"/>
    </row>
    <row r="2871" ht="25.5" spans="1:5">
      <c r="A2871" s="76" t="s">
        <v>3241</v>
      </c>
      <c r="B2871" s="77"/>
      <c r="C2871" s="78"/>
      <c r="D2871" s="78"/>
      <c r="E2871" s="78"/>
    </row>
    <row r="2872" spans="1:5">
      <c r="A2872" s="76" t="s">
        <v>2764</v>
      </c>
      <c r="B2872" s="77"/>
      <c r="C2872" s="78"/>
      <c r="D2872" s="78"/>
      <c r="E2872" s="78"/>
    </row>
    <row r="2873" spans="1:5">
      <c r="A2873" s="76"/>
      <c r="B2873" s="77"/>
      <c r="C2873" s="78"/>
      <c r="D2873" s="78"/>
      <c r="E2873" s="78"/>
    </row>
    <row r="2874" spans="1:5">
      <c r="A2874" s="76" t="s">
        <v>2543</v>
      </c>
      <c r="B2874" s="77" t="s">
        <v>135</v>
      </c>
      <c r="C2874" s="78" t="s">
        <v>136</v>
      </c>
      <c r="D2874" s="78" t="s">
        <v>2534</v>
      </c>
      <c r="E2874" s="78" t="s">
        <v>2535</v>
      </c>
    </row>
    <row r="2875" spans="1:5">
      <c r="A2875" s="76" t="s">
        <v>3242</v>
      </c>
      <c r="B2875" s="77" t="s">
        <v>1695</v>
      </c>
      <c r="C2875" s="78">
        <v>1.2495</v>
      </c>
      <c r="D2875" s="78">
        <v>0.72</v>
      </c>
      <c r="E2875" s="78">
        <f>TRUNC(C2875*D2875,2)</f>
        <v>0.89</v>
      </c>
    </row>
    <row r="2876" spans="1:5">
      <c r="A2876" s="76" t="s">
        <v>122</v>
      </c>
      <c r="B2876" s="77"/>
      <c r="C2876" s="78"/>
      <c r="D2876" s="78"/>
      <c r="E2876" s="78">
        <f>SUM(E2875:E2875)</f>
        <v>0.89</v>
      </c>
    </row>
    <row r="2877" spans="1:5">
      <c r="A2877" s="76"/>
      <c r="B2877" s="77"/>
      <c r="C2877" s="78"/>
      <c r="D2877" s="78"/>
      <c r="E2877" s="78"/>
    </row>
    <row r="2878" spans="1:5">
      <c r="A2878" s="76" t="s">
        <v>2538</v>
      </c>
      <c r="B2878" s="77"/>
      <c r="C2878" s="78"/>
      <c r="D2878" s="78"/>
      <c r="E2878" s="78">
        <f>E2876</f>
        <v>0.89</v>
      </c>
    </row>
    <row r="2879" spans="1:5">
      <c r="A2879" s="76" t="s">
        <v>2539</v>
      </c>
      <c r="B2879" s="77"/>
      <c r="C2879" s="78"/>
      <c r="D2879" s="78">
        <v>0</v>
      </c>
      <c r="E2879" s="78">
        <f>TRUNC(D2879*E2878/100,2)</f>
        <v>0</v>
      </c>
    </row>
    <row r="2880" spans="1:5">
      <c r="A2880" s="76" t="s">
        <v>2540</v>
      </c>
      <c r="B2880" s="77"/>
      <c r="C2880" s="78"/>
      <c r="D2880" s="78"/>
      <c r="E2880" s="78">
        <f>E2878+E2879</f>
        <v>0.89</v>
      </c>
    </row>
    <row r="2881" spans="1:5">
      <c r="A2881" s="76"/>
      <c r="B2881" s="77"/>
      <c r="C2881" s="78"/>
      <c r="D2881" s="78"/>
      <c r="E2881" s="78"/>
    </row>
    <row r="2882" spans="1:5">
      <c r="A2882" s="76" t="s">
        <v>3092</v>
      </c>
      <c r="B2882" s="77" t="s">
        <v>3243</v>
      </c>
      <c r="C2882" s="78"/>
      <c r="D2882" s="78"/>
      <c r="E2882" s="78"/>
    </row>
    <row r="2883" spans="1:5">
      <c r="A2883" s="76" t="s">
        <v>3244</v>
      </c>
      <c r="B2883" s="77"/>
      <c r="C2883" s="78"/>
      <c r="D2883" s="78"/>
      <c r="E2883" s="78"/>
    </row>
    <row r="2884" spans="1:5">
      <c r="A2884" s="76" t="s">
        <v>2764</v>
      </c>
      <c r="B2884" s="77"/>
      <c r="C2884" s="78"/>
      <c r="D2884" s="78"/>
      <c r="E2884" s="78"/>
    </row>
    <row r="2885" spans="1:5">
      <c r="A2885" s="76"/>
      <c r="B2885" s="77"/>
      <c r="C2885" s="78"/>
      <c r="D2885" s="78"/>
      <c r="E2885" s="78"/>
    </row>
    <row r="2886" spans="1:5">
      <c r="A2886" s="76" t="s">
        <v>2543</v>
      </c>
      <c r="B2886" s="77" t="s">
        <v>135</v>
      </c>
      <c r="C2886" s="78" t="s">
        <v>136</v>
      </c>
      <c r="D2886" s="78" t="s">
        <v>2534</v>
      </c>
      <c r="E2886" s="78" t="s">
        <v>2535</v>
      </c>
    </row>
    <row r="2887" ht="25.5" spans="1:5">
      <c r="A2887" s="76" t="s">
        <v>3239</v>
      </c>
      <c r="B2887" s="77" t="s">
        <v>494</v>
      </c>
      <c r="C2887" s="78">
        <v>5.872e-5</v>
      </c>
      <c r="D2887" s="78">
        <v>5619.73</v>
      </c>
      <c r="E2887" s="78">
        <f>TRUNC(C2887*D2887,2)</f>
        <v>0.32</v>
      </c>
    </row>
    <row r="2888" spans="1:5">
      <c r="A2888" s="76" t="s">
        <v>122</v>
      </c>
      <c r="B2888" s="77"/>
      <c r="C2888" s="78"/>
      <c r="D2888" s="78"/>
      <c r="E2888" s="78">
        <f>SUM(E2887:E2887)</f>
        <v>0.32</v>
      </c>
    </row>
    <row r="2889" spans="1:5">
      <c r="A2889" s="76"/>
      <c r="B2889" s="77"/>
      <c r="C2889" s="78"/>
      <c r="D2889" s="78"/>
      <c r="E2889" s="78"/>
    </row>
    <row r="2890" spans="1:5">
      <c r="A2890" s="76" t="s">
        <v>2538</v>
      </c>
      <c r="B2890" s="77"/>
      <c r="C2890" s="78"/>
      <c r="D2890" s="78"/>
      <c r="E2890" s="78">
        <f>E2888</f>
        <v>0.32</v>
      </c>
    </row>
    <row r="2891" spans="1:5">
      <c r="A2891" s="76" t="s">
        <v>2539</v>
      </c>
      <c r="B2891" s="77"/>
      <c r="C2891" s="78"/>
      <c r="D2891" s="78">
        <v>0</v>
      </c>
      <c r="E2891" s="78">
        <f>TRUNC(D2891*E2890/100,2)</f>
        <v>0</v>
      </c>
    </row>
    <row r="2892" spans="1:5">
      <c r="A2892" s="76" t="s">
        <v>2540</v>
      </c>
      <c r="B2892" s="77"/>
      <c r="C2892" s="78"/>
      <c r="D2892" s="78"/>
      <c r="E2892" s="78">
        <f>E2890+E2891</f>
        <v>0.32</v>
      </c>
    </row>
    <row r="2893" spans="1:5">
      <c r="A2893" s="76"/>
      <c r="B2893" s="77"/>
      <c r="C2893" s="78"/>
      <c r="D2893" s="78"/>
      <c r="E2893" s="78"/>
    </row>
    <row r="2894" spans="1:5">
      <c r="A2894" s="76" t="s">
        <v>3092</v>
      </c>
      <c r="B2894" s="77" t="s">
        <v>3245</v>
      </c>
      <c r="C2894" s="78"/>
      <c r="D2894" s="78"/>
      <c r="E2894" s="78"/>
    </row>
    <row r="2895" ht="25.5" spans="1:5">
      <c r="A2895" s="76" t="s">
        <v>3246</v>
      </c>
      <c r="B2895" s="77"/>
      <c r="C2895" s="78"/>
      <c r="D2895" s="78"/>
      <c r="E2895" s="78"/>
    </row>
    <row r="2896" spans="1:5">
      <c r="A2896" s="76" t="s">
        <v>2764</v>
      </c>
      <c r="B2896" s="77"/>
      <c r="C2896" s="78"/>
      <c r="D2896" s="78"/>
      <c r="E2896" s="78"/>
    </row>
    <row r="2897" spans="1:5">
      <c r="A2897" s="76"/>
      <c r="B2897" s="77"/>
      <c r="C2897" s="78"/>
      <c r="D2897" s="78"/>
      <c r="E2897" s="78"/>
    </row>
    <row r="2898" spans="1:5">
      <c r="A2898" s="76" t="s">
        <v>2543</v>
      </c>
      <c r="B2898" s="77" t="s">
        <v>135</v>
      </c>
      <c r="C2898" s="78" t="s">
        <v>136</v>
      </c>
      <c r="D2898" s="78" t="s">
        <v>2534</v>
      </c>
      <c r="E2898" s="78" t="s">
        <v>2535</v>
      </c>
    </row>
    <row r="2899" ht="25.5" spans="1:5">
      <c r="A2899" s="76" t="s">
        <v>3239</v>
      </c>
      <c r="B2899" s="77" t="s">
        <v>494</v>
      </c>
      <c r="C2899" s="78">
        <v>7.117e-5</v>
      </c>
      <c r="D2899" s="78">
        <v>5619.73</v>
      </c>
      <c r="E2899" s="78">
        <f>TRUNC(C2899*D2899,2)</f>
        <v>0.39</v>
      </c>
    </row>
    <row r="2900" spans="1:5">
      <c r="A2900" s="76" t="s">
        <v>122</v>
      </c>
      <c r="B2900" s="77"/>
      <c r="C2900" s="78"/>
      <c r="D2900" s="78"/>
      <c r="E2900" s="78">
        <f>SUM(E2899:E2899)</f>
        <v>0.39</v>
      </c>
    </row>
    <row r="2901" spans="1:5">
      <c r="A2901" s="76"/>
      <c r="B2901" s="77"/>
      <c r="C2901" s="78"/>
      <c r="D2901" s="78"/>
      <c r="E2901" s="78"/>
    </row>
    <row r="2902" spans="1:5">
      <c r="A2902" s="76" t="s">
        <v>2538</v>
      </c>
      <c r="B2902" s="77"/>
      <c r="C2902" s="78"/>
      <c r="D2902" s="78"/>
      <c r="E2902" s="78">
        <f>E2900</f>
        <v>0.39</v>
      </c>
    </row>
    <row r="2903" spans="1:5">
      <c r="A2903" s="76" t="s">
        <v>2539</v>
      </c>
      <c r="B2903" s="77"/>
      <c r="C2903" s="78"/>
      <c r="D2903" s="78">
        <v>0</v>
      </c>
      <c r="E2903" s="78">
        <f>TRUNC(D2903*E2902/100,2)</f>
        <v>0</v>
      </c>
    </row>
    <row r="2904" spans="1:5">
      <c r="A2904" s="76" t="s">
        <v>2540</v>
      </c>
      <c r="B2904" s="77"/>
      <c r="C2904" s="78"/>
      <c r="D2904" s="78"/>
      <c r="E2904" s="78">
        <f>E2902+E2903</f>
        <v>0.39</v>
      </c>
    </row>
    <row r="2905" spans="1:5">
      <c r="A2905" s="76"/>
      <c r="B2905" s="77"/>
      <c r="C2905" s="78"/>
      <c r="D2905" s="78"/>
      <c r="E2905" s="78"/>
    </row>
    <row r="2906" spans="1:5">
      <c r="A2906" s="76" t="s">
        <v>3092</v>
      </c>
      <c r="B2906" s="77" t="s">
        <v>3247</v>
      </c>
      <c r="C2906" s="78"/>
      <c r="D2906" s="78"/>
      <c r="E2906" s="78"/>
    </row>
    <row r="2907" spans="1:5">
      <c r="A2907" s="76" t="s">
        <v>3248</v>
      </c>
      <c r="B2907" s="77"/>
      <c r="C2907" s="78"/>
      <c r="D2907" s="78"/>
      <c r="E2907" s="78"/>
    </row>
    <row r="2908" spans="1:5">
      <c r="A2908" s="76" t="s">
        <v>3085</v>
      </c>
      <c r="B2908" s="77"/>
      <c r="C2908" s="78"/>
      <c r="D2908" s="78"/>
      <c r="E2908" s="78"/>
    </row>
    <row r="2909" spans="1:5">
      <c r="A2909" s="76"/>
      <c r="B2909" s="77"/>
      <c r="C2909" s="78"/>
      <c r="D2909" s="78"/>
      <c r="E2909" s="78"/>
    </row>
    <row r="2910" spans="1:5">
      <c r="A2910" s="76" t="s">
        <v>2543</v>
      </c>
      <c r="B2910" s="77" t="s">
        <v>135</v>
      </c>
      <c r="C2910" s="78" t="s">
        <v>136</v>
      </c>
      <c r="D2910" s="78" t="s">
        <v>2534</v>
      </c>
      <c r="E2910" s="78" t="s">
        <v>2535</v>
      </c>
    </row>
    <row r="2911" spans="1:5">
      <c r="A2911" s="76" t="s">
        <v>3249</v>
      </c>
      <c r="B2911" s="77" t="s">
        <v>839</v>
      </c>
      <c r="C2911" s="78">
        <v>1</v>
      </c>
      <c r="D2911" s="78">
        <v>0.12</v>
      </c>
      <c r="E2911" s="78">
        <f>TRUNC(C2911*D2911,2)</f>
        <v>0.12</v>
      </c>
    </row>
    <row r="2912" spans="1:5">
      <c r="A2912" s="76" t="s">
        <v>3250</v>
      </c>
      <c r="B2912" s="77" t="s">
        <v>839</v>
      </c>
      <c r="C2912" s="78">
        <v>1</v>
      </c>
      <c r="D2912" s="78">
        <v>0.43</v>
      </c>
      <c r="E2912" s="78">
        <f>TRUNC(C2912*D2912,2)</f>
        <v>0.43</v>
      </c>
    </row>
    <row r="2913" spans="1:5">
      <c r="A2913" s="76" t="s">
        <v>3251</v>
      </c>
      <c r="B2913" s="77" t="s">
        <v>839</v>
      </c>
      <c r="C2913" s="78">
        <v>1</v>
      </c>
      <c r="D2913" s="78">
        <v>0.55</v>
      </c>
      <c r="E2913" s="78">
        <f>TRUNC(C2913*D2913,2)</f>
        <v>0.55</v>
      </c>
    </row>
    <row r="2914" spans="1:5">
      <c r="A2914" s="76" t="s">
        <v>122</v>
      </c>
      <c r="B2914" s="77"/>
      <c r="C2914" s="78"/>
      <c r="D2914" s="78"/>
      <c r="E2914" s="78">
        <f>SUM(E2911:E2913)</f>
        <v>1.1</v>
      </c>
    </row>
    <row r="2915" spans="1:5">
      <c r="A2915" s="76"/>
      <c r="B2915" s="77"/>
      <c r="C2915" s="78"/>
      <c r="D2915" s="78"/>
      <c r="E2915" s="78"/>
    </row>
    <row r="2916" spans="1:5">
      <c r="A2916" s="76" t="s">
        <v>2538</v>
      </c>
      <c r="B2916" s="77"/>
      <c r="C2916" s="78"/>
      <c r="D2916" s="78"/>
      <c r="E2916" s="78">
        <f>E2914</f>
        <v>1.1</v>
      </c>
    </row>
    <row r="2917" spans="1:5">
      <c r="A2917" s="76" t="s">
        <v>2539</v>
      </c>
      <c r="B2917" s="77"/>
      <c r="C2917" s="78"/>
      <c r="D2917" s="78">
        <v>0</v>
      </c>
      <c r="E2917" s="78">
        <f>TRUNC(D2917*E2916/100,2)</f>
        <v>0</v>
      </c>
    </row>
    <row r="2918" spans="1:5">
      <c r="A2918" s="76" t="s">
        <v>2540</v>
      </c>
      <c r="B2918" s="77"/>
      <c r="C2918" s="78"/>
      <c r="D2918" s="78"/>
      <c r="E2918" s="78">
        <f>E2916+E2917</f>
        <v>1.1</v>
      </c>
    </row>
    <row r="2919" spans="1:5">
      <c r="A2919" s="76"/>
      <c r="B2919" s="77"/>
      <c r="C2919" s="78"/>
      <c r="D2919" s="78"/>
      <c r="E2919" s="78"/>
    </row>
    <row r="2920" spans="1:5">
      <c r="A2920" s="76" t="s">
        <v>3092</v>
      </c>
      <c r="B2920" s="77" t="s">
        <v>3252</v>
      </c>
      <c r="C2920" s="78"/>
      <c r="D2920" s="78"/>
      <c r="E2920" s="78"/>
    </row>
    <row r="2921" spans="1:5">
      <c r="A2921" s="76" t="s">
        <v>3253</v>
      </c>
      <c r="B2921" s="77"/>
      <c r="C2921" s="78"/>
      <c r="D2921" s="78"/>
      <c r="E2921" s="78"/>
    </row>
    <row r="2922" spans="1:5">
      <c r="A2922" s="76" t="s">
        <v>2764</v>
      </c>
      <c r="B2922" s="77"/>
      <c r="C2922" s="78"/>
      <c r="D2922" s="78"/>
      <c r="E2922" s="78"/>
    </row>
    <row r="2923" spans="1:5">
      <c r="A2923" s="76"/>
      <c r="B2923" s="77"/>
      <c r="C2923" s="78"/>
      <c r="D2923" s="78"/>
      <c r="E2923" s="78"/>
    </row>
    <row r="2924" spans="1:5">
      <c r="A2924" s="76" t="s">
        <v>2543</v>
      </c>
      <c r="B2924" s="77" t="s">
        <v>135</v>
      </c>
      <c r="C2924" s="78" t="s">
        <v>136</v>
      </c>
      <c r="D2924" s="78" t="s">
        <v>2534</v>
      </c>
      <c r="E2924" s="78" t="s">
        <v>2535</v>
      </c>
    </row>
    <row r="2925" spans="1:5">
      <c r="A2925" s="76" t="s">
        <v>3254</v>
      </c>
      <c r="B2925" s="77" t="s">
        <v>494</v>
      </c>
      <c r="C2925" s="78">
        <v>1.471e-5</v>
      </c>
      <c r="D2925" s="78">
        <v>8835.36</v>
      </c>
      <c r="E2925" s="78">
        <f>TRUNC(C2925*D2925,2)</f>
        <v>0.12</v>
      </c>
    </row>
    <row r="2926" spans="1:5">
      <c r="A2926" s="76" t="s">
        <v>122</v>
      </c>
      <c r="B2926" s="77"/>
      <c r="C2926" s="78"/>
      <c r="D2926" s="78"/>
      <c r="E2926" s="78">
        <f>SUM(E2925:E2925)</f>
        <v>0.12</v>
      </c>
    </row>
    <row r="2927" spans="1:5">
      <c r="A2927" s="76"/>
      <c r="B2927" s="77"/>
      <c r="C2927" s="78"/>
      <c r="D2927" s="78"/>
      <c r="E2927" s="78"/>
    </row>
    <row r="2928" spans="1:5">
      <c r="A2928" s="76" t="s">
        <v>2538</v>
      </c>
      <c r="B2928" s="77"/>
      <c r="C2928" s="78"/>
      <c r="D2928" s="78"/>
      <c r="E2928" s="78">
        <f>E2926</f>
        <v>0.12</v>
      </c>
    </row>
    <row r="2929" spans="1:5">
      <c r="A2929" s="76" t="s">
        <v>2539</v>
      </c>
      <c r="B2929" s="77"/>
      <c r="C2929" s="78"/>
      <c r="D2929" s="78">
        <v>0</v>
      </c>
      <c r="E2929" s="78">
        <f>TRUNC(D2929*E2928/100,2)</f>
        <v>0</v>
      </c>
    </row>
    <row r="2930" spans="1:5">
      <c r="A2930" s="76" t="s">
        <v>2540</v>
      </c>
      <c r="B2930" s="77"/>
      <c r="C2930" s="78"/>
      <c r="D2930" s="78"/>
      <c r="E2930" s="78">
        <f>E2928+E2929</f>
        <v>0.12</v>
      </c>
    </row>
    <row r="2931" spans="1:5">
      <c r="A2931" s="76"/>
      <c r="B2931" s="77"/>
      <c r="C2931" s="78"/>
      <c r="D2931" s="78"/>
      <c r="E2931" s="78"/>
    </row>
    <row r="2932" spans="1:5">
      <c r="A2932" s="76" t="s">
        <v>3092</v>
      </c>
      <c r="B2932" s="77" t="s">
        <v>3255</v>
      </c>
      <c r="C2932" s="78"/>
      <c r="D2932" s="78"/>
      <c r="E2932" s="78"/>
    </row>
    <row r="2933" spans="1:5">
      <c r="A2933" s="76" t="s">
        <v>3256</v>
      </c>
      <c r="B2933" s="77"/>
      <c r="C2933" s="78"/>
      <c r="D2933" s="78"/>
      <c r="E2933" s="78"/>
    </row>
    <row r="2934" spans="1:5">
      <c r="A2934" s="76" t="s">
        <v>2764</v>
      </c>
      <c r="B2934" s="77"/>
      <c r="C2934" s="78"/>
      <c r="D2934" s="78"/>
      <c r="E2934" s="78"/>
    </row>
    <row r="2935" spans="1:5">
      <c r="A2935" s="76"/>
      <c r="B2935" s="77"/>
      <c r="C2935" s="78"/>
      <c r="D2935" s="78"/>
      <c r="E2935" s="78"/>
    </row>
    <row r="2936" spans="1:5">
      <c r="A2936" s="76" t="s">
        <v>2543</v>
      </c>
      <c r="B2936" s="77" t="s">
        <v>135</v>
      </c>
      <c r="C2936" s="78" t="s">
        <v>136</v>
      </c>
      <c r="D2936" s="78" t="s">
        <v>2534</v>
      </c>
      <c r="E2936" s="78" t="s">
        <v>2535</v>
      </c>
    </row>
    <row r="2937" spans="1:5">
      <c r="A2937" s="76" t="s">
        <v>3254</v>
      </c>
      <c r="B2937" s="77" t="s">
        <v>494</v>
      </c>
      <c r="C2937" s="78">
        <v>4.979e-5</v>
      </c>
      <c r="D2937" s="78">
        <v>8835.36</v>
      </c>
      <c r="E2937" s="78">
        <f>TRUNC(C2937*D2937,2)</f>
        <v>0.43</v>
      </c>
    </row>
    <row r="2938" spans="1:5">
      <c r="A2938" s="76" t="s">
        <v>122</v>
      </c>
      <c r="B2938" s="77"/>
      <c r="C2938" s="78"/>
      <c r="D2938" s="78"/>
      <c r="E2938" s="78">
        <f>SUM(E2937:E2937)</f>
        <v>0.43</v>
      </c>
    </row>
    <row r="2939" spans="1:5">
      <c r="A2939" s="76"/>
      <c r="B2939" s="77"/>
      <c r="C2939" s="78"/>
      <c r="D2939" s="78"/>
      <c r="E2939" s="78"/>
    </row>
    <row r="2940" spans="1:5">
      <c r="A2940" s="76" t="s">
        <v>2538</v>
      </c>
      <c r="B2940" s="77"/>
      <c r="C2940" s="78"/>
      <c r="D2940" s="78"/>
      <c r="E2940" s="78">
        <f>E2938</f>
        <v>0.43</v>
      </c>
    </row>
    <row r="2941" spans="1:5">
      <c r="A2941" s="76" t="s">
        <v>2539</v>
      </c>
      <c r="B2941" s="77"/>
      <c r="C2941" s="78"/>
      <c r="D2941" s="78">
        <v>0</v>
      </c>
      <c r="E2941" s="78">
        <f>TRUNC(D2941*E2940/100,2)</f>
        <v>0</v>
      </c>
    </row>
    <row r="2942" spans="1:5">
      <c r="A2942" s="76" t="s">
        <v>2540</v>
      </c>
      <c r="B2942" s="77"/>
      <c r="C2942" s="78"/>
      <c r="D2942" s="78"/>
      <c r="E2942" s="78">
        <f>E2940+E2941</f>
        <v>0.43</v>
      </c>
    </row>
    <row r="2943" spans="1:5">
      <c r="A2943" s="76"/>
      <c r="B2943" s="77"/>
      <c r="C2943" s="78"/>
      <c r="D2943" s="78"/>
      <c r="E2943" s="78"/>
    </row>
    <row r="2944" spans="1:5">
      <c r="A2944" s="76" t="s">
        <v>3092</v>
      </c>
      <c r="B2944" s="77" t="s">
        <v>3257</v>
      </c>
      <c r="C2944" s="78"/>
      <c r="D2944" s="78"/>
      <c r="E2944" s="78"/>
    </row>
    <row r="2945" spans="1:5">
      <c r="A2945" s="76" t="s">
        <v>3258</v>
      </c>
      <c r="B2945" s="77"/>
      <c r="C2945" s="78"/>
      <c r="D2945" s="78"/>
      <c r="E2945" s="78"/>
    </row>
    <row r="2946" spans="1:5">
      <c r="A2946" s="76" t="s">
        <v>2764</v>
      </c>
      <c r="B2946" s="77"/>
      <c r="C2946" s="78"/>
      <c r="D2946" s="78"/>
      <c r="E2946" s="78"/>
    </row>
    <row r="2947" spans="1:5">
      <c r="A2947" s="76"/>
      <c r="B2947" s="77"/>
      <c r="C2947" s="78"/>
      <c r="D2947" s="78"/>
      <c r="E2947" s="78"/>
    </row>
    <row r="2948" spans="1:5">
      <c r="A2948" s="76" t="s">
        <v>2543</v>
      </c>
      <c r="B2948" s="77" t="s">
        <v>135</v>
      </c>
      <c r="C2948" s="78" t="s">
        <v>136</v>
      </c>
      <c r="D2948" s="78" t="s">
        <v>2534</v>
      </c>
      <c r="E2948" s="78" t="s">
        <v>2535</v>
      </c>
    </row>
    <row r="2949" spans="1:5">
      <c r="A2949" s="76" t="s">
        <v>3254</v>
      </c>
      <c r="B2949" s="77" t="s">
        <v>494</v>
      </c>
      <c r="C2949" s="78">
        <v>6.338e-5</v>
      </c>
      <c r="D2949" s="78">
        <v>8835.36</v>
      </c>
      <c r="E2949" s="78">
        <f>TRUNC(C2949*D2949,2)</f>
        <v>0.55</v>
      </c>
    </row>
    <row r="2950" spans="1:5">
      <c r="A2950" s="76" t="s">
        <v>122</v>
      </c>
      <c r="B2950" s="77"/>
      <c r="C2950" s="78"/>
      <c r="D2950" s="78"/>
      <c r="E2950" s="78">
        <f>SUM(E2949:E2949)</f>
        <v>0.55</v>
      </c>
    </row>
    <row r="2951" spans="1:5">
      <c r="A2951" s="76"/>
      <c r="B2951" s="77"/>
      <c r="C2951" s="78"/>
      <c r="D2951" s="78"/>
      <c r="E2951" s="78"/>
    </row>
    <row r="2952" spans="1:5">
      <c r="A2952" s="76" t="s">
        <v>2538</v>
      </c>
      <c r="B2952" s="77"/>
      <c r="C2952" s="78"/>
      <c r="D2952" s="78"/>
      <c r="E2952" s="78">
        <f>E2950</f>
        <v>0.55</v>
      </c>
    </row>
    <row r="2953" spans="1:5">
      <c r="A2953" s="76" t="s">
        <v>2539</v>
      </c>
      <c r="B2953" s="77"/>
      <c r="C2953" s="78"/>
      <c r="D2953" s="78">
        <v>0</v>
      </c>
      <c r="E2953" s="78">
        <f>TRUNC(D2953*E2952/100,2)</f>
        <v>0</v>
      </c>
    </row>
    <row r="2954" spans="1:5">
      <c r="A2954" s="76" t="s">
        <v>2540</v>
      </c>
      <c r="B2954" s="77"/>
      <c r="C2954" s="78"/>
      <c r="D2954" s="78"/>
      <c r="E2954" s="78">
        <f>E2952+E2953</f>
        <v>0.55</v>
      </c>
    </row>
    <row r="2955" spans="1:5">
      <c r="A2955" s="76"/>
      <c r="B2955" s="77"/>
      <c r="C2955" s="78"/>
      <c r="D2955" s="78"/>
      <c r="E2955" s="78"/>
    </row>
    <row r="2956" spans="1:5">
      <c r="A2956" s="76" t="s">
        <v>3092</v>
      </c>
      <c r="B2956" s="77" t="s">
        <v>3259</v>
      </c>
      <c r="C2956" s="78"/>
      <c r="D2956" s="78"/>
      <c r="E2956" s="78"/>
    </row>
    <row r="2957" spans="1:5">
      <c r="A2957" s="76" t="s">
        <v>3260</v>
      </c>
      <c r="B2957" s="77"/>
      <c r="C2957" s="78"/>
      <c r="D2957" s="78"/>
      <c r="E2957" s="78"/>
    </row>
    <row r="2958" spans="1:5">
      <c r="A2958" s="76" t="s">
        <v>3085</v>
      </c>
      <c r="B2958" s="77"/>
      <c r="C2958" s="78"/>
      <c r="D2958" s="78"/>
      <c r="E2958" s="78"/>
    </row>
    <row r="2959" spans="1:5">
      <c r="A2959" s="76"/>
      <c r="B2959" s="77"/>
      <c r="C2959" s="78"/>
      <c r="D2959" s="78"/>
      <c r="E2959" s="78"/>
    </row>
    <row r="2960" spans="1:5">
      <c r="A2960" s="76" t="s">
        <v>2543</v>
      </c>
      <c r="B2960" s="77" t="s">
        <v>135</v>
      </c>
      <c r="C2960" s="78" t="s">
        <v>136</v>
      </c>
      <c r="D2960" s="78" t="s">
        <v>2534</v>
      </c>
      <c r="E2960" s="78" t="s">
        <v>2535</v>
      </c>
    </row>
    <row r="2961" ht="25.5" spans="1:5">
      <c r="A2961" s="76" t="s">
        <v>3261</v>
      </c>
      <c r="B2961" s="77" t="s">
        <v>839</v>
      </c>
      <c r="C2961" s="78">
        <v>1</v>
      </c>
      <c r="D2961" s="78">
        <v>0.25</v>
      </c>
      <c r="E2961" s="78">
        <f>TRUNC(C2961*D2961,2)</f>
        <v>0.25</v>
      </c>
    </row>
    <row r="2962" spans="1:5">
      <c r="A2962" s="76" t="s">
        <v>3262</v>
      </c>
      <c r="B2962" s="77" t="s">
        <v>839</v>
      </c>
      <c r="C2962" s="78">
        <v>1</v>
      </c>
      <c r="D2962" s="78">
        <v>0.05</v>
      </c>
      <c r="E2962" s="78">
        <f>TRUNC(C2962*D2962,2)</f>
        <v>0.05</v>
      </c>
    </row>
    <row r="2963" ht="25.5" spans="1:5">
      <c r="A2963" s="76" t="s">
        <v>3263</v>
      </c>
      <c r="B2963" s="77" t="s">
        <v>839</v>
      </c>
      <c r="C2963" s="78">
        <v>1</v>
      </c>
      <c r="D2963" s="78">
        <v>0.19</v>
      </c>
      <c r="E2963" s="78">
        <f>TRUNC(C2963*D2963,2)</f>
        <v>0.19</v>
      </c>
    </row>
    <row r="2964" spans="1:5">
      <c r="A2964" s="76" t="s">
        <v>122</v>
      </c>
      <c r="B2964" s="77"/>
      <c r="C2964" s="78"/>
      <c r="D2964" s="78"/>
      <c r="E2964" s="78">
        <f>SUM(E2961:E2963)</f>
        <v>0.49</v>
      </c>
    </row>
    <row r="2965" spans="1:5">
      <c r="A2965" s="76"/>
      <c r="B2965" s="77"/>
      <c r="C2965" s="78"/>
      <c r="D2965" s="78"/>
      <c r="E2965" s="78"/>
    </row>
    <row r="2966" spans="1:5">
      <c r="A2966" s="76" t="s">
        <v>2538</v>
      </c>
      <c r="B2966" s="77"/>
      <c r="C2966" s="78"/>
      <c r="D2966" s="78"/>
      <c r="E2966" s="78">
        <f>E2964</f>
        <v>0.49</v>
      </c>
    </row>
    <row r="2967" spans="1:5">
      <c r="A2967" s="76" t="s">
        <v>2539</v>
      </c>
      <c r="B2967" s="77"/>
      <c r="C2967" s="78"/>
      <c r="D2967" s="78">
        <v>0</v>
      </c>
      <c r="E2967" s="78">
        <f>TRUNC(D2967*E2966/100,2)</f>
        <v>0</v>
      </c>
    </row>
    <row r="2968" spans="1:5">
      <c r="A2968" s="76" t="s">
        <v>2540</v>
      </c>
      <c r="B2968" s="77"/>
      <c r="C2968" s="78"/>
      <c r="D2968" s="78"/>
      <c r="E2968" s="78">
        <f>E2966+E2967</f>
        <v>0.49</v>
      </c>
    </row>
    <row r="2969" spans="1:5">
      <c r="A2969" s="76"/>
      <c r="B2969" s="77"/>
      <c r="C2969" s="78"/>
      <c r="D2969" s="78"/>
      <c r="E2969" s="78"/>
    </row>
    <row r="2970" spans="1:5">
      <c r="A2970" s="76" t="s">
        <v>3092</v>
      </c>
      <c r="B2970" s="77" t="s">
        <v>3264</v>
      </c>
      <c r="C2970" s="78"/>
      <c r="D2970" s="78"/>
      <c r="E2970" s="78"/>
    </row>
    <row r="2971" spans="1:5">
      <c r="A2971" s="76" t="s">
        <v>3265</v>
      </c>
      <c r="B2971" s="77"/>
      <c r="C2971" s="78"/>
      <c r="D2971" s="78"/>
      <c r="E2971" s="78"/>
    </row>
    <row r="2972" spans="1:5">
      <c r="A2972" s="76" t="s">
        <v>2764</v>
      </c>
      <c r="B2972" s="77"/>
      <c r="C2972" s="78"/>
      <c r="D2972" s="78"/>
      <c r="E2972" s="78"/>
    </row>
    <row r="2973" spans="1:5">
      <c r="A2973" s="76"/>
      <c r="B2973" s="77"/>
      <c r="C2973" s="78"/>
      <c r="D2973" s="78"/>
      <c r="E2973" s="78"/>
    </row>
    <row r="2974" spans="1:5">
      <c r="A2974" s="76" t="s">
        <v>2543</v>
      </c>
      <c r="B2974" s="77" t="s">
        <v>135</v>
      </c>
      <c r="C2974" s="78" t="s">
        <v>136</v>
      </c>
      <c r="D2974" s="78" t="s">
        <v>2534</v>
      </c>
      <c r="E2974" s="78" t="s">
        <v>2535</v>
      </c>
    </row>
    <row r="2975" ht="25.5" spans="1:5">
      <c r="A2975" s="76" t="s">
        <v>3266</v>
      </c>
      <c r="B2975" s="77" t="s">
        <v>494</v>
      </c>
      <c r="C2975" s="78">
        <v>6.222e-5</v>
      </c>
      <c r="D2975" s="78">
        <v>4178.24</v>
      </c>
      <c r="E2975" s="78">
        <f>TRUNC(C2975*D2975,2)</f>
        <v>0.25</v>
      </c>
    </row>
    <row r="2976" spans="1:5">
      <c r="A2976" s="76" t="s">
        <v>122</v>
      </c>
      <c r="B2976" s="77"/>
      <c r="C2976" s="78"/>
      <c r="D2976" s="78"/>
      <c r="E2976" s="78">
        <f>SUM(E2975:E2975)</f>
        <v>0.25</v>
      </c>
    </row>
    <row r="2977" spans="1:5">
      <c r="A2977" s="76"/>
      <c r="B2977" s="77"/>
      <c r="C2977" s="78"/>
      <c r="D2977" s="78"/>
      <c r="E2977" s="78"/>
    </row>
    <row r="2978" spans="1:5">
      <c r="A2978" s="76" t="s">
        <v>2538</v>
      </c>
      <c r="B2978" s="77"/>
      <c r="C2978" s="78"/>
      <c r="D2978" s="78"/>
      <c r="E2978" s="78">
        <f>E2976</f>
        <v>0.25</v>
      </c>
    </row>
    <row r="2979" spans="1:5">
      <c r="A2979" s="76" t="s">
        <v>2539</v>
      </c>
      <c r="B2979" s="77"/>
      <c r="C2979" s="78"/>
      <c r="D2979" s="78">
        <v>0</v>
      </c>
      <c r="E2979" s="78">
        <f>TRUNC(D2979*E2978/100,2)</f>
        <v>0</v>
      </c>
    </row>
    <row r="2980" spans="1:5">
      <c r="A2980" s="76" t="s">
        <v>2540</v>
      </c>
      <c r="B2980" s="77"/>
      <c r="C2980" s="78"/>
      <c r="D2980" s="78"/>
      <c r="E2980" s="78">
        <f>E2978+E2979</f>
        <v>0.25</v>
      </c>
    </row>
    <row r="2981" spans="1:5">
      <c r="A2981" s="76"/>
      <c r="B2981" s="77"/>
      <c r="C2981" s="78"/>
      <c r="D2981" s="78"/>
      <c r="E2981" s="78"/>
    </row>
    <row r="2982" spans="1:5">
      <c r="A2982" s="76" t="s">
        <v>3092</v>
      </c>
      <c r="B2982" s="77" t="s">
        <v>3267</v>
      </c>
      <c r="C2982" s="78"/>
      <c r="D2982" s="78"/>
      <c r="E2982" s="78"/>
    </row>
    <row r="2983" spans="1:5">
      <c r="A2983" s="76" t="s">
        <v>3268</v>
      </c>
      <c r="B2983" s="77"/>
      <c r="C2983" s="78"/>
      <c r="D2983" s="78"/>
      <c r="E2983" s="78"/>
    </row>
    <row r="2984" spans="1:5">
      <c r="A2984" s="76" t="s">
        <v>2764</v>
      </c>
      <c r="B2984" s="77"/>
      <c r="C2984" s="78"/>
      <c r="D2984" s="78"/>
      <c r="E2984" s="78"/>
    </row>
    <row r="2985" spans="1:5">
      <c r="A2985" s="76"/>
      <c r="B2985" s="77"/>
      <c r="C2985" s="78"/>
      <c r="D2985" s="78"/>
      <c r="E2985" s="78"/>
    </row>
    <row r="2986" spans="1:5">
      <c r="A2986" s="76" t="s">
        <v>2543</v>
      </c>
      <c r="B2986" s="77" t="s">
        <v>135</v>
      </c>
      <c r="C2986" s="78" t="s">
        <v>136</v>
      </c>
      <c r="D2986" s="78" t="s">
        <v>2534</v>
      </c>
      <c r="E2986" s="78" t="s">
        <v>2535</v>
      </c>
    </row>
    <row r="2987" ht="25.5" spans="1:5">
      <c r="A2987" s="76" t="s">
        <v>3266</v>
      </c>
      <c r="B2987" s="77" t="s">
        <v>494</v>
      </c>
      <c r="C2987" s="78">
        <v>1.436e-5</v>
      </c>
      <c r="D2987" s="78">
        <v>4178.24</v>
      </c>
      <c r="E2987" s="78">
        <f>TRUNC(C2987*D2987,2)</f>
        <v>0.05</v>
      </c>
    </row>
    <row r="2988" spans="1:5">
      <c r="A2988" s="76" t="s">
        <v>122</v>
      </c>
      <c r="B2988" s="77"/>
      <c r="C2988" s="78"/>
      <c r="D2988" s="78"/>
      <c r="E2988" s="78">
        <f>SUM(E2987:E2987)</f>
        <v>0.05</v>
      </c>
    </row>
    <row r="2989" spans="1:5">
      <c r="A2989" s="76"/>
      <c r="B2989" s="77"/>
      <c r="C2989" s="78"/>
      <c r="D2989" s="78"/>
      <c r="E2989" s="78"/>
    </row>
    <row r="2990" spans="1:5">
      <c r="A2990" s="76" t="s">
        <v>2538</v>
      </c>
      <c r="B2990" s="77"/>
      <c r="C2990" s="78"/>
      <c r="D2990" s="78"/>
      <c r="E2990" s="78">
        <f>E2988</f>
        <v>0.05</v>
      </c>
    </row>
    <row r="2991" spans="1:5">
      <c r="A2991" s="76" t="s">
        <v>2539</v>
      </c>
      <c r="B2991" s="77"/>
      <c r="C2991" s="78"/>
      <c r="D2991" s="78">
        <v>0</v>
      </c>
      <c r="E2991" s="78">
        <f>TRUNC(D2991*E2990/100,2)</f>
        <v>0</v>
      </c>
    </row>
    <row r="2992" spans="1:5">
      <c r="A2992" s="76" t="s">
        <v>2540</v>
      </c>
      <c r="B2992" s="77"/>
      <c r="C2992" s="78"/>
      <c r="D2992" s="78"/>
      <c r="E2992" s="78">
        <f>E2990+E2991</f>
        <v>0.05</v>
      </c>
    </row>
    <row r="2993" spans="1:5">
      <c r="A2993" s="76"/>
      <c r="B2993" s="77"/>
      <c r="C2993" s="78"/>
      <c r="D2993" s="78"/>
      <c r="E2993" s="78"/>
    </row>
    <row r="2994" spans="1:5">
      <c r="A2994" s="76" t="s">
        <v>3092</v>
      </c>
      <c r="B2994" s="77" t="s">
        <v>3269</v>
      </c>
      <c r="C2994" s="78"/>
      <c r="D2994" s="78"/>
      <c r="E2994" s="78"/>
    </row>
    <row r="2995" spans="1:5">
      <c r="A2995" s="76" t="s">
        <v>3270</v>
      </c>
      <c r="B2995" s="77"/>
      <c r="C2995" s="78"/>
      <c r="D2995" s="78"/>
      <c r="E2995" s="78"/>
    </row>
    <row r="2996" spans="1:5">
      <c r="A2996" s="76" t="s">
        <v>2764</v>
      </c>
      <c r="B2996" s="77"/>
      <c r="C2996" s="78"/>
      <c r="D2996" s="78"/>
      <c r="E2996" s="78"/>
    </row>
    <row r="2997" spans="1:5">
      <c r="A2997" s="76"/>
      <c r="B2997" s="77"/>
      <c r="C2997" s="78"/>
      <c r="D2997" s="78"/>
      <c r="E2997" s="78"/>
    </row>
    <row r="2998" spans="1:5">
      <c r="A2998" s="76" t="s">
        <v>2543</v>
      </c>
      <c r="B2998" s="77" t="s">
        <v>135</v>
      </c>
      <c r="C2998" s="78" t="s">
        <v>136</v>
      </c>
      <c r="D2998" s="78" t="s">
        <v>2534</v>
      </c>
      <c r="E2998" s="78" t="s">
        <v>2535</v>
      </c>
    </row>
    <row r="2999" ht="25.5" spans="1:5">
      <c r="A2999" s="76" t="s">
        <v>3266</v>
      </c>
      <c r="B2999" s="77" t="s">
        <v>494</v>
      </c>
      <c r="C2999" s="78">
        <v>4.786e-5</v>
      </c>
      <c r="D2999" s="78">
        <v>4178.24</v>
      </c>
      <c r="E2999" s="78">
        <f>TRUNC(C2999*D2999,2)</f>
        <v>0.19</v>
      </c>
    </row>
    <row r="3000" spans="1:5">
      <c r="A3000" s="76" t="s">
        <v>122</v>
      </c>
      <c r="B3000" s="77"/>
      <c r="C3000" s="78"/>
      <c r="D3000" s="78"/>
      <c r="E3000" s="78">
        <f>SUM(E2999:E2999)</f>
        <v>0.19</v>
      </c>
    </row>
    <row r="3001" spans="1:5">
      <c r="A3001" s="76"/>
      <c r="B3001" s="77"/>
      <c r="C3001" s="78"/>
      <c r="D3001" s="78"/>
      <c r="E3001" s="78"/>
    </row>
    <row r="3002" spans="1:5">
      <c r="A3002" s="76" t="s">
        <v>2538</v>
      </c>
      <c r="B3002" s="77"/>
      <c r="C3002" s="78"/>
      <c r="D3002" s="78"/>
      <c r="E3002" s="78">
        <f>E3000</f>
        <v>0.19</v>
      </c>
    </row>
    <row r="3003" spans="1:5">
      <c r="A3003" s="76" t="s">
        <v>2539</v>
      </c>
      <c r="B3003" s="77"/>
      <c r="C3003" s="78"/>
      <c r="D3003" s="78">
        <v>0</v>
      </c>
      <c r="E3003" s="78">
        <f>TRUNC(D3003*E3002/100,2)</f>
        <v>0</v>
      </c>
    </row>
    <row r="3004" spans="1:5">
      <c r="A3004" s="76" t="s">
        <v>2540</v>
      </c>
      <c r="B3004" s="77"/>
      <c r="C3004" s="78"/>
      <c r="D3004" s="78"/>
      <c r="E3004" s="78">
        <f>E3002+E3003</f>
        <v>0.19</v>
      </c>
    </row>
    <row r="3005" spans="1:5">
      <c r="A3005" s="76"/>
      <c r="B3005" s="77"/>
      <c r="C3005" s="78"/>
      <c r="D3005" s="78"/>
      <c r="E3005" s="78"/>
    </row>
    <row r="3006" spans="1:5">
      <c r="A3006" s="76" t="s">
        <v>3092</v>
      </c>
      <c r="B3006" s="77" t="s">
        <v>3271</v>
      </c>
      <c r="C3006" s="78"/>
      <c r="D3006" s="78"/>
      <c r="E3006" s="78"/>
    </row>
    <row r="3007" spans="1:5">
      <c r="A3007" s="76" t="s">
        <v>3272</v>
      </c>
      <c r="B3007" s="77"/>
      <c r="C3007" s="78"/>
      <c r="D3007" s="78"/>
      <c r="E3007" s="78"/>
    </row>
    <row r="3008" spans="1:5">
      <c r="A3008" s="76" t="s">
        <v>3085</v>
      </c>
      <c r="B3008" s="77"/>
      <c r="C3008" s="78"/>
      <c r="D3008" s="78"/>
      <c r="E3008" s="78"/>
    </row>
    <row r="3009" spans="1:5">
      <c r="A3009" s="76"/>
      <c r="B3009" s="77"/>
      <c r="C3009" s="78"/>
      <c r="D3009" s="78"/>
      <c r="E3009" s="78"/>
    </row>
    <row r="3010" spans="1:5">
      <c r="A3010" s="76" t="s">
        <v>2543</v>
      </c>
      <c r="B3010" s="77" t="s">
        <v>135</v>
      </c>
      <c r="C3010" s="78" t="s">
        <v>136</v>
      </c>
      <c r="D3010" s="78" t="s">
        <v>2534</v>
      </c>
      <c r="E3010" s="78" t="s">
        <v>2535</v>
      </c>
    </row>
    <row r="3011" ht="25.5" spans="1:5">
      <c r="A3011" s="76" t="s">
        <v>3273</v>
      </c>
      <c r="B3011" s="77" t="s">
        <v>839</v>
      </c>
      <c r="C3011" s="78">
        <v>1</v>
      </c>
      <c r="D3011" s="78">
        <v>26.06</v>
      </c>
      <c r="E3011" s="78">
        <f>TRUNC(C3011*D3011,2)</f>
        <v>26.06</v>
      </c>
    </row>
    <row r="3012" spans="1:5">
      <c r="A3012" s="76" t="s">
        <v>3274</v>
      </c>
      <c r="B3012" s="77" t="s">
        <v>839</v>
      </c>
      <c r="C3012" s="78">
        <v>1</v>
      </c>
      <c r="D3012" s="78">
        <v>0.15</v>
      </c>
      <c r="E3012" s="78">
        <f>TRUNC(C3012*D3012,2)</f>
        <v>0.15</v>
      </c>
    </row>
    <row r="3013" spans="1:5">
      <c r="A3013" s="76" t="s">
        <v>3275</v>
      </c>
      <c r="B3013" s="77" t="s">
        <v>839</v>
      </c>
      <c r="C3013" s="78">
        <v>1</v>
      </c>
      <c r="D3013" s="78">
        <v>0.1</v>
      </c>
      <c r="E3013" s="78">
        <f>TRUNC(C3013*D3013,2)</f>
        <v>0.1</v>
      </c>
    </row>
    <row r="3014" spans="1:5">
      <c r="A3014" s="76" t="s">
        <v>3276</v>
      </c>
      <c r="B3014" s="77" t="s">
        <v>839</v>
      </c>
      <c r="C3014" s="78">
        <v>1</v>
      </c>
      <c r="D3014" s="78">
        <v>0.02</v>
      </c>
      <c r="E3014" s="78">
        <f>TRUNC(C3014*D3014,2)</f>
        <v>0.02</v>
      </c>
    </row>
    <row r="3015" ht="25.5" spans="1:5">
      <c r="A3015" s="76" t="s">
        <v>3277</v>
      </c>
      <c r="B3015" s="77" t="s">
        <v>839</v>
      </c>
      <c r="C3015" s="78">
        <v>1</v>
      </c>
      <c r="D3015" s="78">
        <v>0.55</v>
      </c>
      <c r="E3015" s="78">
        <f>TRUNC(C3015*D3015,2)</f>
        <v>0.55</v>
      </c>
    </row>
    <row r="3016" spans="1:5">
      <c r="A3016" s="76" t="s">
        <v>122</v>
      </c>
      <c r="B3016" s="77"/>
      <c r="C3016" s="78"/>
      <c r="D3016" s="78"/>
      <c r="E3016" s="78">
        <f>SUM(E3011:E3015)</f>
        <v>26.88</v>
      </c>
    </row>
    <row r="3017" spans="1:5">
      <c r="A3017" s="76"/>
      <c r="B3017" s="77"/>
      <c r="C3017" s="78"/>
      <c r="D3017" s="78"/>
      <c r="E3017" s="78"/>
    </row>
    <row r="3018" spans="1:5">
      <c r="A3018" s="76" t="s">
        <v>2538</v>
      </c>
      <c r="B3018" s="77"/>
      <c r="C3018" s="78"/>
      <c r="D3018" s="78"/>
      <c r="E3018" s="78">
        <f>E3016</f>
        <v>26.88</v>
      </c>
    </row>
    <row r="3019" spans="1:5">
      <c r="A3019" s="76" t="s">
        <v>2539</v>
      </c>
      <c r="B3019" s="77"/>
      <c r="C3019" s="78"/>
      <c r="D3019" s="78">
        <v>0</v>
      </c>
      <c r="E3019" s="78">
        <f>TRUNC(D3019*E3018/100,2)</f>
        <v>0</v>
      </c>
    </row>
    <row r="3020" spans="1:5">
      <c r="A3020" s="76" t="s">
        <v>2540</v>
      </c>
      <c r="B3020" s="77"/>
      <c r="C3020" s="78"/>
      <c r="D3020" s="78"/>
      <c r="E3020" s="78">
        <f>E3018+E3019</f>
        <v>26.88</v>
      </c>
    </row>
    <row r="3021" spans="1:5">
      <c r="A3021" s="76"/>
      <c r="B3021" s="77"/>
      <c r="C3021" s="78"/>
      <c r="D3021" s="78"/>
      <c r="E3021" s="78"/>
    </row>
    <row r="3022" spans="1:5">
      <c r="A3022" s="76" t="s">
        <v>3092</v>
      </c>
      <c r="B3022" s="77" t="s">
        <v>3278</v>
      </c>
      <c r="C3022" s="78"/>
      <c r="D3022" s="78"/>
      <c r="E3022" s="78"/>
    </row>
    <row r="3023" ht="25.5" spans="1:5">
      <c r="A3023" s="76" t="s">
        <v>3279</v>
      </c>
      <c r="B3023" s="77"/>
      <c r="C3023" s="78"/>
      <c r="D3023" s="78"/>
      <c r="E3023" s="78"/>
    </row>
    <row r="3024" spans="1:5">
      <c r="A3024" s="76" t="s">
        <v>2764</v>
      </c>
      <c r="B3024" s="77"/>
      <c r="C3024" s="78"/>
      <c r="D3024" s="78"/>
      <c r="E3024" s="78"/>
    </row>
    <row r="3025" spans="1:5">
      <c r="A3025" s="76"/>
      <c r="B3025" s="77"/>
      <c r="C3025" s="78"/>
      <c r="D3025" s="78"/>
      <c r="E3025" s="78"/>
    </row>
    <row r="3026" spans="1:5">
      <c r="A3026" s="76" t="s">
        <v>279</v>
      </c>
      <c r="B3026" s="77" t="s">
        <v>135</v>
      </c>
      <c r="C3026" s="78" t="s">
        <v>136</v>
      </c>
      <c r="D3026" s="78" t="s">
        <v>2534</v>
      </c>
      <c r="E3026" s="78" t="s">
        <v>2535</v>
      </c>
    </row>
    <row r="3027" ht="25.5" spans="1:5">
      <c r="A3027" s="76" t="s">
        <v>3111</v>
      </c>
      <c r="B3027" s="77" t="s">
        <v>839</v>
      </c>
      <c r="C3027" s="78">
        <v>1</v>
      </c>
      <c r="D3027" s="78">
        <v>1.5</v>
      </c>
      <c r="E3027" s="78">
        <f>TRUNC(C3027*D3027,2)</f>
        <v>1.5</v>
      </c>
    </row>
    <row r="3028" spans="1:5">
      <c r="A3028" s="76" t="s">
        <v>122</v>
      </c>
      <c r="B3028" s="77"/>
      <c r="C3028" s="78"/>
      <c r="D3028" s="78"/>
      <c r="E3028" s="78">
        <f>SUM(E3027:E3027)</f>
        <v>1.5</v>
      </c>
    </row>
    <row r="3029" spans="1:5">
      <c r="A3029" s="76"/>
      <c r="B3029" s="77"/>
      <c r="C3029" s="78"/>
      <c r="D3029" s="78"/>
      <c r="E3029" s="78"/>
    </row>
    <row r="3030" spans="1:5">
      <c r="A3030" s="76" t="s">
        <v>280</v>
      </c>
      <c r="B3030" s="77" t="s">
        <v>135</v>
      </c>
      <c r="C3030" s="78" t="s">
        <v>136</v>
      </c>
      <c r="D3030" s="78" t="s">
        <v>2534</v>
      </c>
      <c r="E3030" s="78" t="s">
        <v>2535</v>
      </c>
    </row>
    <row r="3031" ht="25.5" spans="1:5">
      <c r="A3031" s="76" t="s">
        <v>3112</v>
      </c>
      <c r="B3031" s="77" t="s">
        <v>839</v>
      </c>
      <c r="C3031" s="78">
        <v>1</v>
      </c>
      <c r="D3031" s="78">
        <v>3.95</v>
      </c>
      <c r="E3031" s="78">
        <f>TRUNC(C3031*D3031,2)</f>
        <v>3.95</v>
      </c>
    </row>
    <row r="3032" ht="25.5" spans="1:5">
      <c r="A3032" s="76" t="s">
        <v>3280</v>
      </c>
      <c r="B3032" s="77" t="s">
        <v>839</v>
      </c>
      <c r="C3032" s="78">
        <v>1</v>
      </c>
      <c r="D3032" s="78">
        <v>18</v>
      </c>
      <c r="E3032" s="78">
        <f>TRUNC(C3032*D3032,2)</f>
        <v>18</v>
      </c>
    </row>
    <row r="3033" ht="25.5" spans="1:5">
      <c r="A3033" s="76" t="s">
        <v>3113</v>
      </c>
      <c r="B3033" s="77" t="s">
        <v>839</v>
      </c>
      <c r="C3033" s="78">
        <v>1</v>
      </c>
      <c r="D3033" s="78">
        <v>0.08</v>
      </c>
      <c r="E3033" s="78">
        <f>TRUNC(C3033*D3033,2)</f>
        <v>0.08</v>
      </c>
    </row>
    <row r="3034" spans="1:5">
      <c r="A3034" s="76" t="s">
        <v>122</v>
      </c>
      <c r="B3034" s="77"/>
      <c r="C3034" s="78"/>
      <c r="D3034" s="78"/>
      <c r="E3034" s="78">
        <f>SUM(E3031:E3033)</f>
        <v>22.03</v>
      </c>
    </row>
    <row r="3035" spans="1:5">
      <c r="A3035" s="76" t="s">
        <v>117</v>
      </c>
      <c r="B3035" s="77"/>
      <c r="C3035" s="78"/>
      <c r="D3035" s="78"/>
      <c r="E3035" s="78" t="str">
        <f>"0"</f>
        <v>0</v>
      </c>
    </row>
    <row r="3036" spans="1:5">
      <c r="A3036" s="76" t="s">
        <v>2537</v>
      </c>
      <c r="B3036" s="77"/>
      <c r="C3036" s="78"/>
      <c r="D3036" s="78"/>
      <c r="E3036" s="78">
        <f>E3034+E3035</f>
        <v>22.03</v>
      </c>
    </row>
    <row r="3037" spans="1:5">
      <c r="A3037" s="76"/>
      <c r="B3037" s="77"/>
      <c r="C3037" s="78"/>
      <c r="D3037" s="78"/>
      <c r="E3037" s="78"/>
    </row>
    <row r="3038" spans="1:5">
      <c r="A3038" s="76" t="s">
        <v>2543</v>
      </c>
      <c r="B3038" s="77" t="s">
        <v>135</v>
      </c>
      <c r="C3038" s="78" t="s">
        <v>136</v>
      </c>
      <c r="D3038" s="78" t="s">
        <v>2534</v>
      </c>
      <c r="E3038" s="78" t="s">
        <v>2535</v>
      </c>
    </row>
    <row r="3039" ht="25.5" spans="1:5">
      <c r="A3039" s="76" t="s">
        <v>3195</v>
      </c>
      <c r="B3039" s="77" t="s">
        <v>839</v>
      </c>
      <c r="C3039" s="78">
        <v>1</v>
      </c>
      <c r="D3039" s="78">
        <v>0.89</v>
      </c>
      <c r="E3039" s="78">
        <f>TRUNC(C3039*D3039,2)</f>
        <v>0.89</v>
      </c>
    </row>
    <row r="3040" spans="1:5">
      <c r="A3040" s="76" t="s">
        <v>3116</v>
      </c>
      <c r="B3040" s="77" t="s">
        <v>839</v>
      </c>
      <c r="C3040" s="78">
        <v>1</v>
      </c>
      <c r="D3040" s="78">
        <v>1.43</v>
      </c>
      <c r="E3040" s="78">
        <f>TRUNC(C3040*D3040,2)</f>
        <v>1.43</v>
      </c>
    </row>
    <row r="3041" ht="25.5" spans="1:5">
      <c r="A3041" s="76" t="s">
        <v>3196</v>
      </c>
      <c r="B3041" s="77" t="s">
        <v>839</v>
      </c>
      <c r="C3041" s="78">
        <v>1</v>
      </c>
      <c r="D3041" s="78">
        <v>0.01</v>
      </c>
      <c r="E3041" s="78">
        <f>TRUNC(C3041*D3041,2)</f>
        <v>0.01</v>
      </c>
    </row>
    <row r="3042" ht="25.5" spans="1:5">
      <c r="A3042" s="76" t="s">
        <v>3281</v>
      </c>
      <c r="B3042" s="77" t="s">
        <v>839</v>
      </c>
      <c r="C3042" s="78">
        <v>1</v>
      </c>
      <c r="D3042" s="78">
        <v>0.2</v>
      </c>
      <c r="E3042" s="78">
        <f>TRUNC(C3042*D3042,2)</f>
        <v>0.2</v>
      </c>
    </row>
    <row r="3043" spans="1:5">
      <c r="A3043" s="76" t="s">
        <v>122</v>
      </c>
      <c r="B3043" s="77"/>
      <c r="C3043" s="78"/>
      <c r="D3043" s="78"/>
      <c r="E3043" s="78">
        <f>SUM(E3039:E3042)</f>
        <v>2.53</v>
      </c>
    </row>
    <row r="3044" spans="1:5">
      <c r="A3044" s="76"/>
      <c r="B3044" s="77"/>
      <c r="C3044" s="78"/>
      <c r="D3044" s="78"/>
      <c r="E3044" s="78"/>
    </row>
    <row r="3045" spans="1:5">
      <c r="A3045" s="76" t="s">
        <v>2538</v>
      </c>
      <c r="B3045" s="77"/>
      <c r="C3045" s="78"/>
      <c r="D3045" s="78"/>
      <c r="E3045" s="78">
        <f>E3028+E3036+E3043</f>
        <v>26.06</v>
      </c>
    </row>
    <row r="3046" spans="1:5">
      <c r="A3046" s="76" t="s">
        <v>2539</v>
      </c>
      <c r="B3046" s="77"/>
      <c r="C3046" s="78"/>
      <c r="D3046" s="78">
        <v>0</v>
      </c>
      <c r="E3046" s="78">
        <f>TRUNC(D3046*E3045/100,2)</f>
        <v>0</v>
      </c>
    </row>
    <row r="3047" spans="1:5">
      <c r="A3047" s="76" t="s">
        <v>2540</v>
      </c>
      <c r="B3047" s="77"/>
      <c r="C3047" s="78"/>
      <c r="D3047" s="78"/>
      <c r="E3047" s="78">
        <f>E3045+E3046</f>
        <v>26.06</v>
      </c>
    </row>
    <row r="3048" spans="1:5">
      <c r="A3048" s="76"/>
      <c r="B3048" s="77"/>
      <c r="C3048" s="78"/>
      <c r="D3048" s="78"/>
      <c r="E3048" s="78"/>
    </row>
    <row r="3049" spans="1:5">
      <c r="A3049" s="76" t="s">
        <v>3092</v>
      </c>
      <c r="B3049" s="77" t="s">
        <v>3282</v>
      </c>
      <c r="C3049" s="78"/>
      <c r="D3049" s="78"/>
      <c r="E3049" s="78"/>
    </row>
    <row r="3050" ht="25.5" spans="1:5">
      <c r="A3050" s="76" t="s">
        <v>3283</v>
      </c>
      <c r="B3050" s="77"/>
      <c r="C3050" s="78"/>
      <c r="D3050" s="78"/>
      <c r="E3050" s="78"/>
    </row>
    <row r="3051" spans="1:5">
      <c r="A3051" s="76" t="s">
        <v>2764</v>
      </c>
      <c r="B3051" s="77"/>
      <c r="C3051" s="78"/>
      <c r="D3051" s="78"/>
      <c r="E3051" s="78"/>
    </row>
    <row r="3052" spans="1:5">
      <c r="A3052" s="76"/>
      <c r="B3052" s="77"/>
      <c r="C3052" s="78"/>
      <c r="D3052" s="78"/>
      <c r="E3052" s="78"/>
    </row>
    <row r="3053" spans="1:5">
      <c r="A3053" s="76" t="s">
        <v>280</v>
      </c>
      <c r="B3053" s="77" t="s">
        <v>135</v>
      </c>
      <c r="C3053" s="78" t="s">
        <v>136</v>
      </c>
      <c r="D3053" s="78" t="s">
        <v>2534</v>
      </c>
      <c r="E3053" s="78" t="s">
        <v>2535</v>
      </c>
    </row>
    <row r="3054" ht="25.5" spans="1:5">
      <c r="A3054" s="76" t="s">
        <v>3280</v>
      </c>
      <c r="B3054" s="77" t="s">
        <v>839</v>
      </c>
      <c r="C3054" s="78">
        <v>0.01154</v>
      </c>
      <c r="D3054" s="78">
        <v>18</v>
      </c>
      <c r="E3054" s="78">
        <f>TRUNC(C3054*D3054,2)</f>
        <v>0.2</v>
      </c>
    </row>
    <row r="3055" spans="1:5">
      <c r="A3055" s="76" t="s">
        <v>122</v>
      </c>
      <c r="B3055" s="77"/>
      <c r="C3055" s="78"/>
      <c r="D3055" s="78"/>
      <c r="E3055" s="78">
        <f>SUM(E3054:E3054)</f>
        <v>0.2</v>
      </c>
    </row>
    <row r="3056" spans="1:5">
      <c r="A3056" s="76" t="s">
        <v>117</v>
      </c>
      <c r="B3056" s="77"/>
      <c r="C3056" s="78"/>
      <c r="D3056" s="78"/>
      <c r="E3056" s="78" t="str">
        <f>"0"</f>
        <v>0</v>
      </c>
    </row>
    <row r="3057" spans="1:5">
      <c r="A3057" s="76" t="s">
        <v>2537</v>
      </c>
      <c r="B3057" s="77"/>
      <c r="C3057" s="78"/>
      <c r="D3057" s="78"/>
      <c r="E3057" s="78">
        <f>E3055+E3056</f>
        <v>0.2</v>
      </c>
    </row>
    <row r="3058" spans="1:5">
      <c r="A3058" s="76"/>
      <c r="B3058" s="77"/>
      <c r="C3058" s="78"/>
      <c r="D3058" s="78"/>
      <c r="E3058" s="78"/>
    </row>
    <row r="3059" spans="1:5">
      <c r="A3059" s="76" t="s">
        <v>2538</v>
      </c>
      <c r="B3059" s="77"/>
      <c r="C3059" s="78"/>
      <c r="D3059" s="78"/>
      <c r="E3059" s="78">
        <f>E3057</f>
        <v>0.2</v>
      </c>
    </row>
    <row r="3060" spans="1:5">
      <c r="A3060" s="76" t="s">
        <v>2539</v>
      </c>
      <c r="B3060" s="77"/>
      <c r="C3060" s="78"/>
      <c r="D3060" s="78">
        <v>0</v>
      </c>
      <c r="E3060" s="78">
        <f>TRUNC(D3060*E3059/100,2)</f>
        <v>0</v>
      </c>
    </row>
    <row r="3061" spans="1:5">
      <c r="A3061" s="76" t="s">
        <v>2540</v>
      </c>
      <c r="B3061" s="77"/>
      <c r="C3061" s="78"/>
      <c r="D3061" s="78"/>
      <c r="E3061" s="78">
        <f>E3059+E3060</f>
        <v>0.2</v>
      </c>
    </row>
    <row r="3062" spans="1:5">
      <c r="A3062" s="76"/>
      <c r="B3062" s="77"/>
      <c r="C3062" s="78"/>
      <c r="D3062" s="78"/>
      <c r="E3062" s="78"/>
    </row>
    <row r="3063" spans="1:5">
      <c r="A3063" s="76" t="s">
        <v>3092</v>
      </c>
      <c r="B3063" s="77" t="s">
        <v>3284</v>
      </c>
      <c r="C3063" s="78"/>
      <c r="D3063" s="78"/>
      <c r="E3063" s="78"/>
    </row>
    <row r="3064" spans="1:5">
      <c r="A3064" s="76" t="s">
        <v>3285</v>
      </c>
      <c r="B3064" s="77"/>
      <c r="C3064" s="78"/>
      <c r="D3064" s="78"/>
      <c r="E3064" s="78"/>
    </row>
    <row r="3065" spans="1:5">
      <c r="A3065" s="76" t="s">
        <v>2764</v>
      </c>
      <c r="B3065" s="77"/>
      <c r="C3065" s="78"/>
      <c r="D3065" s="78"/>
      <c r="E3065" s="78"/>
    </row>
    <row r="3066" spans="1:5">
      <c r="A3066" s="76"/>
      <c r="B3066" s="77"/>
      <c r="C3066" s="78"/>
      <c r="D3066" s="78"/>
      <c r="E3066" s="78"/>
    </row>
    <row r="3067" spans="1:5">
      <c r="A3067" s="76" t="s">
        <v>279</v>
      </c>
      <c r="B3067" s="77" t="s">
        <v>135</v>
      </c>
      <c r="C3067" s="78" t="s">
        <v>136</v>
      </c>
      <c r="D3067" s="78" t="s">
        <v>2534</v>
      </c>
      <c r="E3067" s="78" t="s">
        <v>2535</v>
      </c>
    </row>
    <row r="3068" spans="1:5">
      <c r="A3068" s="76" t="s">
        <v>3286</v>
      </c>
      <c r="B3068" s="77" t="s">
        <v>494</v>
      </c>
      <c r="C3068" s="78">
        <v>7.106e-5</v>
      </c>
      <c r="D3068" s="78">
        <v>2251.35</v>
      </c>
      <c r="E3068" s="78">
        <f>TRUNC(C3068*D3068,2)</f>
        <v>0.15</v>
      </c>
    </row>
    <row r="3069" spans="1:5">
      <c r="A3069" s="76" t="s">
        <v>122</v>
      </c>
      <c r="B3069" s="77"/>
      <c r="C3069" s="78"/>
      <c r="D3069" s="78"/>
      <c r="E3069" s="78">
        <f>SUM(E3068:E3068)</f>
        <v>0.15</v>
      </c>
    </row>
    <row r="3070" spans="1:5">
      <c r="A3070" s="76"/>
      <c r="B3070" s="77"/>
      <c r="C3070" s="78"/>
      <c r="D3070" s="78"/>
      <c r="E3070" s="78"/>
    </row>
    <row r="3071" spans="1:5">
      <c r="A3071" s="76" t="s">
        <v>2538</v>
      </c>
      <c r="B3071" s="77"/>
      <c r="C3071" s="78"/>
      <c r="D3071" s="78"/>
      <c r="E3071" s="78">
        <f>E3069</f>
        <v>0.15</v>
      </c>
    </row>
    <row r="3072" spans="1:5">
      <c r="A3072" s="76" t="s">
        <v>2539</v>
      </c>
      <c r="B3072" s="77"/>
      <c r="C3072" s="78"/>
      <c r="D3072" s="78">
        <v>0</v>
      </c>
      <c r="E3072" s="78">
        <f>TRUNC(D3072*E3071/100,2)</f>
        <v>0</v>
      </c>
    </row>
    <row r="3073" spans="1:5">
      <c r="A3073" s="76" t="s">
        <v>2540</v>
      </c>
      <c r="B3073" s="77"/>
      <c r="C3073" s="78"/>
      <c r="D3073" s="78"/>
      <c r="E3073" s="78">
        <f>E3071+E3072</f>
        <v>0.15</v>
      </c>
    </row>
    <row r="3074" spans="1:5">
      <c r="A3074" s="76"/>
      <c r="B3074" s="77"/>
      <c r="C3074" s="78"/>
      <c r="D3074" s="78"/>
      <c r="E3074" s="78"/>
    </row>
    <row r="3075" spans="1:5">
      <c r="A3075" s="76" t="s">
        <v>3092</v>
      </c>
      <c r="B3075" s="77" t="s">
        <v>3287</v>
      </c>
      <c r="C3075" s="78"/>
      <c r="D3075" s="78"/>
      <c r="E3075" s="78"/>
    </row>
    <row r="3076" spans="1:5">
      <c r="A3076" s="76" t="s">
        <v>3288</v>
      </c>
      <c r="B3076" s="77"/>
      <c r="C3076" s="78"/>
      <c r="D3076" s="78"/>
      <c r="E3076" s="78"/>
    </row>
    <row r="3077" spans="1:5">
      <c r="A3077" s="76" t="s">
        <v>2764</v>
      </c>
      <c r="B3077" s="77"/>
      <c r="C3077" s="78"/>
      <c r="D3077" s="78"/>
      <c r="E3077" s="78"/>
    </row>
    <row r="3078" spans="1:5">
      <c r="A3078" s="76"/>
      <c r="B3078" s="77"/>
      <c r="C3078" s="78"/>
      <c r="D3078" s="78"/>
      <c r="E3078" s="78"/>
    </row>
    <row r="3079" spans="1:5">
      <c r="A3079" s="76" t="s">
        <v>279</v>
      </c>
      <c r="B3079" s="77" t="s">
        <v>135</v>
      </c>
      <c r="C3079" s="78" t="s">
        <v>136</v>
      </c>
      <c r="D3079" s="78" t="s">
        <v>2534</v>
      </c>
      <c r="E3079" s="78" t="s">
        <v>2535</v>
      </c>
    </row>
    <row r="3080" spans="1:5">
      <c r="A3080" s="76" t="s">
        <v>3286</v>
      </c>
      <c r="B3080" s="77" t="s">
        <v>494</v>
      </c>
      <c r="C3080" s="78">
        <v>4.885e-5</v>
      </c>
      <c r="D3080" s="78">
        <v>2251.35</v>
      </c>
      <c r="E3080" s="78">
        <f>TRUNC(C3080*D3080,2)</f>
        <v>0.1</v>
      </c>
    </row>
    <row r="3081" spans="1:5">
      <c r="A3081" s="76" t="s">
        <v>122</v>
      </c>
      <c r="B3081" s="77"/>
      <c r="C3081" s="78"/>
      <c r="D3081" s="78"/>
      <c r="E3081" s="78">
        <f>SUM(E3080:E3080)</f>
        <v>0.1</v>
      </c>
    </row>
    <row r="3082" spans="1:5">
      <c r="A3082" s="76"/>
      <c r="B3082" s="77"/>
      <c r="C3082" s="78"/>
      <c r="D3082" s="78"/>
      <c r="E3082" s="78"/>
    </row>
    <row r="3083" spans="1:5">
      <c r="A3083" s="76" t="s">
        <v>2538</v>
      </c>
      <c r="B3083" s="77"/>
      <c r="C3083" s="78"/>
      <c r="D3083" s="78"/>
      <c r="E3083" s="78">
        <f>E3081</f>
        <v>0.1</v>
      </c>
    </row>
    <row r="3084" spans="1:5">
      <c r="A3084" s="76" t="s">
        <v>2539</v>
      </c>
      <c r="B3084" s="77"/>
      <c r="C3084" s="78"/>
      <c r="D3084" s="78">
        <v>0</v>
      </c>
      <c r="E3084" s="78">
        <f>TRUNC(D3084*E3083/100,2)</f>
        <v>0</v>
      </c>
    </row>
    <row r="3085" spans="1:5">
      <c r="A3085" s="76" t="s">
        <v>2540</v>
      </c>
      <c r="B3085" s="77"/>
      <c r="C3085" s="78"/>
      <c r="D3085" s="78"/>
      <c r="E3085" s="78">
        <f>E3083+E3084</f>
        <v>0.1</v>
      </c>
    </row>
    <row r="3086" spans="1:5">
      <c r="A3086" s="76"/>
      <c r="B3086" s="77"/>
      <c r="C3086" s="78"/>
      <c r="D3086" s="78"/>
      <c r="E3086" s="78"/>
    </row>
    <row r="3087" spans="1:5">
      <c r="A3087" s="76" t="s">
        <v>3092</v>
      </c>
      <c r="B3087" s="77" t="s">
        <v>3289</v>
      </c>
      <c r="C3087" s="78"/>
      <c r="D3087" s="78"/>
      <c r="E3087" s="78"/>
    </row>
    <row r="3088" spans="1:5">
      <c r="A3088" s="76" t="s">
        <v>3290</v>
      </c>
      <c r="B3088" s="77"/>
      <c r="C3088" s="78"/>
      <c r="D3088" s="78"/>
      <c r="E3088" s="78"/>
    </row>
    <row r="3089" spans="1:5">
      <c r="A3089" s="76" t="s">
        <v>2764</v>
      </c>
      <c r="B3089" s="77"/>
      <c r="C3089" s="78"/>
      <c r="D3089" s="78"/>
      <c r="E3089" s="78"/>
    </row>
    <row r="3090" spans="1:5">
      <c r="A3090" s="76"/>
      <c r="B3090" s="77"/>
      <c r="C3090" s="78"/>
      <c r="D3090" s="78"/>
      <c r="E3090" s="78"/>
    </row>
    <row r="3091" spans="1:5">
      <c r="A3091" s="76" t="s">
        <v>279</v>
      </c>
      <c r="B3091" s="77" t="s">
        <v>135</v>
      </c>
      <c r="C3091" s="78" t="s">
        <v>136</v>
      </c>
      <c r="D3091" s="78" t="s">
        <v>2534</v>
      </c>
      <c r="E3091" s="78" t="s">
        <v>2535</v>
      </c>
    </row>
    <row r="3092" spans="1:5">
      <c r="A3092" s="76" t="s">
        <v>3286</v>
      </c>
      <c r="B3092" s="77" t="s">
        <v>494</v>
      </c>
      <c r="C3092" s="78">
        <v>1.332e-5</v>
      </c>
      <c r="D3092" s="78">
        <v>2251.35</v>
      </c>
      <c r="E3092" s="78">
        <f>TRUNC(C3092*D3092,2)</f>
        <v>0.02</v>
      </c>
    </row>
    <row r="3093" spans="1:5">
      <c r="A3093" s="76" t="s">
        <v>122</v>
      </c>
      <c r="B3093" s="77"/>
      <c r="C3093" s="78"/>
      <c r="D3093" s="78"/>
      <c r="E3093" s="78">
        <f>SUM(E3092:E3092)</f>
        <v>0.02</v>
      </c>
    </row>
    <row r="3094" spans="1:5">
      <c r="A3094" s="76"/>
      <c r="B3094" s="77"/>
      <c r="C3094" s="78"/>
      <c r="D3094" s="78"/>
      <c r="E3094" s="78"/>
    </row>
    <row r="3095" spans="1:5">
      <c r="A3095" s="76" t="s">
        <v>2538</v>
      </c>
      <c r="B3095" s="77"/>
      <c r="C3095" s="78"/>
      <c r="D3095" s="78"/>
      <c r="E3095" s="78">
        <f>E3093</f>
        <v>0.02</v>
      </c>
    </row>
    <row r="3096" spans="1:5">
      <c r="A3096" s="76" t="s">
        <v>2539</v>
      </c>
      <c r="B3096" s="77"/>
      <c r="C3096" s="78"/>
      <c r="D3096" s="78">
        <v>0</v>
      </c>
      <c r="E3096" s="78">
        <f>TRUNC(D3096*E3095/100,2)</f>
        <v>0</v>
      </c>
    </row>
    <row r="3097" spans="1:5">
      <c r="A3097" s="76" t="s">
        <v>2540</v>
      </c>
      <c r="B3097" s="77"/>
      <c r="C3097" s="78"/>
      <c r="D3097" s="78"/>
      <c r="E3097" s="78">
        <f>E3095+E3096</f>
        <v>0.02</v>
      </c>
    </row>
    <row r="3098" spans="1:5">
      <c r="A3098" s="76"/>
      <c r="B3098" s="77"/>
      <c r="C3098" s="78"/>
      <c r="D3098" s="78"/>
      <c r="E3098" s="78"/>
    </row>
    <row r="3099" spans="1:5">
      <c r="A3099" s="76" t="s">
        <v>3092</v>
      </c>
      <c r="B3099" s="77" t="s">
        <v>3291</v>
      </c>
      <c r="C3099" s="78"/>
      <c r="D3099" s="78"/>
      <c r="E3099" s="78"/>
    </row>
    <row r="3100" spans="1:5">
      <c r="A3100" s="76" t="s">
        <v>3292</v>
      </c>
      <c r="B3100" s="77"/>
      <c r="C3100" s="78"/>
      <c r="D3100" s="78"/>
      <c r="E3100" s="78"/>
    </row>
    <row r="3101" spans="1:5">
      <c r="A3101" s="76" t="s">
        <v>2764</v>
      </c>
      <c r="B3101" s="77"/>
      <c r="C3101" s="78"/>
      <c r="D3101" s="78"/>
      <c r="E3101" s="78"/>
    </row>
    <row r="3102" spans="1:5">
      <c r="A3102" s="76"/>
      <c r="B3102" s="77"/>
      <c r="C3102" s="78"/>
      <c r="D3102" s="78"/>
      <c r="E3102" s="78"/>
    </row>
    <row r="3103" spans="1:5">
      <c r="A3103" s="76" t="s">
        <v>2543</v>
      </c>
      <c r="B3103" s="77" t="s">
        <v>135</v>
      </c>
      <c r="C3103" s="78" t="s">
        <v>136</v>
      </c>
      <c r="D3103" s="78" t="s">
        <v>2534</v>
      </c>
      <c r="E3103" s="78" t="s">
        <v>2535</v>
      </c>
    </row>
    <row r="3104" spans="1:5">
      <c r="A3104" s="76" t="s">
        <v>3242</v>
      </c>
      <c r="B3104" s="77" t="s">
        <v>1695</v>
      </c>
      <c r="C3104" s="78">
        <v>0.765</v>
      </c>
      <c r="D3104" s="78">
        <v>0.72</v>
      </c>
      <c r="E3104" s="78">
        <f>TRUNC(C3104*D3104,2)</f>
        <v>0.55</v>
      </c>
    </row>
    <row r="3105" spans="1:5">
      <c r="A3105" s="76" t="s">
        <v>122</v>
      </c>
      <c r="B3105" s="77"/>
      <c r="C3105" s="78"/>
      <c r="D3105" s="78"/>
      <c r="E3105" s="78">
        <f>SUM(E3104:E3104)</f>
        <v>0.55</v>
      </c>
    </row>
    <row r="3106" spans="1:5">
      <c r="A3106" s="76"/>
      <c r="B3106" s="77"/>
      <c r="C3106" s="78"/>
      <c r="D3106" s="78"/>
      <c r="E3106" s="78"/>
    </row>
    <row r="3107" spans="1:5">
      <c r="A3107" s="76" t="s">
        <v>2538</v>
      </c>
      <c r="B3107" s="77"/>
      <c r="C3107" s="78"/>
      <c r="D3107" s="78"/>
      <c r="E3107" s="78">
        <f>E3105</f>
        <v>0.55</v>
      </c>
    </row>
    <row r="3108" spans="1:5">
      <c r="A3108" s="76" t="s">
        <v>2539</v>
      </c>
      <c r="B3108" s="77"/>
      <c r="C3108" s="78"/>
      <c r="D3108" s="78">
        <v>0</v>
      </c>
      <c r="E3108" s="78">
        <f>TRUNC(D3108*E3107/100,2)</f>
        <v>0</v>
      </c>
    </row>
    <row r="3109" spans="1:5">
      <c r="A3109" s="76" t="s">
        <v>2540</v>
      </c>
      <c r="B3109" s="77"/>
      <c r="C3109" s="78"/>
      <c r="D3109" s="78"/>
      <c r="E3109" s="78">
        <f>E3107+E3108</f>
        <v>0.55</v>
      </c>
    </row>
    <row r="3110" spans="1:5">
      <c r="A3110" s="76"/>
      <c r="B3110" s="77"/>
      <c r="C3110" s="78"/>
      <c r="D3110" s="78"/>
      <c r="E3110" s="78"/>
    </row>
    <row r="3111" spans="1:5">
      <c r="A3111" s="76" t="s">
        <v>3092</v>
      </c>
      <c r="B3111" s="77" t="s">
        <v>3293</v>
      </c>
      <c r="C3111" s="78"/>
      <c r="D3111" s="78"/>
      <c r="E3111" s="78"/>
    </row>
    <row r="3112" spans="1:5">
      <c r="A3112" s="76" t="s">
        <v>3294</v>
      </c>
      <c r="B3112" s="77"/>
      <c r="C3112" s="78"/>
      <c r="D3112" s="78"/>
      <c r="E3112" s="78"/>
    </row>
    <row r="3113" spans="1:5">
      <c r="A3113" s="76" t="s">
        <v>2764</v>
      </c>
      <c r="B3113" s="77"/>
      <c r="C3113" s="78"/>
      <c r="D3113" s="78"/>
      <c r="E3113" s="78"/>
    </row>
    <row r="3114" spans="1:5">
      <c r="A3114" s="76"/>
      <c r="B3114" s="77"/>
      <c r="C3114" s="78"/>
      <c r="D3114" s="78"/>
      <c r="E3114" s="78"/>
    </row>
    <row r="3115" spans="1:5">
      <c r="A3115" s="76" t="s">
        <v>279</v>
      </c>
      <c r="B3115" s="77" t="s">
        <v>135</v>
      </c>
      <c r="C3115" s="78" t="s">
        <v>136</v>
      </c>
      <c r="D3115" s="78" t="s">
        <v>2534</v>
      </c>
      <c r="E3115" s="78" t="s">
        <v>2535</v>
      </c>
    </row>
    <row r="3116" ht="25.5" spans="1:5">
      <c r="A3116" s="76" t="s">
        <v>3111</v>
      </c>
      <c r="B3116" s="77" t="s">
        <v>839</v>
      </c>
      <c r="C3116" s="78">
        <v>1</v>
      </c>
      <c r="D3116" s="78">
        <v>1.5</v>
      </c>
      <c r="E3116" s="78">
        <f>TRUNC(C3116*D3116,2)</f>
        <v>1.5</v>
      </c>
    </row>
    <row r="3117" spans="1:5">
      <c r="A3117" s="76" t="s">
        <v>122</v>
      </c>
      <c r="B3117" s="77"/>
      <c r="C3117" s="78"/>
      <c r="D3117" s="78"/>
      <c r="E3117" s="78">
        <f>SUM(E3116:E3116)</f>
        <v>1.5</v>
      </c>
    </row>
    <row r="3118" spans="1:5">
      <c r="A3118" s="76"/>
      <c r="B3118" s="77"/>
      <c r="C3118" s="78"/>
      <c r="D3118" s="78"/>
      <c r="E3118" s="78"/>
    </row>
    <row r="3119" spans="1:5">
      <c r="A3119" s="76" t="s">
        <v>280</v>
      </c>
      <c r="B3119" s="77" t="s">
        <v>135</v>
      </c>
      <c r="C3119" s="78" t="s">
        <v>136</v>
      </c>
      <c r="D3119" s="78" t="s">
        <v>2534</v>
      </c>
      <c r="E3119" s="78" t="s">
        <v>2535</v>
      </c>
    </row>
    <row r="3120" ht="25.5" spans="1:5">
      <c r="A3120" s="76" t="s">
        <v>3112</v>
      </c>
      <c r="B3120" s="77" t="s">
        <v>839</v>
      </c>
      <c r="C3120" s="78">
        <v>1</v>
      </c>
      <c r="D3120" s="78">
        <v>3.95</v>
      </c>
      <c r="E3120" s="78">
        <f>TRUNC(C3120*D3120,2)</f>
        <v>3.95</v>
      </c>
    </row>
    <row r="3121" spans="1:5">
      <c r="A3121" s="76" t="s">
        <v>3295</v>
      </c>
      <c r="B3121" s="77" t="s">
        <v>839</v>
      </c>
      <c r="C3121" s="78">
        <v>1</v>
      </c>
      <c r="D3121" s="78">
        <v>15.35</v>
      </c>
      <c r="E3121" s="78">
        <f>TRUNC(C3121*D3121,2)</f>
        <v>15.35</v>
      </c>
    </row>
    <row r="3122" ht="25.5" spans="1:5">
      <c r="A3122" s="76" t="s">
        <v>3113</v>
      </c>
      <c r="B3122" s="77" t="s">
        <v>839</v>
      </c>
      <c r="C3122" s="78">
        <v>1</v>
      </c>
      <c r="D3122" s="78">
        <v>0.08</v>
      </c>
      <c r="E3122" s="78">
        <f>TRUNC(C3122*D3122,2)</f>
        <v>0.08</v>
      </c>
    </row>
    <row r="3123" spans="1:5">
      <c r="A3123" s="76" t="s">
        <v>122</v>
      </c>
      <c r="B3123" s="77"/>
      <c r="C3123" s="78"/>
      <c r="D3123" s="78"/>
      <c r="E3123" s="78">
        <f>SUM(E3120:E3122)</f>
        <v>19.38</v>
      </c>
    </row>
    <row r="3124" spans="1:5">
      <c r="A3124" s="76" t="s">
        <v>117</v>
      </c>
      <c r="B3124" s="77"/>
      <c r="C3124" s="78"/>
      <c r="D3124" s="78"/>
      <c r="E3124" s="78" t="str">
        <f>"0"</f>
        <v>0</v>
      </c>
    </row>
    <row r="3125" spans="1:5">
      <c r="A3125" s="76" t="s">
        <v>2537</v>
      </c>
      <c r="B3125" s="77"/>
      <c r="C3125" s="78"/>
      <c r="D3125" s="78"/>
      <c r="E3125" s="78">
        <f>E3123+E3124</f>
        <v>19.38</v>
      </c>
    </row>
    <row r="3126" spans="1:5">
      <c r="A3126" s="76"/>
      <c r="B3126" s="77"/>
      <c r="C3126" s="78"/>
      <c r="D3126" s="78"/>
      <c r="E3126" s="78"/>
    </row>
    <row r="3127" spans="1:5">
      <c r="A3127" s="76" t="s">
        <v>2543</v>
      </c>
      <c r="B3127" s="77" t="s">
        <v>135</v>
      </c>
      <c r="C3127" s="78" t="s">
        <v>136</v>
      </c>
      <c r="D3127" s="78" t="s">
        <v>2534</v>
      </c>
      <c r="E3127" s="78" t="s">
        <v>2535</v>
      </c>
    </row>
    <row r="3128" ht="25.5" spans="1:5">
      <c r="A3128" s="76" t="s">
        <v>3296</v>
      </c>
      <c r="B3128" s="77" t="s">
        <v>839</v>
      </c>
      <c r="C3128" s="78">
        <v>1</v>
      </c>
      <c r="D3128" s="78">
        <v>1.43</v>
      </c>
      <c r="E3128" s="78">
        <f>TRUNC(C3128*D3128,2)</f>
        <v>1.43</v>
      </c>
    </row>
    <row r="3129" spans="1:5">
      <c r="A3129" s="76" t="s">
        <v>3116</v>
      </c>
      <c r="B3129" s="77" t="s">
        <v>839</v>
      </c>
      <c r="C3129" s="78">
        <v>1</v>
      </c>
      <c r="D3129" s="78">
        <v>1.43</v>
      </c>
      <c r="E3129" s="78">
        <f>TRUNC(C3129*D3129,2)</f>
        <v>1.43</v>
      </c>
    </row>
    <row r="3130" ht="25.5" spans="1:5">
      <c r="A3130" s="76" t="s">
        <v>3297</v>
      </c>
      <c r="B3130" s="77" t="s">
        <v>839</v>
      </c>
      <c r="C3130" s="78">
        <v>1</v>
      </c>
      <c r="D3130" s="78">
        <v>0.44</v>
      </c>
      <c r="E3130" s="78">
        <f>TRUNC(C3130*D3130,2)</f>
        <v>0.44</v>
      </c>
    </row>
    <row r="3131" ht="25.5" spans="1:5">
      <c r="A3131" s="76" t="s">
        <v>3298</v>
      </c>
      <c r="B3131" s="77" t="s">
        <v>839</v>
      </c>
      <c r="C3131" s="78">
        <v>1</v>
      </c>
      <c r="D3131" s="78">
        <v>0.22</v>
      </c>
      <c r="E3131" s="78">
        <f>TRUNC(C3131*D3131,2)</f>
        <v>0.22</v>
      </c>
    </row>
    <row r="3132" spans="1:5">
      <c r="A3132" s="76" t="s">
        <v>122</v>
      </c>
      <c r="B3132" s="77"/>
      <c r="C3132" s="78"/>
      <c r="D3132" s="78"/>
      <c r="E3132" s="78">
        <f>SUM(E3128:E3131)</f>
        <v>3.52</v>
      </c>
    </row>
    <row r="3133" spans="1:5">
      <c r="A3133" s="76"/>
      <c r="B3133" s="77"/>
      <c r="C3133" s="78"/>
      <c r="D3133" s="78"/>
      <c r="E3133" s="78"/>
    </row>
    <row r="3134" spans="1:5">
      <c r="A3134" s="76" t="s">
        <v>2538</v>
      </c>
      <c r="B3134" s="77"/>
      <c r="C3134" s="78"/>
      <c r="D3134" s="78"/>
      <c r="E3134" s="78">
        <f>E3117+E3125+E3132</f>
        <v>24.4</v>
      </c>
    </row>
    <row r="3135" spans="1:5">
      <c r="A3135" s="76" t="s">
        <v>2539</v>
      </c>
      <c r="B3135" s="77"/>
      <c r="C3135" s="78"/>
      <c r="D3135" s="78">
        <v>0</v>
      </c>
      <c r="E3135" s="78">
        <f>TRUNC(D3135*E3134/100,2)</f>
        <v>0</v>
      </c>
    </row>
    <row r="3136" spans="1:5">
      <c r="A3136" s="76" t="s">
        <v>2540</v>
      </c>
      <c r="B3136" s="77"/>
      <c r="C3136" s="78"/>
      <c r="D3136" s="78"/>
      <c r="E3136" s="78">
        <f>E3134+E3135</f>
        <v>24.4</v>
      </c>
    </row>
    <row r="3137" spans="1:5">
      <c r="A3137" s="76"/>
      <c r="B3137" s="77"/>
      <c r="C3137" s="78"/>
      <c r="D3137" s="78"/>
      <c r="E3137" s="78"/>
    </row>
    <row r="3138" spans="1:5">
      <c r="A3138" s="76" t="s">
        <v>3092</v>
      </c>
      <c r="B3138" s="77" t="s">
        <v>3299</v>
      </c>
      <c r="C3138" s="78"/>
      <c r="D3138" s="78"/>
      <c r="E3138" s="78"/>
    </row>
    <row r="3139" ht="25.5" spans="1:5">
      <c r="A3139" s="76" t="s">
        <v>3300</v>
      </c>
      <c r="B3139" s="77"/>
      <c r="C3139" s="78"/>
      <c r="D3139" s="78"/>
      <c r="E3139" s="78"/>
    </row>
    <row r="3140" spans="1:5">
      <c r="A3140" s="76" t="s">
        <v>2764</v>
      </c>
      <c r="B3140" s="77"/>
      <c r="C3140" s="78"/>
      <c r="D3140" s="78"/>
      <c r="E3140" s="78"/>
    </row>
    <row r="3141" spans="1:5">
      <c r="A3141" s="76"/>
      <c r="B3141" s="77"/>
      <c r="C3141" s="78"/>
      <c r="D3141" s="78"/>
      <c r="E3141" s="78"/>
    </row>
    <row r="3142" spans="1:5">
      <c r="A3142" s="76" t="s">
        <v>280</v>
      </c>
      <c r="B3142" s="77" t="s">
        <v>135</v>
      </c>
      <c r="C3142" s="78" t="s">
        <v>136</v>
      </c>
      <c r="D3142" s="78" t="s">
        <v>2534</v>
      </c>
      <c r="E3142" s="78" t="s">
        <v>2535</v>
      </c>
    </row>
    <row r="3143" spans="1:5">
      <c r="A3143" s="76" t="s">
        <v>3295</v>
      </c>
      <c r="B3143" s="77" t="s">
        <v>839</v>
      </c>
      <c r="C3143" s="78">
        <v>0.01476</v>
      </c>
      <c r="D3143" s="78">
        <v>15.35</v>
      </c>
      <c r="E3143" s="78">
        <f>TRUNC(C3143*D3143,2)</f>
        <v>0.22</v>
      </c>
    </row>
    <row r="3144" spans="1:5">
      <c r="A3144" s="76" t="s">
        <v>122</v>
      </c>
      <c r="B3144" s="77"/>
      <c r="C3144" s="78"/>
      <c r="D3144" s="78"/>
      <c r="E3144" s="78">
        <f>SUM(E3143:E3143)</f>
        <v>0.22</v>
      </c>
    </row>
    <row r="3145" spans="1:5">
      <c r="A3145" s="76" t="s">
        <v>117</v>
      </c>
      <c r="B3145" s="77"/>
      <c r="C3145" s="78"/>
      <c r="D3145" s="78"/>
      <c r="E3145" s="78" t="str">
        <f>"0"</f>
        <v>0</v>
      </c>
    </row>
    <row r="3146" spans="1:5">
      <c r="A3146" s="76" t="s">
        <v>2537</v>
      </c>
      <c r="B3146" s="77"/>
      <c r="C3146" s="78"/>
      <c r="D3146" s="78"/>
      <c r="E3146" s="78">
        <f>E3144+E3145</f>
        <v>0.22</v>
      </c>
    </row>
    <row r="3147" spans="1:5">
      <c r="A3147" s="76"/>
      <c r="B3147" s="77"/>
      <c r="C3147" s="78"/>
      <c r="D3147" s="78"/>
      <c r="E3147" s="78"/>
    </row>
    <row r="3148" spans="1:5">
      <c r="A3148" s="76" t="s">
        <v>2538</v>
      </c>
      <c r="B3148" s="77"/>
      <c r="C3148" s="78"/>
      <c r="D3148" s="78"/>
      <c r="E3148" s="78">
        <f>E3146</f>
        <v>0.22</v>
      </c>
    </row>
    <row r="3149" spans="1:5">
      <c r="A3149" s="76" t="s">
        <v>2539</v>
      </c>
      <c r="B3149" s="77"/>
      <c r="C3149" s="78"/>
      <c r="D3149" s="78">
        <v>0</v>
      </c>
      <c r="E3149" s="78">
        <f>TRUNC(D3149*E3148/100,2)</f>
        <v>0</v>
      </c>
    </row>
    <row r="3150" spans="1:5">
      <c r="A3150" s="76" t="s">
        <v>2540</v>
      </c>
      <c r="B3150" s="77"/>
      <c r="C3150" s="78"/>
      <c r="D3150" s="78"/>
      <c r="E3150" s="78">
        <f>E3148+E3149</f>
        <v>0.22</v>
      </c>
    </row>
    <row r="3151" spans="1:5">
      <c r="A3151" s="76"/>
      <c r="B3151" s="77"/>
      <c r="C3151" s="78"/>
      <c r="D3151" s="78"/>
      <c r="E3151" s="78"/>
    </row>
    <row r="3152" spans="1:5">
      <c r="A3152" s="76" t="s">
        <v>3092</v>
      </c>
      <c r="B3152" s="77" t="s">
        <v>3301</v>
      </c>
      <c r="C3152" s="78"/>
      <c r="D3152" s="78"/>
      <c r="E3152" s="78"/>
    </row>
    <row r="3153" spans="1:5">
      <c r="A3153" s="76" t="s">
        <v>3302</v>
      </c>
      <c r="B3153" s="77"/>
      <c r="C3153" s="78"/>
      <c r="D3153" s="78"/>
      <c r="E3153" s="78"/>
    </row>
    <row r="3154" spans="1:5">
      <c r="A3154" s="76" t="s">
        <v>2764</v>
      </c>
      <c r="B3154" s="77"/>
      <c r="C3154" s="78"/>
      <c r="D3154" s="78"/>
      <c r="E3154" s="78"/>
    </row>
    <row r="3155" spans="1:5">
      <c r="A3155" s="76"/>
      <c r="B3155" s="77"/>
      <c r="C3155" s="78"/>
      <c r="D3155" s="78"/>
      <c r="E3155" s="78"/>
    </row>
    <row r="3156" spans="1:5">
      <c r="A3156" s="76" t="s">
        <v>279</v>
      </c>
      <c r="B3156" s="77" t="s">
        <v>135</v>
      </c>
      <c r="C3156" s="78" t="s">
        <v>136</v>
      </c>
      <c r="D3156" s="78" t="s">
        <v>2534</v>
      </c>
      <c r="E3156" s="78" t="s">
        <v>2535</v>
      </c>
    </row>
    <row r="3157" ht="25.5" spans="1:5">
      <c r="A3157" s="76" t="s">
        <v>3111</v>
      </c>
      <c r="B3157" s="77" t="s">
        <v>839</v>
      </c>
      <c r="C3157" s="78">
        <v>1</v>
      </c>
      <c r="D3157" s="78">
        <v>1.5</v>
      </c>
      <c r="E3157" s="78">
        <f>TRUNC(C3157*D3157,2)</f>
        <v>1.5</v>
      </c>
    </row>
    <row r="3158" spans="1:5">
      <c r="A3158" s="76" t="s">
        <v>122</v>
      </c>
      <c r="B3158" s="77"/>
      <c r="C3158" s="78"/>
      <c r="D3158" s="78"/>
      <c r="E3158" s="78">
        <f>SUM(E3157:E3157)</f>
        <v>1.5</v>
      </c>
    </row>
    <row r="3159" spans="1:5">
      <c r="A3159" s="76"/>
      <c r="B3159" s="77"/>
      <c r="C3159" s="78"/>
      <c r="D3159" s="78"/>
      <c r="E3159" s="78"/>
    </row>
    <row r="3160" spans="1:5">
      <c r="A3160" s="76" t="s">
        <v>280</v>
      </c>
      <c r="B3160" s="77" t="s">
        <v>135</v>
      </c>
      <c r="C3160" s="78" t="s">
        <v>136</v>
      </c>
      <c r="D3160" s="78" t="s">
        <v>2534</v>
      </c>
      <c r="E3160" s="78" t="s">
        <v>2535</v>
      </c>
    </row>
    <row r="3161" ht="25.5" spans="1:5">
      <c r="A3161" s="76" t="s">
        <v>3112</v>
      </c>
      <c r="B3161" s="77" t="s">
        <v>839</v>
      </c>
      <c r="C3161" s="78">
        <v>1</v>
      </c>
      <c r="D3161" s="78">
        <v>3.95</v>
      </c>
      <c r="E3161" s="78">
        <f>TRUNC(C3161*D3161,2)</f>
        <v>3.95</v>
      </c>
    </row>
    <row r="3162" spans="1:5">
      <c r="A3162" s="76" t="s">
        <v>3303</v>
      </c>
      <c r="B3162" s="77" t="s">
        <v>839</v>
      </c>
      <c r="C3162" s="78">
        <v>1</v>
      </c>
      <c r="D3162" s="78">
        <v>21.83</v>
      </c>
      <c r="E3162" s="78">
        <f>TRUNC(C3162*D3162,2)</f>
        <v>21.83</v>
      </c>
    </row>
    <row r="3163" ht="25.5" spans="1:5">
      <c r="A3163" s="76" t="s">
        <v>3113</v>
      </c>
      <c r="B3163" s="77" t="s">
        <v>839</v>
      </c>
      <c r="C3163" s="78">
        <v>1</v>
      </c>
      <c r="D3163" s="78">
        <v>0.08</v>
      </c>
      <c r="E3163" s="78">
        <f>TRUNC(C3163*D3163,2)</f>
        <v>0.08</v>
      </c>
    </row>
    <row r="3164" spans="1:5">
      <c r="A3164" s="76" t="s">
        <v>122</v>
      </c>
      <c r="B3164" s="77"/>
      <c r="C3164" s="78"/>
      <c r="D3164" s="78"/>
      <c r="E3164" s="78">
        <f>SUM(E3161:E3163)</f>
        <v>25.86</v>
      </c>
    </row>
    <row r="3165" spans="1:5">
      <c r="A3165" s="76" t="s">
        <v>117</v>
      </c>
      <c r="B3165" s="77"/>
      <c r="C3165" s="78"/>
      <c r="D3165" s="78"/>
      <c r="E3165" s="78" t="str">
        <f>"0"</f>
        <v>0</v>
      </c>
    </row>
    <row r="3166" spans="1:5">
      <c r="A3166" s="76" t="s">
        <v>2537</v>
      </c>
      <c r="B3166" s="77"/>
      <c r="C3166" s="78"/>
      <c r="D3166" s="78"/>
      <c r="E3166" s="78">
        <f>E3164+E3165</f>
        <v>25.86</v>
      </c>
    </row>
    <row r="3167" spans="1:5">
      <c r="A3167" s="76"/>
      <c r="B3167" s="77"/>
      <c r="C3167" s="78"/>
      <c r="D3167" s="78"/>
      <c r="E3167" s="78"/>
    </row>
    <row r="3168" spans="1:5">
      <c r="A3168" s="76" t="s">
        <v>2543</v>
      </c>
      <c r="B3168" s="77" t="s">
        <v>135</v>
      </c>
      <c r="C3168" s="78" t="s">
        <v>136</v>
      </c>
      <c r="D3168" s="78" t="s">
        <v>2534</v>
      </c>
      <c r="E3168" s="78" t="s">
        <v>2535</v>
      </c>
    </row>
    <row r="3169" ht="25.5" spans="1:5">
      <c r="A3169" s="76" t="s">
        <v>3296</v>
      </c>
      <c r="B3169" s="77" t="s">
        <v>839</v>
      </c>
      <c r="C3169" s="78">
        <v>1</v>
      </c>
      <c r="D3169" s="78">
        <v>1.43</v>
      </c>
      <c r="E3169" s="78">
        <f>TRUNC(C3169*D3169,2)</f>
        <v>1.43</v>
      </c>
    </row>
    <row r="3170" spans="1:5">
      <c r="A3170" s="76" t="s">
        <v>3116</v>
      </c>
      <c r="B3170" s="77" t="s">
        <v>839</v>
      </c>
      <c r="C3170" s="78">
        <v>1</v>
      </c>
      <c r="D3170" s="78">
        <v>1.43</v>
      </c>
      <c r="E3170" s="78">
        <f>TRUNC(C3170*D3170,2)</f>
        <v>1.43</v>
      </c>
    </row>
    <row r="3171" ht="25.5" spans="1:5">
      <c r="A3171" s="76" t="s">
        <v>3297</v>
      </c>
      <c r="B3171" s="77" t="s">
        <v>839</v>
      </c>
      <c r="C3171" s="78">
        <v>1</v>
      </c>
      <c r="D3171" s="78">
        <v>0.44</v>
      </c>
      <c r="E3171" s="78">
        <f>TRUNC(C3171*D3171,2)</f>
        <v>0.44</v>
      </c>
    </row>
    <row r="3172" ht="25.5" spans="1:5">
      <c r="A3172" s="76" t="s">
        <v>3304</v>
      </c>
      <c r="B3172" s="77" t="s">
        <v>839</v>
      </c>
      <c r="C3172" s="78">
        <v>1</v>
      </c>
      <c r="D3172" s="78">
        <v>0.25</v>
      </c>
      <c r="E3172" s="78">
        <f>TRUNC(C3172*D3172,2)</f>
        <v>0.25</v>
      </c>
    </row>
    <row r="3173" spans="1:5">
      <c r="A3173" s="76" t="s">
        <v>122</v>
      </c>
      <c r="B3173" s="77"/>
      <c r="C3173" s="78"/>
      <c r="D3173" s="78"/>
      <c r="E3173" s="78">
        <f>SUM(E3169:E3172)</f>
        <v>3.55</v>
      </c>
    </row>
    <row r="3174" spans="1:5">
      <c r="A3174" s="76"/>
      <c r="B3174" s="77"/>
      <c r="C3174" s="78"/>
      <c r="D3174" s="78"/>
      <c r="E3174" s="78"/>
    </row>
    <row r="3175" spans="1:5">
      <c r="A3175" s="76" t="s">
        <v>2538</v>
      </c>
      <c r="B3175" s="77"/>
      <c r="C3175" s="78"/>
      <c r="D3175" s="78"/>
      <c r="E3175" s="78">
        <f>E3158+E3166+E3173</f>
        <v>30.91</v>
      </c>
    </row>
    <row r="3176" spans="1:5">
      <c r="A3176" s="76" t="s">
        <v>2539</v>
      </c>
      <c r="B3176" s="77"/>
      <c r="C3176" s="78"/>
      <c r="D3176" s="78">
        <v>0</v>
      </c>
      <c r="E3176" s="78">
        <f>TRUNC(D3176*E3175/100,2)</f>
        <v>0</v>
      </c>
    </row>
    <row r="3177" spans="1:5">
      <c r="A3177" s="76" t="s">
        <v>2540</v>
      </c>
      <c r="B3177" s="77"/>
      <c r="C3177" s="78"/>
      <c r="D3177" s="78"/>
      <c r="E3177" s="78">
        <f>E3175+E3176</f>
        <v>30.91</v>
      </c>
    </row>
    <row r="3178" spans="1:5">
      <c r="A3178" s="76"/>
      <c r="B3178" s="77"/>
      <c r="C3178" s="78"/>
      <c r="D3178" s="78"/>
      <c r="E3178" s="78"/>
    </row>
    <row r="3179" spans="1:5">
      <c r="A3179" s="76" t="s">
        <v>3092</v>
      </c>
      <c r="B3179" s="77" t="s">
        <v>3305</v>
      </c>
      <c r="C3179" s="78"/>
      <c r="D3179" s="78"/>
      <c r="E3179" s="78"/>
    </row>
    <row r="3180" ht="25.5" spans="1:5">
      <c r="A3180" s="76" t="s">
        <v>3306</v>
      </c>
      <c r="B3180" s="77"/>
      <c r="C3180" s="78"/>
      <c r="D3180" s="78"/>
      <c r="E3180" s="78"/>
    </row>
    <row r="3181" spans="1:5">
      <c r="A3181" s="76" t="s">
        <v>2764</v>
      </c>
      <c r="B3181" s="77"/>
      <c r="C3181" s="78"/>
      <c r="D3181" s="78"/>
      <c r="E3181" s="78"/>
    </row>
    <row r="3182" spans="1:5">
      <c r="A3182" s="76"/>
      <c r="B3182" s="77"/>
      <c r="C3182" s="78"/>
      <c r="D3182" s="78"/>
      <c r="E3182" s="78"/>
    </row>
    <row r="3183" spans="1:5">
      <c r="A3183" s="76" t="s">
        <v>280</v>
      </c>
      <c r="B3183" s="77" t="s">
        <v>135</v>
      </c>
      <c r="C3183" s="78" t="s">
        <v>136</v>
      </c>
      <c r="D3183" s="78" t="s">
        <v>2534</v>
      </c>
      <c r="E3183" s="78" t="s">
        <v>2535</v>
      </c>
    </row>
    <row r="3184" spans="1:5">
      <c r="A3184" s="76" t="s">
        <v>3303</v>
      </c>
      <c r="B3184" s="77" t="s">
        <v>839</v>
      </c>
      <c r="C3184" s="78">
        <v>0.01154</v>
      </c>
      <c r="D3184" s="78">
        <v>21.83</v>
      </c>
      <c r="E3184" s="78">
        <f>TRUNC(C3184*D3184,2)</f>
        <v>0.25</v>
      </c>
    </row>
    <row r="3185" spans="1:5">
      <c r="A3185" s="76" t="s">
        <v>122</v>
      </c>
      <c r="B3185" s="77"/>
      <c r="C3185" s="78"/>
      <c r="D3185" s="78"/>
      <c r="E3185" s="78">
        <f>SUM(E3184:E3184)</f>
        <v>0.25</v>
      </c>
    </row>
    <row r="3186" spans="1:5">
      <c r="A3186" s="76" t="s">
        <v>117</v>
      </c>
      <c r="B3186" s="77"/>
      <c r="C3186" s="78"/>
      <c r="D3186" s="78"/>
      <c r="E3186" s="78" t="str">
        <f>"0"</f>
        <v>0</v>
      </c>
    </row>
    <row r="3187" spans="1:5">
      <c r="A3187" s="76" t="s">
        <v>2537</v>
      </c>
      <c r="B3187" s="77"/>
      <c r="C3187" s="78"/>
      <c r="D3187" s="78"/>
      <c r="E3187" s="78">
        <f>E3185+E3186</f>
        <v>0.25</v>
      </c>
    </row>
    <row r="3188" spans="1:5">
      <c r="A3188" s="76"/>
      <c r="B3188" s="77"/>
      <c r="C3188" s="78"/>
      <c r="D3188" s="78"/>
      <c r="E3188" s="78"/>
    </row>
    <row r="3189" spans="1:5">
      <c r="A3189" s="76" t="s">
        <v>2538</v>
      </c>
      <c r="B3189" s="77"/>
      <c r="C3189" s="78"/>
      <c r="D3189" s="78"/>
      <c r="E3189" s="78">
        <f>E3187</f>
        <v>0.25</v>
      </c>
    </row>
    <row r="3190" spans="1:5">
      <c r="A3190" s="76" t="s">
        <v>2539</v>
      </c>
      <c r="B3190" s="77"/>
      <c r="C3190" s="78"/>
      <c r="D3190" s="78">
        <v>0</v>
      </c>
      <c r="E3190" s="78">
        <f>TRUNC(D3190*E3189/100,2)</f>
        <v>0</v>
      </c>
    </row>
    <row r="3191" spans="1:5">
      <c r="A3191" s="76" t="s">
        <v>2540</v>
      </c>
      <c r="B3191" s="77"/>
      <c r="C3191" s="78"/>
      <c r="D3191" s="78"/>
      <c r="E3191" s="78">
        <f>E3189+E3190</f>
        <v>0.25</v>
      </c>
    </row>
    <row r="3192" spans="1:5">
      <c r="A3192" s="76"/>
      <c r="B3192" s="77"/>
      <c r="C3192" s="78"/>
      <c r="D3192" s="78"/>
      <c r="E3192" s="78"/>
    </row>
    <row r="3193" spans="1:5">
      <c r="A3193" s="76" t="s">
        <v>3092</v>
      </c>
      <c r="B3193" s="77" t="s">
        <v>3307</v>
      </c>
      <c r="C3193" s="78"/>
      <c r="D3193" s="78"/>
      <c r="E3193" s="78"/>
    </row>
    <row r="3194" ht="38.25" spans="1:5">
      <c r="A3194" s="76" t="s">
        <v>3308</v>
      </c>
      <c r="B3194" s="77"/>
      <c r="C3194" s="78"/>
      <c r="D3194" s="78"/>
      <c r="E3194" s="78"/>
    </row>
    <row r="3195" spans="1:5">
      <c r="A3195" s="76" t="s">
        <v>3085</v>
      </c>
      <c r="B3195" s="77"/>
      <c r="C3195" s="78"/>
      <c r="D3195" s="78"/>
      <c r="E3195" s="78"/>
    </row>
    <row r="3196" spans="1:5">
      <c r="A3196" s="76"/>
      <c r="B3196" s="77"/>
      <c r="C3196" s="78"/>
      <c r="D3196" s="78"/>
      <c r="E3196" s="78"/>
    </row>
    <row r="3197" spans="1:5">
      <c r="A3197" s="76" t="s">
        <v>2543</v>
      </c>
      <c r="B3197" s="77" t="s">
        <v>135</v>
      </c>
      <c r="C3197" s="78" t="s">
        <v>136</v>
      </c>
      <c r="D3197" s="78" t="s">
        <v>2534</v>
      </c>
      <c r="E3197" s="78" t="s">
        <v>2535</v>
      </c>
    </row>
    <row r="3198" ht="25.5" spans="1:5">
      <c r="A3198" s="76" t="s">
        <v>3309</v>
      </c>
      <c r="B3198" s="77" t="s">
        <v>839</v>
      </c>
      <c r="C3198" s="78">
        <v>1</v>
      </c>
      <c r="D3198" s="78">
        <v>31.3</v>
      </c>
      <c r="E3198" s="78">
        <f t="shared" ref="E3198:E3203" si="42">TRUNC(C3198*D3198,2)</f>
        <v>31.3</v>
      </c>
    </row>
    <row r="3199" ht="38.25" spans="1:5">
      <c r="A3199" s="76" t="s">
        <v>3310</v>
      </c>
      <c r="B3199" s="77" t="s">
        <v>839</v>
      </c>
      <c r="C3199" s="78">
        <v>1</v>
      </c>
      <c r="D3199" s="78">
        <v>27.43</v>
      </c>
      <c r="E3199" s="78">
        <f t="shared" si="42"/>
        <v>27.43</v>
      </c>
    </row>
    <row r="3200" ht="38.25" spans="1:5">
      <c r="A3200" s="76" t="s">
        <v>3311</v>
      </c>
      <c r="B3200" s="77" t="s">
        <v>839</v>
      </c>
      <c r="C3200" s="78">
        <v>1</v>
      </c>
      <c r="D3200" s="78">
        <v>46.5</v>
      </c>
      <c r="E3200" s="78">
        <f t="shared" si="42"/>
        <v>46.5</v>
      </c>
    </row>
    <row r="3201" ht="38.25" spans="1:5">
      <c r="A3201" s="76" t="s">
        <v>3312</v>
      </c>
      <c r="B3201" s="77" t="s">
        <v>839</v>
      </c>
      <c r="C3201" s="78">
        <v>1</v>
      </c>
      <c r="D3201" s="78">
        <v>10.09</v>
      </c>
      <c r="E3201" s="78">
        <f t="shared" si="42"/>
        <v>10.09</v>
      </c>
    </row>
    <row r="3202" ht="51" spans="1:5">
      <c r="A3202" s="76" t="s">
        <v>3313</v>
      </c>
      <c r="B3202" s="77" t="s">
        <v>839</v>
      </c>
      <c r="C3202" s="78">
        <v>1</v>
      </c>
      <c r="D3202" s="78">
        <v>4.07</v>
      </c>
      <c r="E3202" s="78">
        <f t="shared" si="42"/>
        <v>4.07</v>
      </c>
    </row>
    <row r="3203" ht="51" spans="1:5">
      <c r="A3203" s="76" t="s">
        <v>3314</v>
      </c>
      <c r="B3203" s="77" t="s">
        <v>839</v>
      </c>
      <c r="C3203" s="78">
        <v>1</v>
      </c>
      <c r="D3203" s="78">
        <v>156.72</v>
      </c>
      <c r="E3203" s="78">
        <f t="shared" si="42"/>
        <v>156.72</v>
      </c>
    </row>
    <row r="3204" spans="1:5">
      <c r="A3204" s="76" t="s">
        <v>122</v>
      </c>
      <c r="B3204" s="77"/>
      <c r="C3204" s="78"/>
      <c r="D3204" s="78"/>
      <c r="E3204" s="78">
        <f>SUM(E3198:E3203)</f>
        <v>276.11</v>
      </c>
    </row>
    <row r="3205" spans="1:5">
      <c r="A3205" s="76"/>
      <c r="B3205" s="77"/>
      <c r="C3205" s="78"/>
      <c r="D3205" s="78"/>
      <c r="E3205" s="78"/>
    </row>
    <row r="3206" spans="1:5">
      <c r="A3206" s="76" t="s">
        <v>2538</v>
      </c>
      <c r="B3206" s="77"/>
      <c r="C3206" s="78"/>
      <c r="D3206" s="78"/>
      <c r="E3206" s="78">
        <f>E3204</f>
        <v>276.11</v>
      </c>
    </row>
    <row r="3207" spans="1:5">
      <c r="A3207" s="76" t="s">
        <v>2539</v>
      </c>
      <c r="B3207" s="77"/>
      <c r="C3207" s="78"/>
      <c r="D3207" s="78">
        <v>0</v>
      </c>
      <c r="E3207" s="78">
        <f>TRUNC(D3207*E3206/100,2)</f>
        <v>0</v>
      </c>
    </row>
    <row r="3208" spans="1:5">
      <c r="A3208" s="76" t="s">
        <v>2540</v>
      </c>
      <c r="B3208" s="77"/>
      <c r="C3208" s="78"/>
      <c r="D3208" s="78"/>
      <c r="E3208" s="78">
        <f>E3206+E3207</f>
        <v>276.11</v>
      </c>
    </row>
    <row r="3209" spans="1:5">
      <c r="A3209" s="76"/>
      <c r="B3209" s="77"/>
      <c r="C3209" s="78"/>
      <c r="D3209" s="78"/>
      <c r="E3209" s="78"/>
    </row>
    <row r="3210" spans="1:5">
      <c r="A3210" s="76" t="s">
        <v>3092</v>
      </c>
      <c r="B3210" s="77" t="s">
        <v>3315</v>
      </c>
      <c r="C3210" s="78"/>
      <c r="D3210" s="78"/>
      <c r="E3210" s="78"/>
    </row>
    <row r="3211" spans="1:5">
      <c r="A3211" s="76" t="s">
        <v>3316</v>
      </c>
      <c r="B3211" s="77"/>
      <c r="C3211" s="78"/>
      <c r="D3211" s="78"/>
      <c r="E3211" s="78"/>
    </row>
    <row r="3212" spans="1:5">
      <c r="A3212" s="76" t="s">
        <v>2764</v>
      </c>
      <c r="B3212" s="77"/>
      <c r="C3212" s="78"/>
      <c r="D3212" s="78"/>
      <c r="E3212" s="78"/>
    </row>
    <row r="3213" spans="1:5">
      <c r="A3213" s="76"/>
      <c r="B3213" s="77"/>
      <c r="C3213" s="78"/>
      <c r="D3213" s="78"/>
      <c r="E3213" s="78"/>
    </row>
    <row r="3214" spans="1:5">
      <c r="A3214" s="76" t="s">
        <v>279</v>
      </c>
      <c r="B3214" s="77" t="s">
        <v>135</v>
      </c>
      <c r="C3214" s="78" t="s">
        <v>136</v>
      </c>
      <c r="D3214" s="78" t="s">
        <v>2534</v>
      </c>
      <c r="E3214" s="78" t="s">
        <v>2535</v>
      </c>
    </row>
    <row r="3215" ht="25.5" spans="1:5">
      <c r="A3215" s="76" t="s">
        <v>3111</v>
      </c>
      <c r="B3215" s="77" t="s">
        <v>839</v>
      </c>
      <c r="C3215" s="78">
        <v>1</v>
      </c>
      <c r="D3215" s="78">
        <v>1.5</v>
      </c>
      <c r="E3215" s="78">
        <f>TRUNC(C3215*D3215,2)</f>
        <v>1.5</v>
      </c>
    </row>
    <row r="3216" spans="1:5">
      <c r="A3216" s="76" t="s">
        <v>122</v>
      </c>
      <c r="B3216" s="77"/>
      <c r="C3216" s="78"/>
      <c r="D3216" s="78"/>
      <c r="E3216" s="78">
        <f>SUM(E3215:E3215)</f>
        <v>1.5</v>
      </c>
    </row>
    <row r="3217" spans="1:5">
      <c r="A3217" s="76"/>
      <c r="B3217" s="77"/>
      <c r="C3217" s="78"/>
      <c r="D3217" s="78"/>
      <c r="E3217" s="78"/>
    </row>
    <row r="3218" spans="1:5">
      <c r="A3218" s="76" t="s">
        <v>280</v>
      </c>
      <c r="B3218" s="77" t="s">
        <v>135</v>
      </c>
      <c r="C3218" s="78" t="s">
        <v>136</v>
      </c>
      <c r="D3218" s="78" t="s">
        <v>2534</v>
      </c>
      <c r="E3218" s="78" t="s">
        <v>2535</v>
      </c>
    </row>
    <row r="3219" ht="25.5" spans="1:5">
      <c r="A3219" s="76" t="s">
        <v>3112</v>
      </c>
      <c r="B3219" s="77" t="s">
        <v>839</v>
      </c>
      <c r="C3219" s="78">
        <v>1</v>
      </c>
      <c r="D3219" s="78">
        <v>3.95</v>
      </c>
      <c r="E3219" s="78">
        <f>TRUNC(C3219*D3219,2)</f>
        <v>3.95</v>
      </c>
    </row>
    <row r="3220" spans="1:5">
      <c r="A3220" s="76" t="s">
        <v>3317</v>
      </c>
      <c r="B3220" s="77" t="s">
        <v>839</v>
      </c>
      <c r="C3220" s="78">
        <v>1</v>
      </c>
      <c r="D3220" s="78">
        <v>23.07</v>
      </c>
      <c r="E3220" s="78">
        <f>TRUNC(C3220*D3220,2)</f>
        <v>23.07</v>
      </c>
    </row>
    <row r="3221" ht="25.5" spans="1:5">
      <c r="A3221" s="76" t="s">
        <v>3113</v>
      </c>
      <c r="B3221" s="77" t="s">
        <v>839</v>
      </c>
      <c r="C3221" s="78">
        <v>1</v>
      </c>
      <c r="D3221" s="78">
        <v>0.08</v>
      </c>
      <c r="E3221" s="78">
        <f>TRUNC(C3221*D3221,2)</f>
        <v>0.08</v>
      </c>
    </row>
    <row r="3222" spans="1:5">
      <c r="A3222" s="76" t="s">
        <v>122</v>
      </c>
      <c r="B3222" s="77"/>
      <c r="C3222" s="78"/>
      <c r="D3222" s="78"/>
      <c r="E3222" s="78">
        <f>SUM(E3219:E3221)</f>
        <v>27.1</v>
      </c>
    </row>
    <row r="3223" spans="1:5">
      <c r="A3223" s="76" t="s">
        <v>117</v>
      </c>
      <c r="B3223" s="77"/>
      <c r="C3223" s="78"/>
      <c r="D3223" s="78"/>
      <c r="E3223" s="78" t="str">
        <f>"0"</f>
        <v>0</v>
      </c>
    </row>
    <row r="3224" spans="1:5">
      <c r="A3224" s="76" t="s">
        <v>2537</v>
      </c>
      <c r="B3224" s="77"/>
      <c r="C3224" s="78"/>
      <c r="D3224" s="78"/>
      <c r="E3224" s="78">
        <f>E3222+E3223</f>
        <v>27.1</v>
      </c>
    </row>
    <row r="3225" spans="1:5">
      <c r="A3225" s="76"/>
      <c r="B3225" s="77"/>
      <c r="C3225" s="78"/>
      <c r="D3225" s="78"/>
      <c r="E3225" s="78"/>
    </row>
    <row r="3226" spans="1:5">
      <c r="A3226" s="76" t="s">
        <v>2543</v>
      </c>
      <c r="B3226" s="77" t="s">
        <v>135</v>
      </c>
      <c r="C3226" s="78" t="s">
        <v>136</v>
      </c>
      <c r="D3226" s="78" t="s">
        <v>2534</v>
      </c>
      <c r="E3226" s="78" t="s">
        <v>2535</v>
      </c>
    </row>
    <row r="3227" ht="25.5" spans="1:5">
      <c r="A3227" s="76" t="s">
        <v>3195</v>
      </c>
      <c r="B3227" s="77" t="s">
        <v>839</v>
      </c>
      <c r="C3227" s="78">
        <v>1</v>
      </c>
      <c r="D3227" s="78">
        <v>0.89</v>
      </c>
      <c r="E3227" s="78">
        <f>TRUNC(C3227*D3227,2)</f>
        <v>0.89</v>
      </c>
    </row>
    <row r="3228" spans="1:5">
      <c r="A3228" s="76" t="s">
        <v>3116</v>
      </c>
      <c r="B3228" s="77" t="s">
        <v>839</v>
      </c>
      <c r="C3228" s="78">
        <v>1</v>
      </c>
      <c r="D3228" s="78">
        <v>1.43</v>
      </c>
      <c r="E3228" s="78">
        <f>TRUNC(C3228*D3228,2)</f>
        <v>1.43</v>
      </c>
    </row>
    <row r="3229" ht="25.5" spans="1:5">
      <c r="A3229" s="76" t="s">
        <v>3196</v>
      </c>
      <c r="B3229" s="77" t="s">
        <v>839</v>
      </c>
      <c r="C3229" s="78">
        <v>1</v>
      </c>
      <c r="D3229" s="78">
        <v>0.01</v>
      </c>
      <c r="E3229" s="78">
        <f>TRUNC(C3229*D3229,2)</f>
        <v>0.01</v>
      </c>
    </row>
    <row r="3230" ht="25.5" spans="1:5">
      <c r="A3230" s="76" t="s">
        <v>3318</v>
      </c>
      <c r="B3230" s="77" t="s">
        <v>839</v>
      </c>
      <c r="C3230" s="78">
        <v>1</v>
      </c>
      <c r="D3230" s="78">
        <v>0.37</v>
      </c>
      <c r="E3230" s="78">
        <f>TRUNC(C3230*D3230,2)</f>
        <v>0.37</v>
      </c>
    </row>
    <row r="3231" spans="1:5">
      <c r="A3231" s="76" t="s">
        <v>122</v>
      </c>
      <c r="B3231" s="77"/>
      <c r="C3231" s="78"/>
      <c r="D3231" s="78"/>
      <c r="E3231" s="78">
        <f>SUM(E3227:E3230)</f>
        <v>2.7</v>
      </c>
    </row>
    <row r="3232" spans="1:5">
      <c r="A3232" s="76"/>
      <c r="B3232" s="77"/>
      <c r="C3232" s="78"/>
      <c r="D3232" s="78"/>
      <c r="E3232" s="78"/>
    </row>
    <row r="3233" spans="1:5">
      <c r="A3233" s="76" t="s">
        <v>2538</v>
      </c>
      <c r="B3233" s="77"/>
      <c r="C3233" s="78"/>
      <c r="D3233" s="78"/>
      <c r="E3233" s="78">
        <f>E3216+E3224+E3231</f>
        <v>31.3</v>
      </c>
    </row>
    <row r="3234" spans="1:5">
      <c r="A3234" s="76" t="s">
        <v>2539</v>
      </c>
      <c r="B3234" s="77"/>
      <c r="C3234" s="78"/>
      <c r="D3234" s="78">
        <v>0</v>
      </c>
      <c r="E3234" s="78">
        <f>TRUNC(D3234*E3233/100,2)</f>
        <v>0</v>
      </c>
    </row>
    <row r="3235" spans="1:5">
      <c r="A3235" s="76" t="s">
        <v>2540</v>
      </c>
      <c r="B3235" s="77"/>
      <c r="C3235" s="78"/>
      <c r="D3235" s="78"/>
      <c r="E3235" s="78">
        <f>E3233+E3234</f>
        <v>31.3</v>
      </c>
    </row>
    <row r="3236" spans="1:5">
      <c r="A3236" s="76"/>
      <c r="B3236" s="77"/>
      <c r="C3236" s="78"/>
      <c r="D3236" s="78"/>
      <c r="E3236" s="78"/>
    </row>
    <row r="3237" spans="1:5">
      <c r="A3237" s="76" t="s">
        <v>3092</v>
      </c>
      <c r="B3237" s="77" t="s">
        <v>3319</v>
      </c>
      <c r="C3237" s="78"/>
      <c r="D3237" s="78"/>
      <c r="E3237" s="78"/>
    </row>
    <row r="3238" ht="25.5" spans="1:5">
      <c r="A3238" s="76" t="s">
        <v>3320</v>
      </c>
      <c r="B3238" s="77"/>
      <c r="C3238" s="78"/>
      <c r="D3238" s="78"/>
      <c r="E3238" s="78"/>
    </row>
    <row r="3239" spans="1:5">
      <c r="A3239" s="76" t="s">
        <v>2764</v>
      </c>
      <c r="B3239" s="77"/>
      <c r="C3239" s="78"/>
      <c r="D3239" s="78"/>
      <c r="E3239" s="78"/>
    </row>
    <row r="3240" spans="1:5">
      <c r="A3240" s="76"/>
      <c r="B3240" s="77"/>
      <c r="C3240" s="78"/>
      <c r="D3240" s="78"/>
      <c r="E3240" s="78"/>
    </row>
    <row r="3241" spans="1:5">
      <c r="A3241" s="76" t="s">
        <v>280</v>
      </c>
      <c r="B3241" s="77" t="s">
        <v>135</v>
      </c>
      <c r="C3241" s="78" t="s">
        <v>136</v>
      </c>
      <c r="D3241" s="78" t="s">
        <v>2534</v>
      </c>
      <c r="E3241" s="78" t="s">
        <v>2535</v>
      </c>
    </row>
    <row r="3242" spans="1:5">
      <c r="A3242" s="76" t="s">
        <v>3317</v>
      </c>
      <c r="B3242" s="77" t="s">
        <v>839</v>
      </c>
      <c r="C3242" s="78">
        <v>0.01637</v>
      </c>
      <c r="D3242" s="78">
        <v>23.07</v>
      </c>
      <c r="E3242" s="78">
        <f>TRUNC(C3242*D3242,2)</f>
        <v>0.37</v>
      </c>
    </row>
    <row r="3243" spans="1:5">
      <c r="A3243" s="76" t="s">
        <v>122</v>
      </c>
      <c r="B3243" s="77"/>
      <c r="C3243" s="78"/>
      <c r="D3243" s="78"/>
      <c r="E3243" s="78">
        <f>SUM(E3242:E3242)</f>
        <v>0.37</v>
      </c>
    </row>
    <row r="3244" spans="1:5">
      <c r="A3244" s="76" t="s">
        <v>117</v>
      </c>
      <c r="B3244" s="77"/>
      <c r="C3244" s="78"/>
      <c r="D3244" s="78"/>
      <c r="E3244" s="78" t="str">
        <f>"0"</f>
        <v>0</v>
      </c>
    </row>
    <row r="3245" spans="1:5">
      <c r="A3245" s="76" t="s">
        <v>2537</v>
      </c>
      <c r="B3245" s="77"/>
      <c r="C3245" s="78"/>
      <c r="D3245" s="78"/>
      <c r="E3245" s="78">
        <f>E3243+E3244</f>
        <v>0.37</v>
      </c>
    </row>
    <row r="3246" spans="1:5">
      <c r="A3246" s="76"/>
      <c r="B3246" s="77"/>
      <c r="C3246" s="78"/>
      <c r="D3246" s="78"/>
      <c r="E3246" s="78"/>
    </row>
    <row r="3247" spans="1:5">
      <c r="A3247" s="76" t="s">
        <v>2538</v>
      </c>
      <c r="B3247" s="77"/>
      <c r="C3247" s="78"/>
      <c r="D3247" s="78"/>
      <c r="E3247" s="78">
        <f>E3245</f>
        <v>0.37</v>
      </c>
    </row>
    <row r="3248" spans="1:5">
      <c r="A3248" s="76" t="s">
        <v>2539</v>
      </c>
      <c r="B3248" s="77"/>
      <c r="C3248" s="78"/>
      <c r="D3248" s="78">
        <v>0</v>
      </c>
      <c r="E3248" s="78">
        <f>TRUNC(D3248*E3247/100,2)</f>
        <v>0</v>
      </c>
    </row>
    <row r="3249" spans="1:5">
      <c r="A3249" s="76" t="s">
        <v>2540</v>
      </c>
      <c r="B3249" s="77"/>
      <c r="C3249" s="78"/>
      <c r="D3249" s="78"/>
      <c r="E3249" s="78">
        <f>E3247+E3248</f>
        <v>0.37</v>
      </c>
    </row>
    <row r="3250" spans="1:5">
      <c r="A3250" s="76"/>
      <c r="B3250" s="77"/>
      <c r="C3250" s="78"/>
      <c r="D3250" s="78"/>
      <c r="E3250" s="78"/>
    </row>
    <row r="3251" spans="1:5">
      <c r="A3251" s="76" t="s">
        <v>3092</v>
      </c>
      <c r="B3251" s="77" t="s">
        <v>3321</v>
      </c>
      <c r="C3251" s="78"/>
      <c r="D3251" s="78"/>
      <c r="E3251" s="78"/>
    </row>
    <row r="3252" ht="38.25" spans="1:5">
      <c r="A3252" s="76" t="s">
        <v>3322</v>
      </c>
      <c r="B3252" s="77"/>
      <c r="C3252" s="78"/>
      <c r="D3252" s="78"/>
      <c r="E3252" s="78"/>
    </row>
    <row r="3253" spans="1:5">
      <c r="A3253" s="76" t="s">
        <v>2764</v>
      </c>
      <c r="B3253" s="77"/>
      <c r="C3253" s="78"/>
      <c r="D3253" s="78"/>
      <c r="E3253" s="78"/>
    </row>
    <row r="3254" spans="1:5">
      <c r="A3254" s="76"/>
      <c r="B3254" s="77"/>
      <c r="C3254" s="78"/>
      <c r="D3254" s="78"/>
      <c r="E3254" s="78"/>
    </row>
    <row r="3255" spans="1:5">
      <c r="A3255" s="76" t="s">
        <v>279</v>
      </c>
      <c r="B3255" s="77" t="s">
        <v>135</v>
      </c>
      <c r="C3255" s="78" t="s">
        <v>136</v>
      </c>
      <c r="D3255" s="78" t="s">
        <v>2534</v>
      </c>
      <c r="E3255" s="78" t="s">
        <v>2535</v>
      </c>
    </row>
    <row r="3256" ht="38.25" spans="1:5">
      <c r="A3256" s="76" t="s">
        <v>3323</v>
      </c>
      <c r="B3256" s="77" t="s">
        <v>494</v>
      </c>
      <c r="C3256" s="78">
        <v>3.43e-5</v>
      </c>
      <c r="D3256" s="78">
        <v>569580.71</v>
      </c>
      <c r="E3256" s="78">
        <f>TRUNC(C3256*D3256,2)</f>
        <v>19.53</v>
      </c>
    </row>
    <row r="3257" ht="51" spans="1:5">
      <c r="A3257" s="76" t="s">
        <v>3324</v>
      </c>
      <c r="B3257" s="77" t="s">
        <v>494</v>
      </c>
      <c r="C3257" s="78">
        <v>5.51e-5</v>
      </c>
      <c r="D3257" s="78">
        <v>143450</v>
      </c>
      <c r="E3257" s="78">
        <f>TRUNC(C3257*D3257,2)</f>
        <v>7.9</v>
      </c>
    </row>
    <row r="3258" spans="1:5">
      <c r="A3258" s="76" t="s">
        <v>122</v>
      </c>
      <c r="B3258" s="77"/>
      <c r="C3258" s="78"/>
      <c r="D3258" s="78"/>
      <c r="E3258" s="78">
        <f>SUM(E3256:E3257)</f>
        <v>27.43</v>
      </c>
    </row>
    <row r="3259" spans="1:5">
      <c r="A3259" s="76"/>
      <c r="B3259" s="77"/>
      <c r="C3259" s="78"/>
      <c r="D3259" s="78"/>
      <c r="E3259" s="78"/>
    </row>
    <row r="3260" spans="1:5">
      <c r="A3260" s="76" t="s">
        <v>2538</v>
      </c>
      <c r="B3260" s="77"/>
      <c r="C3260" s="78"/>
      <c r="D3260" s="78"/>
      <c r="E3260" s="78">
        <f>E3258</f>
        <v>27.43</v>
      </c>
    </row>
    <row r="3261" spans="1:5">
      <c r="A3261" s="76" t="s">
        <v>2539</v>
      </c>
      <c r="B3261" s="77"/>
      <c r="C3261" s="78"/>
      <c r="D3261" s="78">
        <v>0</v>
      </c>
      <c r="E3261" s="78">
        <f>TRUNC(D3261*E3260/100,2)</f>
        <v>0</v>
      </c>
    </row>
    <row r="3262" spans="1:5">
      <c r="A3262" s="76" t="s">
        <v>2540</v>
      </c>
      <c r="B3262" s="77"/>
      <c r="C3262" s="78"/>
      <c r="D3262" s="78"/>
      <c r="E3262" s="78">
        <f>E3260+E3261</f>
        <v>27.43</v>
      </c>
    </row>
    <row r="3263" spans="1:5">
      <c r="A3263" s="76"/>
      <c r="B3263" s="77"/>
      <c r="C3263" s="78"/>
      <c r="D3263" s="78"/>
      <c r="E3263" s="78"/>
    </row>
    <row r="3264" spans="1:5">
      <c r="A3264" s="76" t="s">
        <v>3092</v>
      </c>
      <c r="B3264" s="77" t="s">
        <v>3325</v>
      </c>
      <c r="C3264" s="78"/>
      <c r="D3264" s="78"/>
      <c r="E3264" s="78"/>
    </row>
    <row r="3265" ht="38.25" spans="1:5">
      <c r="A3265" s="76" t="s">
        <v>3326</v>
      </c>
      <c r="B3265" s="77"/>
      <c r="C3265" s="78"/>
      <c r="D3265" s="78"/>
      <c r="E3265" s="78"/>
    </row>
    <row r="3266" spans="1:5">
      <c r="A3266" s="76" t="s">
        <v>2764</v>
      </c>
      <c r="B3266" s="77"/>
      <c r="C3266" s="78"/>
      <c r="D3266" s="78"/>
      <c r="E3266" s="78"/>
    </row>
    <row r="3267" spans="1:5">
      <c r="A3267" s="76"/>
      <c r="B3267" s="77"/>
      <c r="C3267" s="78"/>
      <c r="D3267" s="78"/>
      <c r="E3267" s="78"/>
    </row>
    <row r="3268" spans="1:5">
      <c r="A3268" s="76" t="s">
        <v>279</v>
      </c>
      <c r="B3268" s="77" t="s">
        <v>135</v>
      </c>
      <c r="C3268" s="78" t="s">
        <v>136</v>
      </c>
      <c r="D3268" s="78" t="s">
        <v>2534</v>
      </c>
      <c r="E3268" s="78" t="s">
        <v>2535</v>
      </c>
    </row>
    <row r="3269" ht="38.25" spans="1:5">
      <c r="A3269" s="76" t="s">
        <v>3323</v>
      </c>
      <c r="B3269" s="77" t="s">
        <v>494</v>
      </c>
      <c r="C3269" s="78">
        <v>6.43e-5</v>
      </c>
      <c r="D3269" s="78">
        <v>569580.71</v>
      </c>
      <c r="E3269" s="78">
        <f>TRUNC(C3269*D3269,2)</f>
        <v>36.62</v>
      </c>
    </row>
    <row r="3270" ht="51" spans="1:5">
      <c r="A3270" s="76" t="s">
        <v>3324</v>
      </c>
      <c r="B3270" s="77" t="s">
        <v>494</v>
      </c>
      <c r="C3270" s="78">
        <v>6.89e-5</v>
      </c>
      <c r="D3270" s="78">
        <v>143450</v>
      </c>
      <c r="E3270" s="78">
        <f>TRUNC(C3270*D3270,2)</f>
        <v>9.88</v>
      </c>
    </row>
    <row r="3271" spans="1:5">
      <c r="A3271" s="76" t="s">
        <v>122</v>
      </c>
      <c r="B3271" s="77"/>
      <c r="C3271" s="78"/>
      <c r="D3271" s="78"/>
      <c r="E3271" s="78">
        <f>SUM(E3269:E3270)</f>
        <v>46.5</v>
      </c>
    </row>
    <row r="3272" spans="1:5">
      <c r="A3272" s="76"/>
      <c r="B3272" s="77"/>
      <c r="C3272" s="78"/>
      <c r="D3272" s="78"/>
      <c r="E3272" s="78"/>
    </row>
    <row r="3273" spans="1:5">
      <c r="A3273" s="76" t="s">
        <v>2538</v>
      </c>
      <c r="B3273" s="77"/>
      <c r="C3273" s="78"/>
      <c r="D3273" s="78"/>
      <c r="E3273" s="78">
        <f>E3271</f>
        <v>46.5</v>
      </c>
    </row>
    <row r="3274" spans="1:5">
      <c r="A3274" s="76" t="s">
        <v>2539</v>
      </c>
      <c r="B3274" s="77"/>
      <c r="C3274" s="78"/>
      <c r="D3274" s="78">
        <v>0</v>
      </c>
      <c r="E3274" s="78">
        <f>TRUNC(D3274*E3273/100,2)</f>
        <v>0</v>
      </c>
    </row>
    <row r="3275" spans="1:5">
      <c r="A3275" s="76" t="s">
        <v>2540</v>
      </c>
      <c r="B3275" s="77"/>
      <c r="C3275" s="78"/>
      <c r="D3275" s="78"/>
      <c r="E3275" s="78">
        <f>E3273+E3274</f>
        <v>46.5</v>
      </c>
    </row>
    <row r="3276" spans="1:5">
      <c r="A3276" s="76"/>
      <c r="B3276" s="77"/>
      <c r="C3276" s="78"/>
      <c r="D3276" s="78"/>
      <c r="E3276" s="78"/>
    </row>
    <row r="3277" spans="1:5">
      <c r="A3277" s="76" t="s">
        <v>3092</v>
      </c>
      <c r="B3277" s="77" t="s">
        <v>3327</v>
      </c>
      <c r="C3277" s="78"/>
      <c r="D3277" s="78"/>
      <c r="E3277" s="78"/>
    </row>
    <row r="3278" ht="38.25" spans="1:5">
      <c r="A3278" s="76" t="s">
        <v>3328</v>
      </c>
      <c r="B3278" s="77"/>
      <c r="C3278" s="78"/>
      <c r="D3278" s="78"/>
      <c r="E3278" s="78"/>
    </row>
    <row r="3279" spans="1:5">
      <c r="A3279" s="76" t="s">
        <v>2764</v>
      </c>
      <c r="B3279" s="77"/>
      <c r="C3279" s="78"/>
      <c r="D3279" s="78"/>
      <c r="E3279" s="78"/>
    </row>
    <row r="3280" spans="1:5">
      <c r="A3280" s="76"/>
      <c r="B3280" s="77"/>
      <c r="C3280" s="78"/>
      <c r="D3280" s="78"/>
      <c r="E3280" s="78"/>
    </row>
    <row r="3281" spans="1:5">
      <c r="A3281" s="76" t="s">
        <v>279</v>
      </c>
      <c r="B3281" s="77" t="s">
        <v>135</v>
      </c>
      <c r="C3281" s="78" t="s">
        <v>136</v>
      </c>
      <c r="D3281" s="78" t="s">
        <v>2534</v>
      </c>
      <c r="E3281" s="78" t="s">
        <v>2535</v>
      </c>
    </row>
    <row r="3282" ht="38.25" spans="1:5">
      <c r="A3282" s="76" t="s">
        <v>3323</v>
      </c>
      <c r="B3282" s="77" t="s">
        <v>494</v>
      </c>
      <c r="C3282" s="78">
        <v>1.41e-5</v>
      </c>
      <c r="D3282" s="78">
        <v>569580.71</v>
      </c>
      <c r="E3282" s="78">
        <f>TRUNC(C3282*D3282,2)</f>
        <v>8.03</v>
      </c>
    </row>
    <row r="3283" ht="51" spans="1:5">
      <c r="A3283" s="76" t="s">
        <v>3324</v>
      </c>
      <c r="B3283" s="77" t="s">
        <v>494</v>
      </c>
      <c r="C3283" s="78">
        <v>1.44e-5</v>
      </c>
      <c r="D3283" s="78">
        <v>143450</v>
      </c>
      <c r="E3283" s="78">
        <f>TRUNC(C3283*D3283,2)</f>
        <v>2.06</v>
      </c>
    </row>
    <row r="3284" spans="1:5">
      <c r="A3284" s="76" t="s">
        <v>122</v>
      </c>
      <c r="B3284" s="77"/>
      <c r="C3284" s="78"/>
      <c r="D3284" s="78"/>
      <c r="E3284" s="78">
        <f>SUM(E3282:E3283)</f>
        <v>10.09</v>
      </c>
    </row>
    <row r="3285" spans="1:5">
      <c r="A3285" s="76"/>
      <c r="B3285" s="77"/>
      <c r="C3285" s="78"/>
      <c r="D3285" s="78"/>
      <c r="E3285" s="78"/>
    </row>
    <row r="3286" spans="1:5">
      <c r="A3286" s="76" t="s">
        <v>2538</v>
      </c>
      <c r="B3286" s="77"/>
      <c r="C3286" s="78"/>
      <c r="D3286" s="78"/>
      <c r="E3286" s="78">
        <f>E3284</f>
        <v>10.09</v>
      </c>
    </row>
    <row r="3287" spans="1:5">
      <c r="A3287" s="76" t="s">
        <v>2539</v>
      </c>
      <c r="B3287" s="77"/>
      <c r="C3287" s="78"/>
      <c r="D3287" s="78">
        <v>0</v>
      </c>
      <c r="E3287" s="78">
        <f>TRUNC(D3287*E3286/100,2)</f>
        <v>0</v>
      </c>
    </row>
    <row r="3288" spans="1:5">
      <c r="A3288" s="76" t="s">
        <v>2540</v>
      </c>
      <c r="B3288" s="77"/>
      <c r="C3288" s="78"/>
      <c r="D3288" s="78"/>
      <c r="E3288" s="78">
        <f>E3286+E3287</f>
        <v>10.09</v>
      </c>
    </row>
    <row r="3289" spans="1:5">
      <c r="A3289" s="76"/>
      <c r="B3289" s="77"/>
      <c r="C3289" s="78"/>
      <c r="D3289" s="78"/>
      <c r="E3289" s="78"/>
    </row>
    <row r="3290" spans="1:5">
      <c r="A3290" s="76" t="s">
        <v>3092</v>
      </c>
      <c r="B3290" s="77" t="s">
        <v>3329</v>
      </c>
      <c r="C3290" s="78"/>
      <c r="D3290" s="78"/>
      <c r="E3290" s="78"/>
    </row>
    <row r="3291" ht="38.25" spans="1:5">
      <c r="A3291" s="76" t="s">
        <v>3330</v>
      </c>
      <c r="B3291" s="77"/>
      <c r="C3291" s="78"/>
      <c r="D3291" s="78"/>
      <c r="E3291" s="78"/>
    </row>
    <row r="3292" spans="1:5">
      <c r="A3292" s="76" t="s">
        <v>2764</v>
      </c>
      <c r="B3292" s="77"/>
      <c r="C3292" s="78"/>
      <c r="D3292" s="78"/>
      <c r="E3292" s="78"/>
    </row>
    <row r="3293" spans="1:5">
      <c r="A3293" s="76"/>
      <c r="B3293" s="77"/>
      <c r="C3293" s="78"/>
      <c r="D3293" s="78"/>
      <c r="E3293" s="78"/>
    </row>
    <row r="3294" spans="1:5">
      <c r="A3294" s="76" t="s">
        <v>279</v>
      </c>
      <c r="B3294" s="77" t="s">
        <v>135</v>
      </c>
      <c r="C3294" s="78" t="s">
        <v>136</v>
      </c>
      <c r="D3294" s="78" t="s">
        <v>2534</v>
      </c>
      <c r="E3294" s="78" t="s">
        <v>2535</v>
      </c>
    </row>
    <row r="3295" ht="38.25" spans="1:5">
      <c r="A3295" s="76" t="s">
        <v>3323</v>
      </c>
      <c r="B3295" s="77" t="s">
        <v>494</v>
      </c>
      <c r="C3295" s="78">
        <v>5.7e-6</v>
      </c>
      <c r="D3295" s="78">
        <v>569580.71</v>
      </c>
      <c r="E3295" s="78">
        <f>TRUNC(C3295*D3295,2)</f>
        <v>3.24</v>
      </c>
    </row>
    <row r="3296" ht="51" spans="1:5">
      <c r="A3296" s="76" t="s">
        <v>3324</v>
      </c>
      <c r="B3296" s="77" t="s">
        <v>494</v>
      </c>
      <c r="C3296" s="78">
        <v>5.8e-6</v>
      </c>
      <c r="D3296" s="78">
        <v>143450</v>
      </c>
      <c r="E3296" s="78">
        <f>TRUNC(C3296*D3296,2)</f>
        <v>0.83</v>
      </c>
    </row>
    <row r="3297" spans="1:5">
      <c r="A3297" s="76" t="s">
        <v>122</v>
      </c>
      <c r="B3297" s="77"/>
      <c r="C3297" s="78"/>
      <c r="D3297" s="78"/>
      <c r="E3297" s="78">
        <f>SUM(E3295:E3296)</f>
        <v>4.07</v>
      </c>
    </row>
    <row r="3298" spans="1:5">
      <c r="A3298" s="76"/>
      <c r="B3298" s="77"/>
      <c r="C3298" s="78"/>
      <c r="D3298" s="78"/>
      <c r="E3298" s="78"/>
    </row>
    <row r="3299" spans="1:5">
      <c r="A3299" s="76" t="s">
        <v>2538</v>
      </c>
      <c r="B3299" s="77"/>
      <c r="C3299" s="78"/>
      <c r="D3299" s="78"/>
      <c r="E3299" s="78">
        <f>E3297</f>
        <v>4.07</v>
      </c>
    </row>
    <row r="3300" spans="1:5">
      <c r="A3300" s="76" t="s">
        <v>2539</v>
      </c>
      <c r="B3300" s="77"/>
      <c r="C3300" s="78"/>
      <c r="D3300" s="78">
        <v>0</v>
      </c>
      <c r="E3300" s="78">
        <f>TRUNC(D3300*E3299/100,2)</f>
        <v>0</v>
      </c>
    </row>
    <row r="3301" spans="1:5">
      <c r="A3301" s="76" t="s">
        <v>2540</v>
      </c>
      <c r="B3301" s="77"/>
      <c r="C3301" s="78"/>
      <c r="D3301" s="78"/>
      <c r="E3301" s="78">
        <f>E3299+E3300</f>
        <v>4.07</v>
      </c>
    </row>
    <row r="3302" spans="1:5">
      <c r="A3302" s="76"/>
      <c r="B3302" s="77"/>
      <c r="C3302" s="78"/>
      <c r="D3302" s="78"/>
      <c r="E3302" s="78"/>
    </row>
    <row r="3303" spans="1:5">
      <c r="A3303" s="76" t="s">
        <v>3092</v>
      </c>
      <c r="B3303" s="77" t="s">
        <v>3331</v>
      </c>
      <c r="C3303" s="78"/>
      <c r="D3303" s="78"/>
      <c r="E3303" s="78"/>
    </row>
    <row r="3304" ht="38.25" spans="1:5">
      <c r="A3304" s="76" t="s">
        <v>3332</v>
      </c>
      <c r="B3304" s="77"/>
      <c r="C3304" s="78"/>
      <c r="D3304" s="78"/>
      <c r="E3304" s="78"/>
    </row>
    <row r="3305" spans="1:5">
      <c r="A3305" s="76" t="s">
        <v>2764</v>
      </c>
      <c r="B3305" s="77"/>
      <c r="C3305" s="78"/>
      <c r="D3305" s="78"/>
      <c r="E3305" s="78"/>
    </row>
    <row r="3306" spans="1:5">
      <c r="A3306" s="76"/>
      <c r="B3306" s="77"/>
      <c r="C3306" s="78"/>
      <c r="D3306" s="78"/>
      <c r="E3306" s="78"/>
    </row>
    <row r="3307" spans="1:5">
      <c r="A3307" s="76" t="s">
        <v>2543</v>
      </c>
      <c r="B3307" s="77" t="s">
        <v>135</v>
      </c>
      <c r="C3307" s="78" t="s">
        <v>136</v>
      </c>
      <c r="D3307" s="78" t="s">
        <v>2534</v>
      </c>
      <c r="E3307" s="78" t="s">
        <v>2535</v>
      </c>
    </row>
    <row r="3308" spans="1:5">
      <c r="A3308" s="76" t="s">
        <v>3202</v>
      </c>
      <c r="B3308" s="77" t="s">
        <v>215</v>
      </c>
      <c r="C3308" s="78">
        <v>26.43</v>
      </c>
      <c r="D3308" s="78">
        <v>5.93</v>
      </c>
      <c r="E3308" s="78">
        <f>TRUNC(C3308*D3308,2)</f>
        <v>156.72</v>
      </c>
    </row>
    <row r="3309" spans="1:5">
      <c r="A3309" s="76" t="s">
        <v>122</v>
      </c>
      <c r="B3309" s="77"/>
      <c r="C3309" s="78"/>
      <c r="D3309" s="78"/>
      <c r="E3309" s="78">
        <f>SUM(E3308:E3308)</f>
        <v>156.72</v>
      </c>
    </row>
    <row r="3310" spans="1:5">
      <c r="A3310" s="76"/>
      <c r="B3310" s="77"/>
      <c r="C3310" s="78"/>
      <c r="D3310" s="78"/>
      <c r="E3310" s="78"/>
    </row>
    <row r="3311" spans="1:5">
      <c r="A3311" s="76" t="s">
        <v>2538</v>
      </c>
      <c r="B3311" s="77"/>
      <c r="C3311" s="78"/>
      <c r="D3311" s="78"/>
      <c r="E3311" s="78">
        <f>E3309</f>
        <v>156.72</v>
      </c>
    </row>
    <row r="3312" spans="1:5">
      <c r="A3312" s="76" t="s">
        <v>2539</v>
      </c>
      <c r="B3312" s="77"/>
      <c r="C3312" s="78"/>
      <c r="D3312" s="78">
        <v>0</v>
      </c>
      <c r="E3312" s="78">
        <f>TRUNC(D3312*E3311/100,2)</f>
        <v>0</v>
      </c>
    </row>
    <row r="3313" spans="1:5">
      <c r="A3313" s="76" t="s">
        <v>2540</v>
      </c>
      <c r="B3313" s="77"/>
      <c r="C3313" s="78"/>
      <c r="D3313" s="78"/>
      <c r="E3313" s="78">
        <f>E3311+E3312</f>
        <v>156.72</v>
      </c>
    </row>
    <row r="3314" spans="1:5">
      <c r="A3314" s="76"/>
      <c r="B3314" s="77"/>
      <c r="C3314" s="78"/>
      <c r="D3314" s="78"/>
      <c r="E3314" s="78"/>
    </row>
    <row r="3315" spans="1:5">
      <c r="A3315" s="76" t="s">
        <v>3092</v>
      </c>
      <c r="B3315" s="77" t="s">
        <v>3333</v>
      </c>
      <c r="C3315" s="78"/>
      <c r="D3315" s="78"/>
      <c r="E3315" s="78"/>
    </row>
    <row r="3316" ht="38.25" spans="1:5">
      <c r="A3316" s="76" t="s">
        <v>3334</v>
      </c>
      <c r="B3316" s="77"/>
      <c r="C3316" s="78"/>
      <c r="D3316" s="78"/>
      <c r="E3316" s="78"/>
    </row>
    <row r="3317" spans="1:5">
      <c r="A3317" s="76" t="s">
        <v>3091</v>
      </c>
      <c r="B3317" s="77"/>
      <c r="C3317" s="78"/>
      <c r="D3317" s="78"/>
      <c r="E3317" s="78"/>
    </row>
    <row r="3318" spans="1:5">
      <c r="A3318" s="76"/>
      <c r="B3318" s="77"/>
      <c r="C3318" s="78"/>
      <c r="D3318" s="78"/>
      <c r="E3318" s="78"/>
    </row>
    <row r="3319" spans="1:5">
      <c r="A3319" s="76" t="s">
        <v>2543</v>
      </c>
      <c r="B3319" s="77" t="s">
        <v>135</v>
      </c>
      <c r="C3319" s="78" t="s">
        <v>136</v>
      </c>
      <c r="D3319" s="78" t="s">
        <v>2534</v>
      </c>
      <c r="E3319" s="78" t="s">
        <v>2535</v>
      </c>
    </row>
    <row r="3320" ht="25.5" spans="1:5">
      <c r="A3320" s="76" t="s">
        <v>3309</v>
      </c>
      <c r="B3320" s="77" t="s">
        <v>839</v>
      </c>
      <c r="C3320" s="78">
        <v>1</v>
      </c>
      <c r="D3320" s="78">
        <v>31.3</v>
      </c>
      <c r="E3320" s="78">
        <f>TRUNC(C3320*D3320,2)</f>
        <v>31.3</v>
      </c>
    </row>
    <row r="3321" ht="38.25" spans="1:5">
      <c r="A3321" s="76" t="s">
        <v>3310</v>
      </c>
      <c r="B3321" s="77" t="s">
        <v>839</v>
      </c>
      <c r="C3321" s="78">
        <v>1</v>
      </c>
      <c r="D3321" s="78">
        <v>27.43</v>
      </c>
      <c r="E3321" s="78">
        <f>TRUNC(C3321*D3321,2)</f>
        <v>27.43</v>
      </c>
    </row>
    <row r="3322" ht="38.25" spans="1:5">
      <c r="A3322" s="76" t="s">
        <v>3312</v>
      </c>
      <c r="B3322" s="77" t="s">
        <v>839</v>
      </c>
      <c r="C3322" s="78">
        <v>1</v>
      </c>
      <c r="D3322" s="78">
        <v>10.09</v>
      </c>
      <c r="E3322" s="78">
        <f>TRUNC(C3322*D3322,2)</f>
        <v>10.09</v>
      </c>
    </row>
    <row r="3323" ht="51" spans="1:5">
      <c r="A3323" s="76" t="s">
        <v>3313</v>
      </c>
      <c r="B3323" s="77" t="s">
        <v>839</v>
      </c>
      <c r="C3323" s="78">
        <v>1</v>
      </c>
      <c r="D3323" s="78">
        <v>4.07</v>
      </c>
      <c r="E3323" s="78">
        <f>TRUNC(C3323*D3323,2)</f>
        <v>4.07</v>
      </c>
    </row>
    <row r="3324" spans="1:5">
      <c r="A3324" s="76" t="s">
        <v>122</v>
      </c>
      <c r="B3324" s="77"/>
      <c r="C3324" s="78"/>
      <c r="D3324" s="78"/>
      <c r="E3324" s="78">
        <f>SUM(E3320:E3323)</f>
        <v>72.89</v>
      </c>
    </row>
    <row r="3325" spans="1:5">
      <c r="A3325" s="76"/>
      <c r="B3325" s="77"/>
      <c r="C3325" s="78"/>
      <c r="D3325" s="78"/>
      <c r="E3325" s="78"/>
    </row>
    <row r="3326" spans="1:5">
      <c r="A3326" s="76" t="s">
        <v>2538</v>
      </c>
      <c r="B3326" s="77"/>
      <c r="C3326" s="78"/>
      <c r="D3326" s="78"/>
      <c r="E3326" s="78">
        <f>E3324</f>
        <v>72.89</v>
      </c>
    </row>
    <row r="3327" spans="1:5">
      <c r="A3327" s="76" t="s">
        <v>2539</v>
      </c>
      <c r="B3327" s="77"/>
      <c r="C3327" s="78"/>
      <c r="D3327" s="78">
        <v>0</v>
      </c>
      <c r="E3327" s="78">
        <f>TRUNC(D3327*E3326/100,2)</f>
        <v>0</v>
      </c>
    </row>
    <row r="3328" spans="1:5">
      <c r="A3328" s="76" t="s">
        <v>2540</v>
      </c>
      <c r="B3328" s="77"/>
      <c r="C3328" s="78"/>
      <c r="D3328" s="78"/>
      <c r="E3328" s="78">
        <f>E3326+E3327</f>
        <v>72.89</v>
      </c>
    </row>
    <row r="3329" spans="1:5">
      <c r="A3329" s="76"/>
      <c r="B3329" s="77"/>
      <c r="C3329" s="78"/>
      <c r="D3329" s="78"/>
      <c r="E3329" s="78"/>
    </row>
    <row r="3330" spans="1:5">
      <c r="A3330" s="76" t="s">
        <v>3092</v>
      </c>
      <c r="B3330" s="77" t="s">
        <v>3335</v>
      </c>
      <c r="C3330" s="78"/>
      <c r="D3330" s="78"/>
      <c r="E3330" s="78"/>
    </row>
    <row r="3331" ht="25.5" spans="1:5">
      <c r="A3331" s="76" t="s">
        <v>3336</v>
      </c>
      <c r="B3331" s="77"/>
      <c r="C3331" s="78"/>
      <c r="D3331" s="78"/>
      <c r="E3331" s="78"/>
    </row>
    <row r="3332" spans="1:5">
      <c r="A3332" s="76" t="s">
        <v>3085</v>
      </c>
      <c r="B3332" s="77"/>
      <c r="C3332" s="78"/>
      <c r="D3332" s="78"/>
      <c r="E3332" s="78"/>
    </row>
    <row r="3333" spans="1:5">
      <c r="A3333" s="76"/>
      <c r="B3333" s="77"/>
      <c r="C3333" s="78"/>
      <c r="D3333" s="78"/>
      <c r="E3333" s="78"/>
    </row>
    <row r="3334" spans="1:5">
      <c r="A3334" s="76" t="s">
        <v>2543</v>
      </c>
      <c r="B3334" s="77" t="s">
        <v>135</v>
      </c>
      <c r="C3334" s="78" t="s">
        <v>136</v>
      </c>
      <c r="D3334" s="78" t="s">
        <v>2534</v>
      </c>
      <c r="E3334" s="78" t="s">
        <v>2535</v>
      </c>
    </row>
    <row r="3335" ht="25.5" spans="1:5">
      <c r="A3335" s="76" t="s">
        <v>3273</v>
      </c>
      <c r="B3335" s="77" t="s">
        <v>839</v>
      </c>
      <c r="C3335" s="78">
        <v>1</v>
      </c>
      <c r="D3335" s="78">
        <v>26.06</v>
      </c>
      <c r="E3335" s="78">
        <f>TRUNC(C3335*D3335,2)</f>
        <v>26.06</v>
      </c>
    </row>
    <row r="3336" ht="25.5" spans="1:5">
      <c r="A3336" s="76" t="s">
        <v>3337</v>
      </c>
      <c r="B3336" s="77" t="s">
        <v>839</v>
      </c>
      <c r="C3336" s="78">
        <v>1</v>
      </c>
      <c r="D3336" s="78">
        <v>0.1</v>
      </c>
      <c r="E3336" s="78">
        <f>TRUNC(C3336*D3336,2)</f>
        <v>0.1</v>
      </c>
    </row>
    <row r="3337" ht="25.5" spans="1:5">
      <c r="A3337" s="76" t="s">
        <v>3338</v>
      </c>
      <c r="B3337" s="77" t="s">
        <v>839</v>
      </c>
      <c r="C3337" s="78">
        <v>1</v>
      </c>
      <c r="D3337" s="78">
        <v>0.02</v>
      </c>
      <c r="E3337" s="78">
        <f>TRUNC(C3337*D3337,2)</f>
        <v>0.02</v>
      </c>
    </row>
    <row r="3338" ht="25.5" spans="1:5">
      <c r="A3338" s="76" t="s">
        <v>3339</v>
      </c>
      <c r="B3338" s="77" t="s">
        <v>839</v>
      </c>
      <c r="C3338" s="78">
        <v>1</v>
      </c>
      <c r="D3338" s="78">
        <v>0.07</v>
      </c>
      <c r="E3338" s="78">
        <f>TRUNC(C3338*D3338,2)</f>
        <v>0.07</v>
      </c>
    </row>
    <row r="3339" ht="25.5" spans="1:5">
      <c r="A3339" s="76" t="s">
        <v>3340</v>
      </c>
      <c r="B3339" s="77" t="s">
        <v>839</v>
      </c>
      <c r="C3339" s="78">
        <v>1</v>
      </c>
      <c r="D3339" s="78">
        <v>0.97</v>
      </c>
      <c r="E3339" s="78">
        <f>TRUNC(C3339*D3339,2)</f>
        <v>0.97</v>
      </c>
    </row>
    <row r="3340" spans="1:5">
      <c r="A3340" s="76" t="s">
        <v>122</v>
      </c>
      <c r="B3340" s="77"/>
      <c r="C3340" s="78"/>
      <c r="D3340" s="78"/>
      <c r="E3340" s="78">
        <f>SUM(E3335:E3339)</f>
        <v>27.22</v>
      </c>
    </row>
    <row r="3341" spans="1:5">
      <c r="A3341" s="76"/>
      <c r="B3341" s="77"/>
      <c r="C3341" s="78"/>
      <c r="D3341" s="78"/>
      <c r="E3341" s="78"/>
    </row>
    <row r="3342" spans="1:5">
      <c r="A3342" s="76" t="s">
        <v>2538</v>
      </c>
      <c r="B3342" s="77"/>
      <c r="C3342" s="78"/>
      <c r="D3342" s="78"/>
      <c r="E3342" s="78">
        <f>E3340</f>
        <v>27.22</v>
      </c>
    </row>
    <row r="3343" spans="1:5">
      <c r="A3343" s="76" t="s">
        <v>2539</v>
      </c>
      <c r="B3343" s="77"/>
      <c r="C3343" s="78"/>
      <c r="D3343" s="78">
        <v>0</v>
      </c>
      <c r="E3343" s="78">
        <f>TRUNC(D3343*E3342/100,2)</f>
        <v>0</v>
      </c>
    </row>
    <row r="3344" spans="1:5">
      <c r="A3344" s="76" t="s">
        <v>2540</v>
      </c>
      <c r="B3344" s="77"/>
      <c r="C3344" s="78"/>
      <c r="D3344" s="78"/>
      <c r="E3344" s="78">
        <f>E3342+E3343</f>
        <v>27.22</v>
      </c>
    </row>
    <row r="3345" spans="1:5">
      <c r="A3345" s="76"/>
      <c r="B3345" s="77"/>
      <c r="C3345" s="78"/>
      <c r="D3345" s="78"/>
      <c r="E3345" s="78"/>
    </row>
    <row r="3346" spans="1:5">
      <c r="A3346" s="76" t="s">
        <v>3092</v>
      </c>
      <c r="B3346" s="77" t="s">
        <v>3341</v>
      </c>
      <c r="C3346" s="78"/>
      <c r="D3346" s="78"/>
      <c r="E3346" s="78"/>
    </row>
    <row r="3347" ht="25.5" spans="1:5">
      <c r="A3347" s="76" t="s">
        <v>3342</v>
      </c>
      <c r="B3347" s="77"/>
      <c r="C3347" s="78"/>
      <c r="D3347" s="78"/>
      <c r="E3347" s="78"/>
    </row>
    <row r="3348" spans="1:5">
      <c r="A3348" s="76" t="s">
        <v>2764</v>
      </c>
      <c r="B3348" s="77"/>
      <c r="C3348" s="78"/>
      <c r="D3348" s="78"/>
      <c r="E3348" s="78"/>
    </row>
    <row r="3349" spans="1:5">
      <c r="A3349" s="76"/>
      <c r="B3349" s="77"/>
      <c r="C3349" s="78"/>
      <c r="D3349" s="78"/>
      <c r="E3349" s="78"/>
    </row>
    <row r="3350" spans="1:5">
      <c r="A3350" s="76" t="s">
        <v>2543</v>
      </c>
      <c r="B3350" s="77" t="s">
        <v>135</v>
      </c>
      <c r="C3350" s="78" t="s">
        <v>136</v>
      </c>
      <c r="D3350" s="78" t="s">
        <v>2534</v>
      </c>
      <c r="E3350" s="78" t="s">
        <v>2535</v>
      </c>
    </row>
    <row r="3351" ht="25.5" spans="1:5">
      <c r="A3351" s="76" t="s">
        <v>3343</v>
      </c>
      <c r="B3351" s="77" t="s">
        <v>494</v>
      </c>
      <c r="C3351" s="78">
        <v>7.2e-5</v>
      </c>
      <c r="D3351" s="78">
        <v>1504.72</v>
      </c>
      <c r="E3351" s="78">
        <f>TRUNC(C3351*D3351,2)</f>
        <v>0.1</v>
      </c>
    </row>
    <row r="3352" spans="1:5">
      <c r="A3352" s="76" t="s">
        <v>122</v>
      </c>
      <c r="B3352" s="77"/>
      <c r="C3352" s="78"/>
      <c r="D3352" s="78"/>
      <c r="E3352" s="78">
        <f>SUM(E3351:E3351)</f>
        <v>0.1</v>
      </c>
    </row>
    <row r="3353" spans="1:5">
      <c r="A3353" s="76"/>
      <c r="B3353" s="77"/>
      <c r="C3353" s="78"/>
      <c r="D3353" s="78"/>
      <c r="E3353" s="78"/>
    </row>
    <row r="3354" spans="1:5">
      <c r="A3354" s="76" t="s">
        <v>2538</v>
      </c>
      <c r="B3354" s="77"/>
      <c r="C3354" s="78"/>
      <c r="D3354" s="78"/>
      <c r="E3354" s="78">
        <f>E3352</f>
        <v>0.1</v>
      </c>
    </row>
    <row r="3355" spans="1:5">
      <c r="A3355" s="76" t="s">
        <v>2539</v>
      </c>
      <c r="B3355" s="77"/>
      <c r="C3355" s="78"/>
      <c r="D3355" s="78">
        <v>0</v>
      </c>
      <c r="E3355" s="78">
        <f>TRUNC(D3355*E3354/100,2)</f>
        <v>0</v>
      </c>
    </row>
    <row r="3356" spans="1:5">
      <c r="A3356" s="76" t="s">
        <v>2540</v>
      </c>
      <c r="B3356" s="77"/>
      <c r="C3356" s="78"/>
      <c r="D3356" s="78"/>
      <c r="E3356" s="78">
        <f>E3354+E3355</f>
        <v>0.1</v>
      </c>
    </row>
    <row r="3357" spans="1:5">
      <c r="A3357" s="76"/>
      <c r="B3357" s="77"/>
      <c r="C3357" s="78"/>
      <c r="D3357" s="78"/>
      <c r="E3357" s="78"/>
    </row>
    <row r="3358" spans="1:5">
      <c r="A3358" s="76" t="s">
        <v>3092</v>
      </c>
      <c r="B3358" s="77" t="s">
        <v>3344</v>
      </c>
      <c r="C3358" s="78"/>
      <c r="D3358" s="78"/>
      <c r="E3358" s="78"/>
    </row>
    <row r="3359" ht="25.5" spans="1:5">
      <c r="A3359" s="76" t="s">
        <v>3345</v>
      </c>
      <c r="B3359" s="77"/>
      <c r="C3359" s="78"/>
      <c r="D3359" s="78"/>
      <c r="E3359" s="78"/>
    </row>
    <row r="3360" spans="1:5">
      <c r="A3360" s="76" t="s">
        <v>2764</v>
      </c>
      <c r="B3360" s="77"/>
      <c r="C3360" s="78"/>
      <c r="D3360" s="78"/>
      <c r="E3360" s="78"/>
    </row>
    <row r="3361" spans="1:5">
      <c r="A3361" s="76"/>
      <c r="B3361" s="77"/>
      <c r="C3361" s="78"/>
      <c r="D3361" s="78"/>
      <c r="E3361" s="78"/>
    </row>
    <row r="3362" spans="1:5">
      <c r="A3362" s="76" t="s">
        <v>2543</v>
      </c>
      <c r="B3362" s="77" t="s">
        <v>135</v>
      </c>
      <c r="C3362" s="78" t="s">
        <v>136</v>
      </c>
      <c r="D3362" s="78" t="s">
        <v>2534</v>
      </c>
      <c r="E3362" s="78" t="s">
        <v>2535</v>
      </c>
    </row>
    <row r="3363" ht="25.5" spans="1:5">
      <c r="A3363" s="76" t="s">
        <v>3343</v>
      </c>
      <c r="B3363" s="77" t="s">
        <v>494</v>
      </c>
      <c r="C3363" s="78">
        <v>1.48e-5</v>
      </c>
      <c r="D3363" s="78">
        <v>1504.72</v>
      </c>
      <c r="E3363" s="78">
        <f>TRUNC(C3363*D3363,2)</f>
        <v>0.02</v>
      </c>
    </row>
    <row r="3364" spans="1:5">
      <c r="A3364" s="76" t="s">
        <v>122</v>
      </c>
      <c r="B3364" s="77"/>
      <c r="C3364" s="78"/>
      <c r="D3364" s="78"/>
      <c r="E3364" s="78">
        <f>SUM(E3363:E3363)</f>
        <v>0.02</v>
      </c>
    </row>
    <row r="3365" spans="1:5">
      <c r="A3365" s="76"/>
      <c r="B3365" s="77"/>
      <c r="C3365" s="78"/>
      <c r="D3365" s="78"/>
      <c r="E3365" s="78"/>
    </row>
    <row r="3366" spans="1:5">
      <c r="A3366" s="76" t="s">
        <v>2538</v>
      </c>
      <c r="B3366" s="77"/>
      <c r="C3366" s="78"/>
      <c r="D3366" s="78"/>
      <c r="E3366" s="78">
        <f>E3364</f>
        <v>0.02</v>
      </c>
    </row>
    <row r="3367" spans="1:5">
      <c r="A3367" s="76" t="s">
        <v>2539</v>
      </c>
      <c r="B3367" s="77"/>
      <c r="C3367" s="78"/>
      <c r="D3367" s="78">
        <v>0</v>
      </c>
      <c r="E3367" s="78">
        <f>TRUNC(D3367*E3366/100,2)</f>
        <v>0</v>
      </c>
    </row>
    <row r="3368" spans="1:5">
      <c r="A3368" s="76" t="s">
        <v>2540</v>
      </c>
      <c r="B3368" s="77"/>
      <c r="C3368" s="78"/>
      <c r="D3368" s="78"/>
      <c r="E3368" s="78">
        <f>E3366+E3367</f>
        <v>0.02</v>
      </c>
    </row>
    <row r="3369" spans="1:5">
      <c r="A3369" s="76"/>
      <c r="B3369" s="77"/>
      <c r="C3369" s="78"/>
      <c r="D3369" s="78"/>
      <c r="E3369" s="78"/>
    </row>
    <row r="3370" spans="1:5">
      <c r="A3370" s="76" t="s">
        <v>3092</v>
      </c>
      <c r="B3370" s="77" t="s">
        <v>3346</v>
      </c>
      <c r="C3370" s="78"/>
      <c r="D3370" s="78"/>
      <c r="E3370" s="78"/>
    </row>
    <row r="3371" ht="25.5" spans="1:5">
      <c r="A3371" s="76" t="s">
        <v>3347</v>
      </c>
      <c r="B3371" s="77"/>
      <c r="C3371" s="78"/>
      <c r="D3371" s="78"/>
      <c r="E3371" s="78"/>
    </row>
    <row r="3372" spans="1:5">
      <c r="A3372" s="76" t="s">
        <v>2764</v>
      </c>
      <c r="B3372" s="77"/>
      <c r="C3372" s="78"/>
      <c r="D3372" s="78"/>
      <c r="E3372" s="78"/>
    </row>
    <row r="3373" spans="1:5">
      <c r="A3373" s="76"/>
      <c r="B3373" s="77"/>
      <c r="C3373" s="78"/>
      <c r="D3373" s="78"/>
      <c r="E3373" s="78"/>
    </row>
    <row r="3374" spans="1:5">
      <c r="A3374" s="76" t="s">
        <v>2543</v>
      </c>
      <c r="B3374" s="77" t="s">
        <v>135</v>
      </c>
      <c r="C3374" s="78" t="s">
        <v>136</v>
      </c>
      <c r="D3374" s="78" t="s">
        <v>2534</v>
      </c>
      <c r="E3374" s="78" t="s">
        <v>2535</v>
      </c>
    </row>
    <row r="3375" ht="25.5" spans="1:5">
      <c r="A3375" s="76" t="s">
        <v>3343</v>
      </c>
      <c r="B3375" s="77" t="s">
        <v>494</v>
      </c>
      <c r="C3375" s="78">
        <v>5e-5</v>
      </c>
      <c r="D3375" s="78">
        <v>1504.72</v>
      </c>
      <c r="E3375" s="78">
        <f>TRUNC(C3375*D3375,2)</f>
        <v>0.07</v>
      </c>
    </row>
    <row r="3376" spans="1:5">
      <c r="A3376" s="76" t="s">
        <v>122</v>
      </c>
      <c r="B3376" s="77"/>
      <c r="C3376" s="78"/>
      <c r="D3376" s="78"/>
      <c r="E3376" s="78">
        <f>SUM(E3375:E3375)</f>
        <v>0.07</v>
      </c>
    </row>
    <row r="3377" spans="1:5">
      <c r="A3377" s="76"/>
      <c r="B3377" s="77"/>
      <c r="C3377" s="78"/>
      <c r="D3377" s="78"/>
      <c r="E3377" s="78"/>
    </row>
    <row r="3378" spans="1:5">
      <c r="A3378" s="76" t="s">
        <v>2538</v>
      </c>
      <c r="B3378" s="77"/>
      <c r="C3378" s="78"/>
      <c r="D3378" s="78"/>
      <c r="E3378" s="78">
        <f>E3376</f>
        <v>0.07</v>
      </c>
    </row>
    <row r="3379" spans="1:5">
      <c r="A3379" s="76" t="s">
        <v>2539</v>
      </c>
      <c r="B3379" s="77"/>
      <c r="C3379" s="78"/>
      <c r="D3379" s="78">
        <v>0</v>
      </c>
      <c r="E3379" s="78">
        <f>TRUNC(D3379*E3378/100,2)</f>
        <v>0</v>
      </c>
    </row>
    <row r="3380" spans="1:5">
      <c r="A3380" s="76" t="s">
        <v>2540</v>
      </c>
      <c r="B3380" s="77"/>
      <c r="C3380" s="78"/>
      <c r="D3380" s="78"/>
      <c r="E3380" s="78">
        <f>E3378+E3379</f>
        <v>0.07</v>
      </c>
    </row>
    <row r="3381" spans="1:5">
      <c r="A3381" s="76"/>
      <c r="B3381" s="77"/>
      <c r="C3381" s="78"/>
      <c r="D3381" s="78"/>
      <c r="E3381" s="78"/>
    </row>
    <row r="3382" spans="1:5">
      <c r="A3382" s="76" t="s">
        <v>3092</v>
      </c>
      <c r="B3382" s="77" t="s">
        <v>3348</v>
      </c>
      <c r="C3382" s="78"/>
      <c r="D3382" s="78"/>
      <c r="E3382" s="78"/>
    </row>
    <row r="3383" ht="25.5" spans="1:5">
      <c r="A3383" s="76" t="s">
        <v>3349</v>
      </c>
      <c r="B3383" s="77"/>
      <c r="C3383" s="78"/>
      <c r="D3383" s="78"/>
      <c r="E3383" s="78"/>
    </row>
    <row r="3384" spans="1:5">
      <c r="A3384" s="76" t="s">
        <v>2764</v>
      </c>
      <c r="B3384" s="77"/>
      <c r="C3384" s="78"/>
      <c r="D3384" s="78"/>
      <c r="E3384" s="78"/>
    </row>
    <row r="3385" spans="1:5">
      <c r="A3385" s="76"/>
      <c r="B3385" s="77"/>
      <c r="C3385" s="78"/>
      <c r="D3385" s="78"/>
      <c r="E3385" s="78"/>
    </row>
    <row r="3386" spans="1:5">
      <c r="A3386" s="76" t="s">
        <v>2543</v>
      </c>
      <c r="B3386" s="77" t="s">
        <v>135</v>
      </c>
      <c r="C3386" s="78" t="s">
        <v>136</v>
      </c>
      <c r="D3386" s="78" t="s">
        <v>2534</v>
      </c>
      <c r="E3386" s="78" t="s">
        <v>2535</v>
      </c>
    </row>
    <row r="3387" spans="1:5">
      <c r="A3387" s="76" t="s">
        <v>3242</v>
      </c>
      <c r="B3387" s="77" t="s">
        <v>1695</v>
      </c>
      <c r="C3387" s="78">
        <v>1.36</v>
      </c>
      <c r="D3387" s="78">
        <v>0.72</v>
      </c>
      <c r="E3387" s="78">
        <f>TRUNC(C3387*D3387,2)</f>
        <v>0.97</v>
      </c>
    </row>
    <row r="3388" spans="1:5">
      <c r="A3388" s="76" t="s">
        <v>122</v>
      </c>
      <c r="B3388" s="77"/>
      <c r="C3388" s="78"/>
      <c r="D3388" s="78"/>
      <c r="E3388" s="78">
        <f>SUM(E3387:E3387)</f>
        <v>0.97</v>
      </c>
    </row>
    <row r="3389" spans="1:5">
      <c r="A3389" s="76"/>
      <c r="B3389" s="77"/>
      <c r="C3389" s="78"/>
      <c r="D3389" s="78"/>
      <c r="E3389" s="78"/>
    </row>
    <row r="3390" spans="1:5">
      <c r="A3390" s="76" t="s">
        <v>2538</v>
      </c>
      <c r="B3390" s="77"/>
      <c r="C3390" s="78"/>
      <c r="D3390" s="78"/>
      <c r="E3390" s="78">
        <f>E3388</f>
        <v>0.97</v>
      </c>
    </row>
    <row r="3391" spans="1:5">
      <c r="A3391" s="76" t="s">
        <v>2539</v>
      </c>
      <c r="B3391" s="77"/>
      <c r="C3391" s="78"/>
      <c r="D3391" s="78">
        <v>0</v>
      </c>
      <c r="E3391" s="78">
        <f>TRUNC(D3391*E3390/100,2)</f>
        <v>0</v>
      </c>
    </row>
    <row r="3392" spans="1:5">
      <c r="A3392" s="76" t="s">
        <v>2540</v>
      </c>
      <c r="B3392" s="77"/>
      <c r="C3392" s="78"/>
      <c r="D3392" s="78"/>
      <c r="E3392" s="78">
        <f>E3390+E3391</f>
        <v>0.97</v>
      </c>
    </row>
    <row r="3393" spans="1:5">
      <c r="A3393" s="76"/>
      <c r="B3393" s="77"/>
      <c r="C3393" s="78"/>
      <c r="D3393" s="78"/>
      <c r="E3393" s="78"/>
    </row>
    <row r="3394" spans="1:5">
      <c r="A3394" s="76" t="s">
        <v>3092</v>
      </c>
      <c r="B3394" s="77" t="s">
        <v>3350</v>
      </c>
      <c r="C3394" s="78"/>
      <c r="D3394" s="78"/>
      <c r="E3394" s="78"/>
    </row>
    <row r="3395" ht="25.5" spans="1:5">
      <c r="A3395" s="76" t="s">
        <v>3351</v>
      </c>
      <c r="B3395" s="77"/>
      <c r="C3395" s="78"/>
      <c r="D3395" s="78"/>
      <c r="E3395" s="78"/>
    </row>
    <row r="3396" spans="1:5">
      <c r="A3396" s="76" t="s">
        <v>3091</v>
      </c>
      <c r="B3396" s="77"/>
      <c r="C3396" s="78"/>
      <c r="D3396" s="78"/>
      <c r="E3396" s="78"/>
    </row>
    <row r="3397" spans="1:5">
      <c r="A3397" s="76"/>
      <c r="B3397" s="77"/>
      <c r="C3397" s="78"/>
      <c r="D3397" s="78"/>
      <c r="E3397" s="78"/>
    </row>
    <row r="3398" spans="1:5">
      <c r="A3398" s="76" t="s">
        <v>2543</v>
      </c>
      <c r="B3398" s="77" t="s">
        <v>135</v>
      </c>
      <c r="C3398" s="78" t="s">
        <v>136</v>
      </c>
      <c r="D3398" s="78" t="s">
        <v>2534</v>
      </c>
      <c r="E3398" s="78" t="s">
        <v>2535</v>
      </c>
    </row>
    <row r="3399" ht="25.5" spans="1:5">
      <c r="A3399" s="76" t="s">
        <v>3273</v>
      </c>
      <c r="B3399" s="77" t="s">
        <v>839</v>
      </c>
      <c r="C3399" s="78">
        <v>1</v>
      </c>
      <c r="D3399" s="78">
        <v>26.06</v>
      </c>
      <c r="E3399" s="78">
        <f>TRUNC(C3399*D3399,2)</f>
        <v>26.06</v>
      </c>
    </row>
    <row r="3400" ht="25.5" spans="1:5">
      <c r="A3400" s="76" t="s">
        <v>3337</v>
      </c>
      <c r="B3400" s="77" t="s">
        <v>839</v>
      </c>
      <c r="C3400" s="78">
        <v>1</v>
      </c>
      <c r="D3400" s="78">
        <v>0.1</v>
      </c>
      <c r="E3400" s="78">
        <f>TRUNC(C3400*D3400,2)</f>
        <v>0.1</v>
      </c>
    </row>
    <row r="3401" ht="25.5" spans="1:5">
      <c r="A3401" s="76" t="s">
        <v>3338</v>
      </c>
      <c r="B3401" s="77" t="s">
        <v>839</v>
      </c>
      <c r="C3401" s="78">
        <v>1</v>
      </c>
      <c r="D3401" s="78">
        <v>0.02</v>
      </c>
      <c r="E3401" s="78">
        <f>TRUNC(C3401*D3401,2)</f>
        <v>0.02</v>
      </c>
    </row>
    <row r="3402" spans="1:5">
      <c r="A3402" s="76" t="s">
        <v>122</v>
      </c>
      <c r="B3402" s="77"/>
      <c r="C3402" s="78"/>
      <c r="D3402" s="78"/>
      <c r="E3402" s="78">
        <f>SUM(E3399:E3401)</f>
        <v>26.18</v>
      </c>
    </row>
    <row r="3403" spans="1:5">
      <c r="A3403" s="76"/>
      <c r="B3403" s="77"/>
      <c r="C3403" s="78"/>
      <c r="D3403" s="78"/>
      <c r="E3403" s="78"/>
    </row>
    <row r="3404" spans="1:5">
      <c r="A3404" s="76" t="s">
        <v>2538</v>
      </c>
      <c r="B3404" s="77"/>
      <c r="C3404" s="78"/>
      <c r="D3404" s="78"/>
      <c r="E3404" s="78">
        <f>E3402</f>
        <v>26.18</v>
      </c>
    </row>
    <row r="3405" spans="1:5">
      <c r="A3405" s="76" t="s">
        <v>2539</v>
      </c>
      <c r="B3405" s="77"/>
      <c r="C3405" s="78"/>
      <c r="D3405" s="78">
        <v>0</v>
      </c>
      <c r="E3405" s="78">
        <f>TRUNC(D3405*E3404/100,2)</f>
        <v>0</v>
      </c>
    </row>
    <row r="3406" spans="1:5">
      <c r="A3406" s="76" t="s">
        <v>2540</v>
      </c>
      <c r="B3406" s="77"/>
      <c r="C3406" s="78"/>
      <c r="D3406" s="78"/>
      <c r="E3406" s="78">
        <f>E3404+E3405</f>
        <v>26.18</v>
      </c>
    </row>
    <row r="3407" spans="1:5">
      <c r="A3407" s="76"/>
      <c r="B3407" s="77"/>
      <c r="C3407" s="78"/>
      <c r="D3407" s="78"/>
      <c r="E3407" s="78"/>
    </row>
    <row r="3408" spans="1:5">
      <c r="A3408" s="76" t="s">
        <v>3092</v>
      </c>
      <c r="B3408" s="77" t="s">
        <v>3352</v>
      </c>
      <c r="C3408" s="78"/>
      <c r="D3408" s="78"/>
      <c r="E3408" s="78"/>
    </row>
    <row r="3409" ht="25.5" spans="1:5">
      <c r="A3409" s="76" t="s">
        <v>3353</v>
      </c>
      <c r="B3409" s="77"/>
      <c r="C3409" s="78"/>
      <c r="D3409" s="78"/>
      <c r="E3409" s="78"/>
    </row>
    <row r="3410" spans="1:5">
      <c r="A3410" s="76" t="s">
        <v>2619</v>
      </c>
      <c r="B3410" s="77"/>
      <c r="C3410" s="78"/>
      <c r="D3410" s="78"/>
      <c r="E3410" s="78"/>
    </row>
    <row r="3411" spans="1:5">
      <c r="A3411" s="76"/>
      <c r="B3411" s="77"/>
      <c r="C3411" s="78"/>
      <c r="D3411" s="78"/>
      <c r="E3411" s="78"/>
    </row>
    <row r="3412" spans="1:5">
      <c r="A3412" s="76" t="s">
        <v>2543</v>
      </c>
      <c r="B3412" s="77" t="s">
        <v>135</v>
      </c>
      <c r="C3412" s="78" t="s">
        <v>136</v>
      </c>
      <c r="D3412" s="78" t="s">
        <v>2534</v>
      </c>
      <c r="E3412" s="78" t="s">
        <v>2535</v>
      </c>
    </row>
    <row r="3413" ht="25.5" spans="1:5">
      <c r="A3413" s="76" t="s">
        <v>2755</v>
      </c>
      <c r="B3413" s="77" t="s">
        <v>476</v>
      </c>
      <c r="C3413" s="78">
        <v>0.8538</v>
      </c>
      <c r="D3413" s="78">
        <v>205</v>
      </c>
      <c r="E3413" s="78">
        <f>TRUNC(C3413*D3413,2)</f>
        <v>175.02</v>
      </c>
    </row>
    <row r="3414" spans="1:5">
      <c r="A3414" s="76" t="s">
        <v>3001</v>
      </c>
      <c r="B3414" s="77" t="s">
        <v>463</v>
      </c>
      <c r="C3414" s="78">
        <v>218.93</v>
      </c>
      <c r="D3414" s="78">
        <v>0.65</v>
      </c>
      <c r="E3414" s="78">
        <f>TRUNC(C3414*D3414,2)</f>
        <v>142.3</v>
      </c>
    </row>
    <row r="3415" ht="25.5" spans="1:5">
      <c r="A3415" s="76" t="s">
        <v>2822</v>
      </c>
      <c r="B3415" s="77" t="s">
        <v>476</v>
      </c>
      <c r="C3415" s="78">
        <v>0.5971</v>
      </c>
      <c r="D3415" s="78">
        <v>197.39</v>
      </c>
      <c r="E3415" s="78">
        <f>TRUNC(C3415*D3415,2)</f>
        <v>117.86</v>
      </c>
    </row>
    <row r="3416" spans="1:5">
      <c r="A3416" s="76" t="s">
        <v>2621</v>
      </c>
      <c r="B3416" s="77" t="s">
        <v>839</v>
      </c>
      <c r="C3416" s="78">
        <v>6.2858</v>
      </c>
      <c r="D3416" s="78">
        <v>23.75</v>
      </c>
      <c r="E3416" s="78">
        <f>TRUNC(C3416*D3416,2)</f>
        <v>149.28</v>
      </c>
    </row>
    <row r="3417" spans="1:5">
      <c r="A3417" s="76" t="s">
        <v>122</v>
      </c>
      <c r="B3417" s="77"/>
      <c r="C3417" s="78"/>
      <c r="D3417" s="78"/>
      <c r="E3417" s="78">
        <f>SUM(E3413:E3416)</f>
        <v>584.46</v>
      </c>
    </row>
    <row r="3418" spans="1:5">
      <c r="A3418" s="76"/>
      <c r="B3418" s="77"/>
      <c r="C3418" s="78"/>
      <c r="D3418" s="78"/>
      <c r="E3418" s="78"/>
    </row>
    <row r="3419" spans="1:5">
      <c r="A3419" s="76" t="s">
        <v>2538</v>
      </c>
      <c r="B3419" s="77"/>
      <c r="C3419" s="78"/>
      <c r="D3419" s="78"/>
      <c r="E3419" s="78">
        <f>E3417</f>
        <v>584.46</v>
      </c>
    </row>
    <row r="3420" spans="1:5">
      <c r="A3420" s="76" t="s">
        <v>2539</v>
      </c>
      <c r="B3420" s="77"/>
      <c r="C3420" s="78"/>
      <c r="D3420" s="78">
        <v>0</v>
      </c>
      <c r="E3420" s="78">
        <f>TRUNC(D3420*E3419/100,2)</f>
        <v>0</v>
      </c>
    </row>
    <row r="3421" spans="1:5">
      <c r="A3421" s="76" t="s">
        <v>2540</v>
      </c>
      <c r="B3421" s="77"/>
      <c r="C3421" s="78"/>
      <c r="D3421" s="78"/>
      <c r="E3421" s="78">
        <f>E3419+E3420</f>
        <v>584.46</v>
      </c>
    </row>
    <row r="3422" spans="1:5">
      <c r="A3422" s="76"/>
      <c r="B3422" s="77"/>
      <c r="C3422" s="78"/>
      <c r="D3422" s="78"/>
      <c r="E3422" s="78"/>
    </row>
    <row r="3423" spans="1:5">
      <c r="A3423" s="76" t="s">
        <v>3092</v>
      </c>
      <c r="B3423" s="77">
        <v>2280019006001</v>
      </c>
      <c r="C3423" s="78"/>
      <c r="D3423" s="78"/>
      <c r="E3423" s="78"/>
    </row>
    <row r="3424" ht="25.5" spans="1:5">
      <c r="A3424" s="76" t="s">
        <v>3354</v>
      </c>
      <c r="B3424" s="77"/>
      <c r="C3424" s="78"/>
      <c r="D3424" s="78"/>
      <c r="E3424" s="78"/>
    </row>
    <row r="3425" spans="1:5">
      <c r="A3425" s="76" t="s">
        <v>3085</v>
      </c>
      <c r="B3425" s="77"/>
      <c r="C3425" s="78"/>
      <c r="D3425" s="78"/>
      <c r="E3425" s="78"/>
    </row>
    <row r="3426" spans="1:5">
      <c r="A3426" s="76"/>
      <c r="B3426" s="77"/>
      <c r="C3426" s="78"/>
      <c r="D3426" s="78"/>
      <c r="E3426" s="78"/>
    </row>
    <row r="3427" spans="1:5">
      <c r="A3427" s="76" t="s">
        <v>2543</v>
      </c>
      <c r="B3427" s="77" t="s">
        <v>135</v>
      </c>
      <c r="C3427" s="78" t="s">
        <v>136</v>
      </c>
      <c r="D3427" s="78" t="s">
        <v>2534</v>
      </c>
      <c r="E3427" s="78" t="s">
        <v>2535</v>
      </c>
    </row>
    <row r="3428" ht="25.5" spans="1:5">
      <c r="A3428" s="76" t="s">
        <v>3355</v>
      </c>
      <c r="B3428" s="77" t="s">
        <v>839</v>
      </c>
      <c r="C3428" s="78">
        <v>1</v>
      </c>
      <c r="D3428" s="78">
        <v>5.36</v>
      </c>
      <c r="E3428" s="78">
        <f>TRUNC(C3428*D3428,2)</f>
        <v>5.36</v>
      </c>
    </row>
    <row r="3429" ht="25.5" spans="1:5">
      <c r="A3429" s="76" t="s">
        <v>3356</v>
      </c>
      <c r="B3429" s="77" t="s">
        <v>839</v>
      </c>
      <c r="C3429" s="78">
        <v>1</v>
      </c>
      <c r="D3429" s="78">
        <v>0.66</v>
      </c>
      <c r="E3429" s="78">
        <f>TRUNC(C3429*D3429,2)</f>
        <v>0.66</v>
      </c>
    </row>
    <row r="3430" ht="25.5" spans="1:5">
      <c r="A3430" s="76" t="s">
        <v>3357</v>
      </c>
      <c r="B3430" s="77" t="s">
        <v>839</v>
      </c>
      <c r="C3430" s="78">
        <v>1</v>
      </c>
      <c r="D3430" s="78">
        <v>1.64</v>
      </c>
      <c r="E3430" s="78">
        <f>TRUNC(C3430*D3430,2)</f>
        <v>1.64</v>
      </c>
    </row>
    <row r="3431" ht="25.5" spans="1:5">
      <c r="A3431" s="76" t="s">
        <v>3358</v>
      </c>
      <c r="B3431" s="77" t="s">
        <v>839</v>
      </c>
      <c r="C3431" s="78">
        <v>1</v>
      </c>
      <c r="D3431" s="78">
        <v>6.71</v>
      </c>
      <c r="E3431" s="78">
        <f>TRUNC(C3431*D3431,2)</f>
        <v>6.71</v>
      </c>
    </row>
    <row r="3432" ht="25.5" spans="1:5">
      <c r="A3432" s="76" t="s">
        <v>3359</v>
      </c>
      <c r="B3432" s="77" t="s">
        <v>839</v>
      </c>
      <c r="C3432" s="78">
        <v>1</v>
      </c>
      <c r="D3432" s="78">
        <v>33.25</v>
      </c>
      <c r="E3432" s="78">
        <f>TRUNC(C3432*D3432,2)</f>
        <v>33.25</v>
      </c>
    </row>
    <row r="3433" spans="1:5">
      <c r="A3433" s="76" t="s">
        <v>122</v>
      </c>
      <c r="B3433" s="77"/>
      <c r="C3433" s="78"/>
      <c r="D3433" s="78"/>
      <c r="E3433" s="78">
        <f>SUM(E3428:E3432)</f>
        <v>47.62</v>
      </c>
    </row>
    <row r="3434" spans="1:5">
      <c r="A3434" s="76"/>
      <c r="B3434" s="77"/>
      <c r="C3434" s="78"/>
      <c r="D3434" s="78"/>
      <c r="E3434" s="78"/>
    </row>
    <row r="3435" spans="1:5">
      <c r="A3435" s="76" t="s">
        <v>2538</v>
      </c>
      <c r="B3435" s="77"/>
      <c r="C3435" s="78"/>
      <c r="D3435" s="78"/>
      <c r="E3435" s="78">
        <f>E3433</f>
        <v>47.62</v>
      </c>
    </row>
    <row r="3436" spans="1:5">
      <c r="A3436" s="76" t="s">
        <v>2539</v>
      </c>
      <c r="B3436" s="77"/>
      <c r="C3436" s="78"/>
      <c r="D3436" s="78">
        <v>0</v>
      </c>
      <c r="E3436" s="78">
        <f>TRUNC(D3436*E3435/100,2)</f>
        <v>0</v>
      </c>
    </row>
    <row r="3437" spans="1:5">
      <c r="A3437" s="76" t="s">
        <v>2540</v>
      </c>
      <c r="B3437" s="77"/>
      <c r="C3437" s="78"/>
      <c r="D3437" s="78"/>
      <c r="E3437" s="78">
        <f>E3435+E3436</f>
        <v>47.62</v>
      </c>
    </row>
    <row r="3438" spans="1:5">
      <c r="A3438" s="76"/>
      <c r="B3438" s="77"/>
      <c r="C3438" s="78"/>
      <c r="D3438" s="78"/>
      <c r="E3438" s="78"/>
    </row>
    <row r="3439" spans="1:5">
      <c r="A3439" s="76" t="s">
        <v>3092</v>
      </c>
      <c r="B3439" s="77">
        <v>2203009001136</v>
      </c>
      <c r="C3439" s="78"/>
      <c r="D3439" s="78"/>
      <c r="E3439" s="78"/>
    </row>
    <row r="3440" ht="25.5" spans="1:5">
      <c r="A3440" s="76" t="s">
        <v>3360</v>
      </c>
      <c r="B3440" s="77"/>
      <c r="C3440" s="78"/>
      <c r="D3440" s="78"/>
      <c r="E3440" s="78"/>
    </row>
    <row r="3441" spans="1:5">
      <c r="A3441" s="76" t="s">
        <v>2764</v>
      </c>
      <c r="B3441" s="77"/>
      <c r="C3441" s="78"/>
      <c r="D3441" s="78"/>
      <c r="E3441" s="78"/>
    </row>
    <row r="3442" spans="1:5">
      <c r="A3442" s="76"/>
      <c r="B3442" s="77"/>
      <c r="C3442" s="78"/>
      <c r="D3442" s="78"/>
      <c r="E3442" s="78"/>
    </row>
    <row r="3443" spans="1:5">
      <c r="A3443" s="76" t="s">
        <v>2543</v>
      </c>
      <c r="B3443" s="77" t="s">
        <v>135</v>
      </c>
      <c r="C3443" s="78" t="s">
        <v>136</v>
      </c>
      <c r="D3443" s="78" t="s">
        <v>2534</v>
      </c>
      <c r="E3443" s="78" t="s">
        <v>2535</v>
      </c>
    </row>
    <row r="3444" ht="25.5" spans="1:5">
      <c r="A3444" s="76" t="s">
        <v>3361</v>
      </c>
      <c r="B3444" s="77" t="s">
        <v>494</v>
      </c>
      <c r="C3444" s="78">
        <v>4.791e-5</v>
      </c>
      <c r="D3444" s="78">
        <v>112079</v>
      </c>
      <c r="E3444" s="78">
        <f>TRUNC(C3444*D3444,2)</f>
        <v>5.36</v>
      </c>
    </row>
    <row r="3445" spans="1:5">
      <c r="A3445" s="76" t="s">
        <v>122</v>
      </c>
      <c r="B3445" s="77"/>
      <c r="C3445" s="78"/>
      <c r="D3445" s="78"/>
      <c r="E3445" s="78">
        <f>SUM(E3444:E3444)</f>
        <v>5.36</v>
      </c>
    </row>
    <row r="3446" spans="1:5">
      <c r="A3446" s="76"/>
      <c r="B3446" s="77"/>
      <c r="C3446" s="78"/>
      <c r="D3446" s="78"/>
      <c r="E3446" s="78"/>
    </row>
    <row r="3447" spans="1:5">
      <c r="A3447" s="76" t="s">
        <v>2538</v>
      </c>
      <c r="B3447" s="77"/>
      <c r="C3447" s="78"/>
      <c r="D3447" s="78"/>
      <c r="E3447" s="78">
        <f>E3445</f>
        <v>5.36</v>
      </c>
    </row>
    <row r="3448" spans="1:5">
      <c r="A3448" s="76" t="s">
        <v>2539</v>
      </c>
      <c r="B3448" s="77"/>
      <c r="C3448" s="78"/>
      <c r="D3448" s="78">
        <v>0</v>
      </c>
      <c r="E3448" s="78">
        <f>TRUNC(D3448*E3447/100,2)</f>
        <v>0</v>
      </c>
    </row>
    <row r="3449" spans="1:5">
      <c r="A3449" s="76" t="s">
        <v>2540</v>
      </c>
      <c r="B3449" s="77"/>
      <c r="C3449" s="78"/>
      <c r="D3449" s="78"/>
      <c r="E3449" s="78">
        <f>E3447+E3448</f>
        <v>5.36</v>
      </c>
    </row>
    <row r="3450" spans="1:5">
      <c r="A3450" s="76"/>
      <c r="B3450" s="77"/>
      <c r="C3450" s="78"/>
      <c r="D3450" s="78"/>
      <c r="E3450" s="78"/>
    </row>
    <row r="3451" spans="1:5">
      <c r="A3451" s="76" t="s">
        <v>3092</v>
      </c>
      <c r="B3451" s="77">
        <v>2203009001138</v>
      </c>
      <c r="C3451" s="78"/>
      <c r="D3451" s="78"/>
      <c r="E3451" s="78"/>
    </row>
    <row r="3452" ht="25.5" spans="1:5">
      <c r="A3452" s="76" t="s">
        <v>3362</v>
      </c>
      <c r="B3452" s="77"/>
      <c r="C3452" s="78"/>
      <c r="D3452" s="78"/>
      <c r="E3452" s="78"/>
    </row>
    <row r="3453" spans="1:5">
      <c r="A3453" s="76" t="s">
        <v>2764</v>
      </c>
      <c r="B3453" s="77"/>
      <c r="C3453" s="78"/>
      <c r="D3453" s="78"/>
      <c r="E3453" s="78"/>
    </row>
    <row r="3454" spans="1:5">
      <c r="A3454" s="76"/>
      <c r="B3454" s="77"/>
      <c r="C3454" s="78"/>
      <c r="D3454" s="78"/>
      <c r="E3454" s="78"/>
    </row>
    <row r="3455" spans="1:5">
      <c r="A3455" s="76" t="s">
        <v>2543</v>
      </c>
      <c r="B3455" s="77" t="s">
        <v>135</v>
      </c>
      <c r="C3455" s="78" t="s">
        <v>136</v>
      </c>
      <c r="D3455" s="78" t="s">
        <v>2534</v>
      </c>
      <c r="E3455" s="78" t="s">
        <v>2535</v>
      </c>
    </row>
    <row r="3456" ht="25.5" spans="1:5">
      <c r="A3456" s="76" t="s">
        <v>3361</v>
      </c>
      <c r="B3456" s="77" t="s">
        <v>494</v>
      </c>
      <c r="C3456" s="78">
        <v>5.97e-6</v>
      </c>
      <c r="D3456" s="78">
        <v>112079</v>
      </c>
      <c r="E3456" s="78">
        <f>TRUNC(C3456*D3456,2)</f>
        <v>0.66</v>
      </c>
    </row>
    <row r="3457" spans="1:5">
      <c r="A3457" s="76" t="s">
        <v>122</v>
      </c>
      <c r="B3457" s="77"/>
      <c r="C3457" s="78"/>
      <c r="D3457" s="78"/>
      <c r="E3457" s="78">
        <f>SUM(E3456:E3456)</f>
        <v>0.66</v>
      </c>
    </row>
    <row r="3458" spans="1:5">
      <c r="A3458" s="76"/>
      <c r="B3458" s="77"/>
      <c r="C3458" s="78"/>
      <c r="D3458" s="78"/>
      <c r="E3458" s="78"/>
    </row>
    <row r="3459" spans="1:5">
      <c r="A3459" s="76" t="s">
        <v>2538</v>
      </c>
      <c r="B3459" s="77"/>
      <c r="C3459" s="78"/>
      <c r="D3459" s="78"/>
      <c r="E3459" s="78">
        <f>E3457</f>
        <v>0.66</v>
      </c>
    </row>
    <row r="3460" spans="1:5">
      <c r="A3460" s="76" t="s">
        <v>2539</v>
      </c>
      <c r="B3460" s="77"/>
      <c r="C3460" s="78"/>
      <c r="D3460" s="78">
        <v>0</v>
      </c>
      <c r="E3460" s="78">
        <f>TRUNC(D3460*E3459/100,2)</f>
        <v>0</v>
      </c>
    </row>
    <row r="3461" spans="1:5">
      <c r="A3461" s="76" t="s">
        <v>2540</v>
      </c>
      <c r="B3461" s="77"/>
      <c r="C3461" s="78"/>
      <c r="D3461" s="78"/>
      <c r="E3461" s="78">
        <f>E3459+E3460</f>
        <v>0.66</v>
      </c>
    </row>
    <row r="3462" spans="1:5">
      <c r="A3462" s="76"/>
      <c r="B3462" s="77"/>
      <c r="C3462" s="78"/>
      <c r="D3462" s="78"/>
      <c r="E3462" s="78"/>
    </row>
    <row r="3463" spans="1:5">
      <c r="A3463" s="76" t="s">
        <v>3092</v>
      </c>
      <c r="B3463" s="77">
        <v>2203009001137</v>
      </c>
      <c r="C3463" s="78"/>
      <c r="D3463" s="78"/>
      <c r="E3463" s="78"/>
    </row>
    <row r="3464" ht="25.5" spans="1:5">
      <c r="A3464" s="76" t="s">
        <v>3363</v>
      </c>
      <c r="B3464" s="77"/>
      <c r="C3464" s="78"/>
      <c r="D3464" s="78"/>
      <c r="E3464" s="78"/>
    </row>
    <row r="3465" spans="1:5">
      <c r="A3465" s="76" t="s">
        <v>2764</v>
      </c>
      <c r="B3465" s="77"/>
      <c r="C3465" s="78"/>
      <c r="D3465" s="78"/>
      <c r="E3465" s="78"/>
    </row>
    <row r="3466" spans="1:5">
      <c r="A3466" s="76"/>
      <c r="B3466" s="77"/>
      <c r="C3466" s="78"/>
      <c r="D3466" s="78"/>
      <c r="E3466" s="78"/>
    </row>
    <row r="3467" spans="1:5">
      <c r="A3467" s="76" t="s">
        <v>2543</v>
      </c>
      <c r="B3467" s="77" t="s">
        <v>135</v>
      </c>
      <c r="C3467" s="78" t="s">
        <v>136</v>
      </c>
      <c r="D3467" s="78" t="s">
        <v>2534</v>
      </c>
      <c r="E3467" s="78" t="s">
        <v>2535</v>
      </c>
    </row>
    <row r="3468" ht="25.5" spans="1:5">
      <c r="A3468" s="76" t="s">
        <v>3361</v>
      </c>
      <c r="B3468" s="77" t="s">
        <v>494</v>
      </c>
      <c r="C3468" s="78">
        <v>1.472e-5</v>
      </c>
      <c r="D3468" s="78">
        <v>112079</v>
      </c>
      <c r="E3468" s="78">
        <f>TRUNC(C3468*D3468,2)</f>
        <v>1.64</v>
      </c>
    </row>
    <row r="3469" spans="1:5">
      <c r="A3469" s="76" t="s">
        <v>122</v>
      </c>
      <c r="B3469" s="77"/>
      <c r="C3469" s="78"/>
      <c r="D3469" s="78"/>
      <c r="E3469" s="78">
        <f>SUM(E3468:E3468)</f>
        <v>1.64</v>
      </c>
    </row>
    <row r="3470" spans="1:5">
      <c r="A3470" s="76"/>
      <c r="B3470" s="77"/>
      <c r="C3470" s="78"/>
      <c r="D3470" s="78"/>
      <c r="E3470" s="78"/>
    </row>
    <row r="3471" spans="1:5">
      <c r="A3471" s="76" t="s">
        <v>2538</v>
      </c>
      <c r="B3471" s="77"/>
      <c r="C3471" s="78"/>
      <c r="D3471" s="78"/>
      <c r="E3471" s="78">
        <f>E3469</f>
        <v>1.64</v>
      </c>
    </row>
    <row r="3472" spans="1:5">
      <c r="A3472" s="76" t="s">
        <v>2539</v>
      </c>
      <c r="B3472" s="77"/>
      <c r="C3472" s="78"/>
      <c r="D3472" s="78">
        <v>0</v>
      </c>
      <c r="E3472" s="78">
        <f>TRUNC(D3472*E3471/100,2)</f>
        <v>0</v>
      </c>
    </row>
    <row r="3473" spans="1:5">
      <c r="A3473" s="76" t="s">
        <v>2540</v>
      </c>
      <c r="B3473" s="77"/>
      <c r="C3473" s="78"/>
      <c r="D3473" s="78"/>
      <c r="E3473" s="78">
        <f>E3471+E3472</f>
        <v>1.64</v>
      </c>
    </row>
    <row r="3474" spans="1:5">
      <c r="A3474" s="76"/>
      <c r="B3474" s="77"/>
      <c r="C3474" s="78"/>
      <c r="D3474" s="78"/>
      <c r="E3474" s="78"/>
    </row>
    <row r="3475" spans="1:5">
      <c r="A3475" s="76" t="s">
        <v>3092</v>
      </c>
      <c r="B3475" s="77">
        <v>2203009001140</v>
      </c>
      <c r="C3475" s="78"/>
      <c r="D3475" s="78"/>
      <c r="E3475" s="78"/>
    </row>
    <row r="3476" ht="25.5" spans="1:5">
      <c r="A3476" s="76" t="s">
        <v>3364</v>
      </c>
      <c r="B3476" s="77"/>
      <c r="C3476" s="78"/>
      <c r="D3476" s="78"/>
      <c r="E3476" s="78"/>
    </row>
    <row r="3477" spans="1:5">
      <c r="A3477" s="76" t="s">
        <v>2764</v>
      </c>
      <c r="B3477" s="77"/>
      <c r="C3477" s="78"/>
      <c r="D3477" s="78"/>
      <c r="E3477" s="78"/>
    </row>
    <row r="3478" spans="1:5">
      <c r="A3478" s="76"/>
      <c r="B3478" s="77"/>
      <c r="C3478" s="78"/>
      <c r="D3478" s="78"/>
      <c r="E3478" s="78"/>
    </row>
    <row r="3479" spans="1:5">
      <c r="A3479" s="76" t="s">
        <v>2543</v>
      </c>
      <c r="B3479" s="77" t="s">
        <v>135</v>
      </c>
      <c r="C3479" s="78" t="s">
        <v>136</v>
      </c>
      <c r="D3479" s="78" t="s">
        <v>2534</v>
      </c>
      <c r="E3479" s="78" t="s">
        <v>2535</v>
      </c>
    </row>
    <row r="3480" ht="25.5" spans="1:5">
      <c r="A3480" s="76" t="s">
        <v>3361</v>
      </c>
      <c r="B3480" s="77" t="s">
        <v>494</v>
      </c>
      <c r="C3480" s="78">
        <v>5.995e-5</v>
      </c>
      <c r="D3480" s="78">
        <v>112079</v>
      </c>
      <c r="E3480" s="78">
        <f>TRUNC(C3480*D3480,2)</f>
        <v>6.71</v>
      </c>
    </row>
    <row r="3481" spans="1:5">
      <c r="A3481" s="76" t="s">
        <v>122</v>
      </c>
      <c r="B3481" s="77"/>
      <c r="C3481" s="78"/>
      <c r="D3481" s="78"/>
      <c r="E3481" s="78">
        <f>SUM(E3480:E3480)</f>
        <v>6.71</v>
      </c>
    </row>
    <row r="3482" spans="1:5">
      <c r="A3482" s="76"/>
      <c r="B3482" s="77"/>
      <c r="C3482" s="78"/>
      <c r="D3482" s="78"/>
      <c r="E3482" s="78"/>
    </row>
    <row r="3483" spans="1:5">
      <c r="A3483" s="76" t="s">
        <v>2538</v>
      </c>
      <c r="B3483" s="77"/>
      <c r="C3483" s="78"/>
      <c r="D3483" s="78"/>
      <c r="E3483" s="78">
        <f>E3481</f>
        <v>6.71</v>
      </c>
    </row>
    <row r="3484" spans="1:5">
      <c r="A3484" s="76" t="s">
        <v>2539</v>
      </c>
      <c r="B3484" s="77"/>
      <c r="C3484" s="78"/>
      <c r="D3484" s="78">
        <v>0</v>
      </c>
      <c r="E3484" s="78">
        <f>TRUNC(D3484*E3483/100,2)</f>
        <v>0</v>
      </c>
    </row>
    <row r="3485" spans="1:5">
      <c r="A3485" s="76" t="s">
        <v>2540</v>
      </c>
      <c r="B3485" s="77"/>
      <c r="C3485" s="78"/>
      <c r="D3485" s="78"/>
      <c r="E3485" s="78">
        <f>E3483+E3484</f>
        <v>6.71</v>
      </c>
    </row>
    <row r="3486" spans="1:5">
      <c r="A3486" s="76"/>
      <c r="B3486" s="77"/>
      <c r="C3486" s="78"/>
      <c r="D3486" s="78"/>
      <c r="E3486" s="78"/>
    </row>
    <row r="3487" spans="1:5">
      <c r="A3487" s="76" t="s">
        <v>3092</v>
      </c>
      <c r="B3487" s="77">
        <v>2203009001139</v>
      </c>
      <c r="C3487" s="78"/>
      <c r="D3487" s="78"/>
      <c r="E3487" s="78"/>
    </row>
    <row r="3488" ht="25.5" spans="1:5">
      <c r="A3488" s="76" t="s">
        <v>3365</v>
      </c>
      <c r="B3488" s="77"/>
      <c r="C3488" s="78"/>
      <c r="D3488" s="78"/>
      <c r="E3488" s="78"/>
    </row>
    <row r="3489" spans="1:5">
      <c r="A3489" s="76" t="s">
        <v>2764</v>
      </c>
      <c r="B3489" s="77"/>
      <c r="C3489" s="78"/>
      <c r="D3489" s="78"/>
      <c r="E3489" s="78"/>
    </row>
    <row r="3490" spans="1:5">
      <c r="A3490" s="76"/>
      <c r="B3490" s="77"/>
      <c r="C3490" s="78"/>
      <c r="D3490" s="78"/>
      <c r="E3490" s="78"/>
    </row>
    <row r="3491" spans="1:5">
      <c r="A3491" s="76" t="s">
        <v>2543</v>
      </c>
      <c r="B3491" s="77" t="s">
        <v>135</v>
      </c>
      <c r="C3491" s="78" t="s">
        <v>136</v>
      </c>
      <c r="D3491" s="78" t="s">
        <v>2534</v>
      </c>
      <c r="E3491" s="78" t="s">
        <v>2535</v>
      </c>
    </row>
    <row r="3492" spans="1:5">
      <c r="A3492" s="76" t="s">
        <v>3366</v>
      </c>
      <c r="B3492" s="77" t="s">
        <v>215</v>
      </c>
      <c r="C3492" s="78">
        <v>5.58</v>
      </c>
      <c r="D3492" s="78">
        <v>5.96</v>
      </c>
      <c r="E3492" s="78">
        <f>TRUNC(C3492*D3492,2)</f>
        <v>33.25</v>
      </c>
    </row>
    <row r="3493" spans="1:5">
      <c r="A3493" s="76" t="s">
        <v>122</v>
      </c>
      <c r="B3493" s="77"/>
      <c r="C3493" s="78"/>
      <c r="D3493" s="78"/>
      <c r="E3493" s="78">
        <f>SUM(E3492:E3492)</f>
        <v>33.25</v>
      </c>
    </row>
    <row r="3494" spans="1:5">
      <c r="A3494" s="76"/>
      <c r="B3494" s="77"/>
      <c r="C3494" s="78"/>
      <c r="D3494" s="78"/>
      <c r="E3494" s="78"/>
    </row>
    <row r="3495" spans="1:5">
      <c r="A3495" s="76" t="s">
        <v>2538</v>
      </c>
      <c r="B3495" s="77"/>
      <c r="C3495" s="78"/>
      <c r="D3495" s="78"/>
      <c r="E3495" s="78">
        <f>E3493</f>
        <v>33.25</v>
      </c>
    </row>
    <row r="3496" spans="1:5">
      <c r="A3496" s="76" t="s">
        <v>2539</v>
      </c>
      <c r="B3496" s="77"/>
      <c r="C3496" s="78"/>
      <c r="D3496" s="78">
        <v>0</v>
      </c>
      <c r="E3496" s="78">
        <f>TRUNC(D3496*E3495/100,2)</f>
        <v>0</v>
      </c>
    </row>
    <row r="3497" spans="1:5">
      <c r="A3497" s="76" t="s">
        <v>2540</v>
      </c>
      <c r="B3497" s="77"/>
      <c r="C3497" s="78"/>
      <c r="D3497" s="78"/>
      <c r="E3497" s="78">
        <f>E3495+E3496</f>
        <v>33.25</v>
      </c>
    </row>
    <row r="3498" spans="1:5">
      <c r="A3498" s="76"/>
      <c r="B3498" s="77"/>
      <c r="C3498" s="78"/>
      <c r="D3498" s="78"/>
      <c r="E3498" s="78"/>
    </row>
    <row r="3499" spans="1:5">
      <c r="A3499" s="76" t="s">
        <v>3092</v>
      </c>
      <c r="B3499" s="77" t="s">
        <v>3367</v>
      </c>
      <c r="C3499" s="78"/>
      <c r="D3499" s="78"/>
      <c r="E3499" s="78"/>
    </row>
    <row r="3500" spans="1:5">
      <c r="A3500" s="76" t="s">
        <v>3368</v>
      </c>
      <c r="B3500" s="77"/>
      <c r="C3500" s="78"/>
      <c r="D3500" s="78"/>
      <c r="E3500" s="78"/>
    </row>
    <row r="3501" spans="1:5">
      <c r="A3501" s="76" t="s">
        <v>2764</v>
      </c>
      <c r="B3501" s="77"/>
      <c r="C3501" s="78"/>
      <c r="D3501" s="78"/>
      <c r="E3501" s="78"/>
    </row>
    <row r="3502" spans="1:5">
      <c r="A3502" s="76"/>
      <c r="B3502" s="77"/>
      <c r="C3502" s="78"/>
      <c r="D3502" s="78"/>
      <c r="E3502" s="78"/>
    </row>
    <row r="3503" spans="1:5">
      <c r="A3503" s="76" t="s">
        <v>280</v>
      </c>
      <c r="B3503" s="77" t="s">
        <v>135</v>
      </c>
      <c r="C3503" s="78" t="s">
        <v>136</v>
      </c>
      <c r="D3503" s="78" t="s">
        <v>2534</v>
      </c>
      <c r="E3503" s="78" t="s">
        <v>2535</v>
      </c>
    </row>
    <row r="3504" spans="1:5">
      <c r="A3504" s="76" t="s">
        <v>3369</v>
      </c>
      <c r="B3504" s="77" t="s">
        <v>839</v>
      </c>
      <c r="C3504" s="78">
        <v>1</v>
      </c>
      <c r="D3504" s="78">
        <v>9.81</v>
      </c>
      <c r="E3504" s="78">
        <f>TRUNC(C3504*D3504,2)</f>
        <v>9.81</v>
      </c>
    </row>
    <row r="3505" ht="25.5" spans="1:5">
      <c r="A3505" s="76" t="s">
        <v>3113</v>
      </c>
      <c r="B3505" s="77" t="s">
        <v>839</v>
      </c>
      <c r="C3505" s="78">
        <v>1</v>
      </c>
      <c r="D3505" s="78">
        <v>0.08</v>
      </c>
      <c r="E3505" s="78">
        <f>TRUNC(C3505*D3505,2)</f>
        <v>0.08</v>
      </c>
    </row>
    <row r="3506" spans="1:5">
      <c r="A3506" s="76" t="s">
        <v>122</v>
      </c>
      <c r="B3506" s="77"/>
      <c r="C3506" s="78"/>
      <c r="D3506" s="78"/>
      <c r="E3506" s="78">
        <f>SUM(E3504:E3505)</f>
        <v>9.89</v>
      </c>
    </row>
    <row r="3507" spans="1:5">
      <c r="A3507" s="76" t="s">
        <v>117</v>
      </c>
      <c r="B3507" s="77"/>
      <c r="C3507" s="78"/>
      <c r="D3507" s="78"/>
      <c r="E3507" s="78" t="str">
        <f>"0"</f>
        <v>0</v>
      </c>
    </row>
    <row r="3508" spans="1:5">
      <c r="A3508" s="76" t="s">
        <v>2537</v>
      </c>
      <c r="B3508" s="77"/>
      <c r="C3508" s="78"/>
      <c r="D3508" s="78"/>
      <c r="E3508" s="78">
        <f>E3506+E3507</f>
        <v>9.89</v>
      </c>
    </row>
    <row r="3509" spans="1:5">
      <c r="A3509" s="76"/>
      <c r="B3509" s="77"/>
      <c r="C3509" s="78"/>
      <c r="D3509" s="78"/>
      <c r="E3509" s="78"/>
    </row>
    <row r="3510" spans="1:5">
      <c r="A3510" s="76" t="s">
        <v>2543</v>
      </c>
      <c r="B3510" s="77" t="s">
        <v>135</v>
      </c>
      <c r="C3510" s="78" t="s">
        <v>136</v>
      </c>
      <c r="D3510" s="78" t="s">
        <v>2534</v>
      </c>
      <c r="E3510" s="78" t="s">
        <v>2535</v>
      </c>
    </row>
    <row r="3511" ht="25.5" spans="1:5">
      <c r="A3511" s="76" t="s">
        <v>3370</v>
      </c>
      <c r="B3511" s="77" t="s">
        <v>839</v>
      </c>
      <c r="C3511" s="78">
        <v>1</v>
      </c>
      <c r="D3511" s="78">
        <v>0.74</v>
      </c>
      <c r="E3511" s="78">
        <f>TRUNC(C3511*D3511,2)</f>
        <v>0.74</v>
      </c>
    </row>
    <row r="3512" spans="1:5">
      <c r="A3512" s="76" t="s">
        <v>3116</v>
      </c>
      <c r="B3512" s="77" t="s">
        <v>839</v>
      </c>
      <c r="C3512" s="78">
        <v>1</v>
      </c>
      <c r="D3512" s="78">
        <v>1.43</v>
      </c>
      <c r="E3512" s="78">
        <f>TRUNC(C3512*D3512,2)</f>
        <v>1.43</v>
      </c>
    </row>
    <row r="3513" ht="25.5" spans="1:5">
      <c r="A3513" s="76" t="s">
        <v>3371</v>
      </c>
      <c r="B3513" s="77" t="s">
        <v>839</v>
      </c>
      <c r="C3513" s="78">
        <v>1</v>
      </c>
      <c r="D3513" s="78">
        <v>0.05</v>
      </c>
      <c r="E3513" s="78">
        <f>TRUNC(C3513*D3513,2)</f>
        <v>0.05</v>
      </c>
    </row>
    <row r="3514" ht="25.5" spans="1:5">
      <c r="A3514" s="76" t="s">
        <v>3372</v>
      </c>
      <c r="B3514" s="77" t="s">
        <v>839</v>
      </c>
      <c r="C3514" s="78">
        <v>1</v>
      </c>
      <c r="D3514" s="78">
        <v>0.08</v>
      </c>
      <c r="E3514" s="78">
        <f>TRUNC(C3514*D3514,2)</f>
        <v>0.08</v>
      </c>
    </row>
    <row r="3515" spans="1:5">
      <c r="A3515" s="76" t="s">
        <v>122</v>
      </c>
      <c r="B3515" s="77"/>
      <c r="C3515" s="78"/>
      <c r="D3515" s="78"/>
      <c r="E3515" s="78">
        <f>SUM(E3511:E3514)</f>
        <v>2.3</v>
      </c>
    </row>
    <row r="3516" spans="1:5">
      <c r="A3516" s="76"/>
      <c r="B3516" s="77"/>
      <c r="C3516" s="78"/>
      <c r="D3516" s="78"/>
      <c r="E3516" s="78"/>
    </row>
    <row r="3517" spans="1:5">
      <c r="A3517" s="76" t="s">
        <v>2538</v>
      </c>
      <c r="B3517" s="77"/>
      <c r="C3517" s="78"/>
      <c r="D3517" s="78"/>
      <c r="E3517" s="78">
        <f>E3508+E3515</f>
        <v>12.19</v>
      </c>
    </row>
    <row r="3518" spans="1:5">
      <c r="A3518" s="76" t="s">
        <v>2539</v>
      </c>
      <c r="B3518" s="77"/>
      <c r="C3518" s="78"/>
      <c r="D3518" s="78">
        <v>0</v>
      </c>
      <c r="E3518" s="78">
        <f>TRUNC(D3518*E3517/100,2)</f>
        <v>0</v>
      </c>
    </row>
    <row r="3519" spans="1:5">
      <c r="A3519" s="76" t="s">
        <v>2540</v>
      </c>
      <c r="B3519" s="77"/>
      <c r="C3519" s="78"/>
      <c r="D3519" s="78"/>
      <c r="E3519" s="78">
        <f>E3517+E3518</f>
        <v>12.19</v>
      </c>
    </row>
    <row r="3520" spans="1:5">
      <c r="A3520" s="76"/>
      <c r="B3520" s="77"/>
      <c r="C3520" s="78"/>
      <c r="D3520" s="78"/>
      <c r="E3520" s="78"/>
    </row>
    <row r="3521" spans="1:5">
      <c r="A3521" s="76" t="s">
        <v>3092</v>
      </c>
      <c r="B3521" s="77" t="s">
        <v>3373</v>
      </c>
      <c r="C3521" s="78"/>
      <c r="D3521" s="78"/>
      <c r="E3521" s="78"/>
    </row>
    <row r="3522" ht="25.5" spans="1:5">
      <c r="A3522" s="76" t="s">
        <v>3374</v>
      </c>
      <c r="B3522" s="77"/>
      <c r="C3522" s="78"/>
      <c r="D3522" s="78"/>
      <c r="E3522" s="78"/>
    </row>
    <row r="3523" spans="1:5">
      <c r="A3523" s="76" t="s">
        <v>2764</v>
      </c>
      <c r="B3523" s="77"/>
      <c r="C3523" s="78"/>
      <c r="D3523" s="78"/>
      <c r="E3523" s="78"/>
    </row>
    <row r="3524" spans="1:5">
      <c r="A3524" s="76"/>
      <c r="B3524" s="77"/>
      <c r="C3524" s="78"/>
      <c r="D3524" s="78"/>
      <c r="E3524" s="78"/>
    </row>
    <row r="3525" spans="1:5">
      <c r="A3525" s="76" t="s">
        <v>280</v>
      </c>
      <c r="B3525" s="77" t="s">
        <v>135</v>
      </c>
      <c r="C3525" s="78" t="s">
        <v>136</v>
      </c>
      <c r="D3525" s="78" t="s">
        <v>2534</v>
      </c>
      <c r="E3525" s="78" t="s">
        <v>2535</v>
      </c>
    </row>
    <row r="3526" spans="1:5">
      <c r="A3526" s="76" t="s">
        <v>3369</v>
      </c>
      <c r="B3526" s="77" t="s">
        <v>839</v>
      </c>
      <c r="C3526" s="78">
        <v>0.00831</v>
      </c>
      <c r="D3526" s="78">
        <v>9.81</v>
      </c>
      <c r="E3526" s="78">
        <f>TRUNC(C3526*D3526,2)</f>
        <v>0.08</v>
      </c>
    </row>
    <row r="3527" spans="1:5">
      <c r="A3527" s="76" t="s">
        <v>122</v>
      </c>
      <c r="B3527" s="77"/>
      <c r="C3527" s="78"/>
      <c r="D3527" s="78"/>
      <c r="E3527" s="78">
        <f>SUM(E3526:E3526)</f>
        <v>0.08</v>
      </c>
    </row>
    <row r="3528" spans="1:5">
      <c r="A3528" s="76" t="s">
        <v>117</v>
      </c>
      <c r="B3528" s="77"/>
      <c r="C3528" s="78"/>
      <c r="D3528" s="78"/>
      <c r="E3528" s="78" t="str">
        <f>"0"</f>
        <v>0</v>
      </c>
    </row>
    <row r="3529" spans="1:5">
      <c r="A3529" s="76" t="s">
        <v>2537</v>
      </c>
      <c r="B3529" s="77"/>
      <c r="C3529" s="78"/>
      <c r="D3529" s="78"/>
      <c r="E3529" s="78">
        <f>E3527+E3528</f>
        <v>0.08</v>
      </c>
    </row>
    <row r="3530" spans="1:5">
      <c r="A3530" s="76"/>
      <c r="B3530" s="77"/>
      <c r="C3530" s="78"/>
      <c r="D3530" s="78"/>
      <c r="E3530" s="78"/>
    </row>
    <row r="3531" spans="1:5">
      <c r="A3531" s="76" t="s">
        <v>2538</v>
      </c>
      <c r="B3531" s="77"/>
      <c r="C3531" s="78"/>
      <c r="D3531" s="78"/>
      <c r="E3531" s="78">
        <f>E3529</f>
        <v>0.08</v>
      </c>
    </row>
    <row r="3532" spans="1:5">
      <c r="A3532" s="76" t="s">
        <v>2539</v>
      </c>
      <c r="B3532" s="77"/>
      <c r="C3532" s="78"/>
      <c r="D3532" s="78">
        <v>0</v>
      </c>
      <c r="E3532" s="78">
        <f>TRUNC(D3532*E3531/100,2)</f>
        <v>0</v>
      </c>
    </row>
    <row r="3533" spans="1:5">
      <c r="A3533" s="76" t="s">
        <v>2540</v>
      </c>
      <c r="B3533" s="77"/>
      <c r="C3533" s="78"/>
      <c r="D3533" s="78"/>
      <c r="E3533" s="78">
        <f>E3531+E3532</f>
        <v>0.08</v>
      </c>
    </row>
    <row r="3534" spans="1:5">
      <c r="A3534" s="76"/>
      <c r="B3534" s="77"/>
      <c r="C3534" s="78"/>
      <c r="D3534" s="78"/>
      <c r="E3534" s="78"/>
    </row>
    <row r="3535" spans="1:5">
      <c r="A3535" s="76" t="s">
        <v>3092</v>
      </c>
      <c r="B3535" s="77" t="s">
        <v>3375</v>
      </c>
      <c r="C3535" s="78"/>
      <c r="D3535" s="78"/>
      <c r="E3535" s="78"/>
    </row>
    <row r="3536" spans="1:5">
      <c r="A3536" s="76" t="s">
        <v>3376</v>
      </c>
      <c r="B3536" s="77"/>
      <c r="C3536" s="78"/>
      <c r="D3536" s="78"/>
      <c r="E3536" s="78"/>
    </row>
    <row r="3537" spans="1:5">
      <c r="A3537" s="76" t="s">
        <v>2764</v>
      </c>
      <c r="B3537" s="77"/>
      <c r="C3537" s="78"/>
      <c r="D3537" s="78"/>
      <c r="E3537" s="78"/>
    </row>
    <row r="3538" spans="1:5">
      <c r="A3538" s="76"/>
      <c r="B3538" s="77"/>
      <c r="C3538" s="78"/>
      <c r="D3538" s="78"/>
      <c r="E3538" s="78"/>
    </row>
    <row r="3539" spans="1:5">
      <c r="A3539" s="76" t="s">
        <v>280</v>
      </c>
      <c r="B3539" s="77" t="s">
        <v>135</v>
      </c>
      <c r="C3539" s="78" t="s">
        <v>136</v>
      </c>
      <c r="D3539" s="78" t="s">
        <v>2534</v>
      </c>
      <c r="E3539" s="78" t="s">
        <v>2535</v>
      </c>
    </row>
    <row r="3540" spans="1:5">
      <c r="A3540" s="76" t="s">
        <v>3377</v>
      </c>
      <c r="B3540" s="77" t="s">
        <v>839</v>
      </c>
      <c r="C3540" s="78">
        <v>1</v>
      </c>
      <c r="D3540" s="78">
        <v>15.35</v>
      </c>
      <c r="E3540" s="78">
        <f>TRUNC(C3540*D3540,2)</f>
        <v>15.35</v>
      </c>
    </row>
    <row r="3541" ht="25.5" spans="1:5">
      <c r="A3541" s="76" t="s">
        <v>3113</v>
      </c>
      <c r="B3541" s="77" t="s">
        <v>839</v>
      </c>
      <c r="C3541" s="78">
        <v>1</v>
      </c>
      <c r="D3541" s="78">
        <v>0.08</v>
      </c>
      <c r="E3541" s="78">
        <f>TRUNC(C3541*D3541,2)</f>
        <v>0.08</v>
      </c>
    </row>
    <row r="3542" spans="1:5">
      <c r="A3542" s="76" t="s">
        <v>122</v>
      </c>
      <c r="B3542" s="77"/>
      <c r="C3542" s="78"/>
      <c r="D3542" s="78"/>
      <c r="E3542" s="78">
        <f>SUM(E3540:E3541)</f>
        <v>15.43</v>
      </c>
    </row>
    <row r="3543" spans="1:5">
      <c r="A3543" s="76" t="s">
        <v>117</v>
      </c>
      <c r="B3543" s="77"/>
      <c r="C3543" s="78"/>
      <c r="D3543" s="78"/>
      <c r="E3543" s="78" t="str">
        <f>"0"</f>
        <v>0</v>
      </c>
    </row>
    <row r="3544" spans="1:5">
      <c r="A3544" s="76" t="s">
        <v>2537</v>
      </c>
      <c r="B3544" s="77"/>
      <c r="C3544" s="78"/>
      <c r="D3544" s="78"/>
      <c r="E3544" s="78">
        <f>E3542+E3543</f>
        <v>15.43</v>
      </c>
    </row>
    <row r="3545" spans="1:5">
      <c r="A3545" s="76"/>
      <c r="B3545" s="77"/>
      <c r="C3545" s="78"/>
      <c r="D3545" s="78"/>
      <c r="E3545" s="78"/>
    </row>
    <row r="3546" spans="1:5">
      <c r="A3546" s="76" t="s">
        <v>2543</v>
      </c>
      <c r="B3546" s="77" t="s">
        <v>135</v>
      </c>
      <c r="C3546" s="78" t="s">
        <v>136</v>
      </c>
      <c r="D3546" s="78" t="s">
        <v>2534</v>
      </c>
      <c r="E3546" s="78" t="s">
        <v>2535</v>
      </c>
    </row>
    <row r="3547" ht="25.5" spans="1:5">
      <c r="A3547" s="76" t="s">
        <v>3370</v>
      </c>
      <c r="B3547" s="77" t="s">
        <v>839</v>
      </c>
      <c r="C3547" s="78">
        <v>1</v>
      </c>
      <c r="D3547" s="78">
        <v>0.74</v>
      </c>
      <c r="E3547" s="78">
        <f>TRUNC(C3547*D3547,2)</f>
        <v>0.74</v>
      </c>
    </row>
    <row r="3548" spans="1:5">
      <c r="A3548" s="76" t="s">
        <v>3116</v>
      </c>
      <c r="B3548" s="77" t="s">
        <v>839</v>
      </c>
      <c r="C3548" s="78">
        <v>1</v>
      </c>
      <c r="D3548" s="78">
        <v>1.43</v>
      </c>
      <c r="E3548" s="78">
        <f>TRUNC(C3548*D3548,2)</f>
        <v>1.43</v>
      </c>
    </row>
    <row r="3549" ht="25.5" spans="1:5">
      <c r="A3549" s="76" t="s">
        <v>3371</v>
      </c>
      <c r="B3549" s="77" t="s">
        <v>839</v>
      </c>
      <c r="C3549" s="78">
        <v>1</v>
      </c>
      <c r="D3549" s="78">
        <v>0.05</v>
      </c>
      <c r="E3549" s="78">
        <f>TRUNC(C3549*D3549,2)</f>
        <v>0.05</v>
      </c>
    </row>
    <row r="3550" ht="25.5" spans="1:5">
      <c r="A3550" s="76" t="s">
        <v>3378</v>
      </c>
      <c r="B3550" s="77" t="s">
        <v>839</v>
      </c>
      <c r="C3550" s="78">
        <v>1</v>
      </c>
      <c r="D3550" s="78">
        <v>0.12</v>
      </c>
      <c r="E3550" s="78">
        <f>TRUNC(C3550*D3550,2)</f>
        <v>0.12</v>
      </c>
    </row>
    <row r="3551" spans="1:5">
      <c r="A3551" s="76" t="s">
        <v>122</v>
      </c>
      <c r="B3551" s="77"/>
      <c r="C3551" s="78"/>
      <c r="D3551" s="78"/>
      <c r="E3551" s="78">
        <f>SUM(E3547:E3550)</f>
        <v>2.34</v>
      </c>
    </row>
    <row r="3552" spans="1:5">
      <c r="A3552" s="76"/>
      <c r="B3552" s="77"/>
      <c r="C3552" s="78"/>
      <c r="D3552" s="78"/>
      <c r="E3552" s="78"/>
    </row>
    <row r="3553" spans="1:5">
      <c r="A3553" s="76" t="s">
        <v>2538</v>
      </c>
      <c r="B3553" s="77"/>
      <c r="C3553" s="78"/>
      <c r="D3553" s="78"/>
      <c r="E3553" s="78">
        <f>E3544+E3551</f>
        <v>17.77</v>
      </c>
    </row>
    <row r="3554" spans="1:5">
      <c r="A3554" s="76" t="s">
        <v>2539</v>
      </c>
      <c r="B3554" s="77"/>
      <c r="C3554" s="78"/>
      <c r="D3554" s="78">
        <v>0</v>
      </c>
      <c r="E3554" s="78">
        <f>TRUNC(D3554*E3553/100,2)</f>
        <v>0</v>
      </c>
    </row>
    <row r="3555" spans="1:5">
      <c r="A3555" s="76" t="s">
        <v>2540</v>
      </c>
      <c r="B3555" s="77"/>
      <c r="C3555" s="78"/>
      <c r="D3555" s="78"/>
      <c r="E3555" s="78">
        <f>E3553+E3554</f>
        <v>17.77</v>
      </c>
    </row>
    <row r="3556" spans="1:5">
      <c r="A3556" s="76"/>
      <c r="B3556" s="77"/>
      <c r="C3556" s="78"/>
      <c r="D3556" s="78"/>
      <c r="E3556" s="78"/>
    </row>
    <row r="3557" spans="1:5">
      <c r="A3557" s="76" t="s">
        <v>3092</v>
      </c>
      <c r="B3557" s="77" t="s">
        <v>3379</v>
      </c>
      <c r="C3557" s="78"/>
      <c r="D3557" s="78"/>
      <c r="E3557" s="78"/>
    </row>
    <row r="3558" ht="25.5" spans="1:5">
      <c r="A3558" s="76" t="s">
        <v>3380</v>
      </c>
      <c r="B3558" s="77"/>
      <c r="C3558" s="78"/>
      <c r="D3558" s="78"/>
      <c r="E3558" s="78"/>
    </row>
    <row r="3559" spans="1:5">
      <c r="A3559" s="76" t="s">
        <v>2764</v>
      </c>
      <c r="B3559" s="77"/>
      <c r="C3559" s="78"/>
      <c r="D3559" s="78"/>
      <c r="E3559" s="78"/>
    </row>
    <row r="3560" spans="1:5">
      <c r="A3560" s="76"/>
      <c r="B3560" s="77"/>
      <c r="C3560" s="78"/>
      <c r="D3560" s="78"/>
      <c r="E3560" s="78"/>
    </row>
    <row r="3561" spans="1:5">
      <c r="A3561" s="76" t="s">
        <v>280</v>
      </c>
      <c r="B3561" s="77" t="s">
        <v>135</v>
      </c>
      <c r="C3561" s="78" t="s">
        <v>136</v>
      </c>
      <c r="D3561" s="78" t="s">
        <v>2534</v>
      </c>
      <c r="E3561" s="78" t="s">
        <v>2535</v>
      </c>
    </row>
    <row r="3562" spans="1:5">
      <c r="A3562" s="76" t="s">
        <v>3377</v>
      </c>
      <c r="B3562" s="77" t="s">
        <v>839</v>
      </c>
      <c r="C3562" s="78">
        <v>0.00831</v>
      </c>
      <c r="D3562" s="78">
        <v>15.35</v>
      </c>
      <c r="E3562" s="78">
        <f>TRUNC(C3562*D3562,2)</f>
        <v>0.12</v>
      </c>
    </row>
    <row r="3563" spans="1:5">
      <c r="A3563" s="76" t="s">
        <v>122</v>
      </c>
      <c r="B3563" s="77"/>
      <c r="C3563" s="78"/>
      <c r="D3563" s="78"/>
      <c r="E3563" s="78">
        <f>SUM(E3562:E3562)</f>
        <v>0.12</v>
      </c>
    </row>
    <row r="3564" spans="1:5">
      <c r="A3564" s="76" t="s">
        <v>117</v>
      </c>
      <c r="B3564" s="77"/>
      <c r="C3564" s="78"/>
      <c r="D3564" s="78"/>
      <c r="E3564" s="78" t="str">
        <f>"0"</f>
        <v>0</v>
      </c>
    </row>
    <row r="3565" spans="1:5">
      <c r="A3565" s="76" t="s">
        <v>2537</v>
      </c>
      <c r="B3565" s="77"/>
      <c r="C3565" s="78"/>
      <c r="D3565" s="78"/>
      <c r="E3565" s="78">
        <f>E3563+E3564</f>
        <v>0.12</v>
      </c>
    </row>
    <row r="3566" spans="1:5">
      <c r="A3566" s="76"/>
      <c r="B3566" s="77"/>
      <c r="C3566" s="78"/>
      <c r="D3566" s="78"/>
      <c r="E3566" s="78"/>
    </row>
    <row r="3567" spans="1:5">
      <c r="A3567" s="76" t="s">
        <v>2538</v>
      </c>
      <c r="B3567" s="77"/>
      <c r="C3567" s="78"/>
      <c r="D3567" s="78"/>
      <c r="E3567" s="78">
        <f>E3565</f>
        <v>0.12</v>
      </c>
    </row>
    <row r="3568" spans="1:5">
      <c r="A3568" s="76" t="s">
        <v>2539</v>
      </c>
      <c r="B3568" s="77"/>
      <c r="C3568" s="78"/>
      <c r="D3568" s="78">
        <v>0</v>
      </c>
      <c r="E3568" s="78">
        <f>TRUNC(D3568*E3567/100,2)</f>
        <v>0</v>
      </c>
    </row>
    <row r="3569" spans="1:5">
      <c r="A3569" s="76" t="s">
        <v>2540</v>
      </c>
      <c r="B3569" s="77"/>
      <c r="C3569" s="78"/>
      <c r="D3569" s="78"/>
      <c r="E3569" s="78">
        <f>E3567+E3568</f>
        <v>0.12</v>
      </c>
    </row>
    <row r="3570" spans="1:5">
      <c r="A3570" s="76"/>
      <c r="B3570" s="77"/>
      <c r="C3570" s="78"/>
      <c r="D3570" s="78"/>
      <c r="E3570" s="78"/>
    </row>
    <row r="3571" spans="1:5">
      <c r="A3571" s="76" t="s">
        <v>3092</v>
      </c>
      <c r="B3571" s="77" t="s">
        <v>3381</v>
      </c>
      <c r="C3571" s="78"/>
      <c r="D3571" s="78"/>
      <c r="E3571" s="78"/>
    </row>
    <row r="3572" spans="1:5">
      <c r="A3572" s="76" t="s">
        <v>3382</v>
      </c>
      <c r="B3572" s="77"/>
      <c r="C3572" s="78"/>
      <c r="D3572" s="78"/>
      <c r="E3572" s="78"/>
    </row>
    <row r="3573" spans="1:5">
      <c r="A3573" s="76" t="s">
        <v>2764</v>
      </c>
      <c r="B3573" s="77"/>
      <c r="C3573" s="78"/>
      <c r="D3573" s="78"/>
      <c r="E3573" s="78"/>
    </row>
    <row r="3574" spans="1:5">
      <c r="A3574" s="76"/>
      <c r="B3574" s="77"/>
      <c r="C3574" s="78"/>
      <c r="D3574" s="78"/>
      <c r="E3574" s="78"/>
    </row>
    <row r="3575" spans="1:5">
      <c r="A3575" s="76" t="s">
        <v>280</v>
      </c>
      <c r="B3575" s="77" t="s">
        <v>135</v>
      </c>
      <c r="C3575" s="78" t="s">
        <v>136</v>
      </c>
      <c r="D3575" s="78" t="s">
        <v>2534</v>
      </c>
      <c r="E3575" s="78" t="s">
        <v>2535</v>
      </c>
    </row>
    <row r="3576" spans="1:5">
      <c r="A3576" s="76" t="s">
        <v>3383</v>
      </c>
      <c r="B3576" s="77" t="s">
        <v>839</v>
      </c>
      <c r="C3576" s="78">
        <v>1</v>
      </c>
      <c r="D3576" s="78">
        <v>15.96</v>
      </c>
      <c r="E3576" s="78">
        <f>TRUNC(C3576*D3576,2)</f>
        <v>15.96</v>
      </c>
    </row>
    <row r="3577" ht="25.5" spans="1:5">
      <c r="A3577" s="76" t="s">
        <v>3113</v>
      </c>
      <c r="B3577" s="77" t="s">
        <v>839</v>
      </c>
      <c r="C3577" s="78">
        <v>1</v>
      </c>
      <c r="D3577" s="78">
        <v>0.08</v>
      </c>
      <c r="E3577" s="78">
        <f>TRUNC(C3577*D3577,2)</f>
        <v>0.08</v>
      </c>
    </row>
    <row r="3578" spans="1:5">
      <c r="A3578" s="76" t="s">
        <v>122</v>
      </c>
      <c r="B3578" s="77"/>
      <c r="C3578" s="78"/>
      <c r="D3578" s="78"/>
      <c r="E3578" s="78">
        <f>SUM(E3576:E3577)</f>
        <v>16.04</v>
      </c>
    </row>
    <row r="3579" spans="1:5">
      <c r="A3579" s="76" t="s">
        <v>117</v>
      </c>
      <c r="B3579" s="77"/>
      <c r="C3579" s="78"/>
      <c r="D3579" s="78"/>
      <c r="E3579" s="78" t="str">
        <f>"0"</f>
        <v>0</v>
      </c>
    </row>
    <row r="3580" spans="1:5">
      <c r="A3580" s="76" t="s">
        <v>2537</v>
      </c>
      <c r="B3580" s="77"/>
      <c r="C3580" s="78"/>
      <c r="D3580" s="78"/>
      <c r="E3580" s="78">
        <f>E3578+E3579</f>
        <v>16.04</v>
      </c>
    </row>
    <row r="3581" spans="1:5">
      <c r="A3581" s="76"/>
      <c r="B3581" s="77"/>
      <c r="C3581" s="78"/>
      <c r="D3581" s="78"/>
      <c r="E3581" s="78"/>
    </row>
    <row r="3582" spans="1:5">
      <c r="A3582" s="76" t="s">
        <v>2543</v>
      </c>
      <c r="B3582" s="77" t="s">
        <v>135</v>
      </c>
      <c r="C3582" s="78" t="s">
        <v>136</v>
      </c>
      <c r="D3582" s="78" t="s">
        <v>2534</v>
      </c>
      <c r="E3582" s="78" t="s">
        <v>2535</v>
      </c>
    </row>
    <row r="3583" ht="25.5" spans="1:5">
      <c r="A3583" s="76" t="s">
        <v>3370</v>
      </c>
      <c r="B3583" s="77" t="s">
        <v>839</v>
      </c>
      <c r="C3583" s="78">
        <v>1</v>
      </c>
      <c r="D3583" s="78">
        <v>0.74</v>
      </c>
      <c r="E3583" s="78">
        <f>TRUNC(C3583*D3583,2)</f>
        <v>0.74</v>
      </c>
    </row>
    <row r="3584" spans="1:5">
      <c r="A3584" s="76" t="s">
        <v>3116</v>
      </c>
      <c r="B3584" s="77" t="s">
        <v>839</v>
      </c>
      <c r="C3584" s="78">
        <v>1</v>
      </c>
      <c r="D3584" s="78">
        <v>1.43</v>
      </c>
      <c r="E3584" s="78">
        <f>TRUNC(C3584*D3584,2)</f>
        <v>1.43</v>
      </c>
    </row>
    <row r="3585" ht="25.5" spans="1:5">
      <c r="A3585" s="76" t="s">
        <v>3371</v>
      </c>
      <c r="B3585" s="77" t="s">
        <v>839</v>
      </c>
      <c r="C3585" s="78">
        <v>1</v>
      </c>
      <c r="D3585" s="78">
        <v>0.05</v>
      </c>
      <c r="E3585" s="78">
        <f>TRUNC(C3585*D3585,2)</f>
        <v>0.05</v>
      </c>
    </row>
    <row r="3586" ht="25.5" spans="1:5">
      <c r="A3586" s="76" t="s">
        <v>3384</v>
      </c>
      <c r="B3586" s="77" t="s">
        <v>839</v>
      </c>
      <c r="C3586" s="78">
        <v>1</v>
      </c>
      <c r="D3586" s="78">
        <v>0.08</v>
      </c>
      <c r="E3586" s="78">
        <f>TRUNC(C3586*D3586,2)</f>
        <v>0.08</v>
      </c>
    </row>
    <row r="3587" spans="1:5">
      <c r="A3587" s="76" t="s">
        <v>122</v>
      </c>
      <c r="B3587" s="77"/>
      <c r="C3587" s="78"/>
      <c r="D3587" s="78"/>
      <c r="E3587" s="78">
        <f>SUM(E3583:E3586)</f>
        <v>2.3</v>
      </c>
    </row>
    <row r="3588" spans="1:5">
      <c r="A3588" s="76"/>
      <c r="B3588" s="77"/>
      <c r="C3588" s="78"/>
      <c r="D3588" s="78"/>
      <c r="E3588" s="78"/>
    </row>
    <row r="3589" spans="1:5">
      <c r="A3589" s="76" t="s">
        <v>2538</v>
      </c>
      <c r="B3589" s="77"/>
      <c r="C3589" s="78"/>
      <c r="D3589" s="78"/>
      <c r="E3589" s="78">
        <f>E3580+E3587</f>
        <v>18.34</v>
      </c>
    </row>
    <row r="3590" spans="1:5">
      <c r="A3590" s="76" t="s">
        <v>2539</v>
      </c>
      <c r="B3590" s="77"/>
      <c r="C3590" s="78"/>
      <c r="D3590" s="78">
        <v>0</v>
      </c>
      <c r="E3590" s="78">
        <f>TRUNC(D3590*E3589/100,2)</f>
        <v>0</v>
      </c>
    </row>
    <row r="3591" spans="1:5">
      <c r="A3591" s="76" t="s">
        <v>2540</v>
      </c>
      <c r="B3591" s="77"/>
      <c r="C3591" s="78"/>
      <c r="D3591" s="78"/>
      <c r="E3591" s="78">
        <f>E3589+E3590</f>
        <v>18.34</v>
      </c>
    </row>
    <row r="3592" spans="1:5">
      <c r="A3592" s="76"/>
      <c r="B3592" s="77"/>
      <c r="C3592" s="78"/>
      <c r="D3592" s="78"/>
      <c r="E3592" s="78"/>
    </row>
    <row r="3593" spans="1:5">
      <c r="A3593" s="76" t="s">
        <v>3092</v>
      </c>
      <c r="B3593" s="77" t="s">
        <v>3385</v>
      </c>
      <c r="C3593" s="78"/>
      <c r="D3593" s="78"/>
      <c r="E3593" s="78"/>
    </row>
    <row r="3594" ht="25.5" spans="1:5">
      <c r="A3594" s="76" t="s">
        <v>3386</v>
      </c>
      <c r="B3594" s="77"/>
      <c r="C3594" s="78"/>
      <c r="D3594" s="78"/>
      <c r="E3594" s="78"/>
    </row>
    <row r="3595" spans="1:5">
      <c r="A3595" s="76" t="s">
        <v>2764</v>
      </c>
      <c r="B3595" s="77"/>
      <c r="C3595" s="78"/>
      <c r="D3595" s="78"/>
      <c r="E3595" s="78"/>
    </row>
    <row r="3596" spans="1:5">
      <c r="A3596" s="76"/>
      <c r="B3596" s="77"/>
      <c r="C3596" s="78"/>
      <c r="D3596" s="78"/>
      <c r="E3596" s="78"/>
    </row>
    <row r="3597" spans="1:5">
      <c r="A3597" s="76" t="s">
        <v>280</v>
      </c>
      <c r="B3597" s="77" t="s">
        <v>135</v>
      </c>
      <c r="C3597" s="78" t="s">
        <v>136</v>
      </c>
      <c r="D3597" s="78" t="s">
        <v>2534</v>
      </c>
      <c r="E3597" s="78" t="s">
        <v>2535</v>
      </c>
    </row>
    <row r="3598" spans="1:5">
      <c r="A3598" s="76" t="s">
        <v>3383</v>
      </c>
      <c r="B3598" s="77" t="s">
        <v>839</v>
      </c>
      <c r="C3598" s="78">
        <v>0.00509</v>
      </c>
      <c r="D3598" s="78">
        <v>15.96</v>
      </c>
      <c r="E3598" s="78">
        <f>TRUNC(C3598*D3598,2)</f>
        <v>0.08</v>
      </c>
    </row>
    <row r="3599" spans="1:5">
      <c r="A3599" s="76" t="s">
        <v>122</v>
      </c>
      <c r="B3599" s="77"/>
      <c r="C3599" s="78"/>
      <c r="D3599" s="78"/>
      <c r="E3599" s="78">
        <f>SUM(E3598:E3598)</f>
        <v>0.08</v>
      </c>
    </row>
    <row r="3600" spans="1:5">
      <c r="A3600" s="76" t="s">
        <v>117</v>
      </c>
      <c r="B3600" s="77"/>
      <c r="C3600" s="78"/>
      <c r="D3600" s="78"/>
      <c r="E3600" s="78" t="str">
        <f>"0"</f>
        <v>0</v>
      </c>
    </row>
    <row r="3601" spans="1:5">
      <c r="A3601" s="76" t="s">
        <v>2537</v>
      </c>
      <c r="B3601" s="77"/>
      <c r="C3601" s="78"/>
      <c r="D3601" s="78"/>
      <c r="E3601" s="78">
        <f>E3599+E3600</f>
        <v>0.08</v>
      </c>
    </row>
    <row r="3602" spans="1:5">
      <c r="A3602" s="76"/>
      <c r="B3602" s="77"/>
      <c r="C3602" s="78"/>
      <c r="D3602" s="78"/>
      <c r="E3602" s="78"/>
    </row>
    <row r="3603" spans="1:5">
      <c r="A3603" s="76" t="s">
        <v>2538</v>
      </c>
      <c r="B3603" s="77"/>
      <c r="C3603" s="78"/>
      <c r="D3603" s="78"/>
      <c r="E3603" s="78">
        <f>E3601</f>
        <v>0.08</v>
      </c>
    </row>
    <row r="3604" spans="1:5">
      <c r="A3604" s="76" t="s">
        <v>2539</v>
      </c>
      <c r="B3604" s="77"/>
      <c r="C3604" s="78"/>
      <c r="D3604" s="78">
        <v>0</v>
      </c>
      <c r="E3604" s="78">
        <f>TRUNC(D3604*E3603/100,2)</f>
        <v>0</v>
      </c>
    </row>
    <row r="3605" spans="1:5">
      <c r="A3605" s="76" t="s">
        <v>2540</v>
      </c>
      <c r="B3605" s="77"/>
      <c r="C3605" s="78"/>
      <c r="D3605" s="78"/>
      <c r="E3605" s="78">
        <f>E3603+E3604</f>
        <v>0.08</v>
      </c>
    </row>
    <row r="3606" spans="1:5">
      <c r="A3606" s="76"/>
      <c r="B3606" s="77"/>
      <c r="C3606" s="78"/>
      <c r="D3606" s="78"/>
      <c r="E3606" s="78"/>
    </row>
    <row r="3607" spans="1:5">
      <c r="A3607" s="76" t="s">
        <v>3092</v>
      </c>
      <c r="B3607" s="77" t="s">
        <v>3387</v>
      </c>
      <c r="C3607" s="78"/>
      <c r="D3607" s="78"/>
      <c r="E3607" s="78"/>
    </row>
    <row r="3608" spans="1:5">
      <c r="A3608" s="76" t="s">
        <v>3388</v>
      </c>
      <c r="B3608" s="77"/>
      <c r="C3608" s="78"/>
      <c r="D3608" s="78"/>
      <c r="E3608" s="78"/>
    </row>
    <row r="3609" spans="1:5">
      <c r="A3609" s="76" t="s">
        <v>2764</v>
      </c>
      <c r="B3609" s="77"/>
      <c r="C3609" s="78"/>
      <c r="D3609" s="78"/>
      <c r="E3609" s="78"/>
    </row>
    <row r="3610" spans="1:5">
      <c r="A3610" s="76"/>
      <c r="B3610" s="77"/>
      <c r="C3610" s="78"/>
      <c r="D3610" s="78"/>
      <c r="E3610" s="78"/>
    </row>
    <row r="3611" spans="1:5">
      <c r="A3611" s="76" t="s">
        <v>280</v>
      </c>
      <c r="B3611" s="77" t="s">
        <v>135</v>
      </c>
      <c r="C3611" s="78" t="s">
        <v>136</v>
      </c>
      <c r="D3611" s="78" t="s">
        <v>2534</v>
      </c>
      <c r="E3611" s="78" t="s">
        <v>2535</v>
      </c>
    </row>
    <row r="3612" ht="25.5" spans="1:5">
      <c r="A3612" s="76" t="s">
        <v>3113</v>
      </c>
      <c r="B3612" s="77" t="s">
        <v>839</v>
      </c>
      <c r="C3612" s="78">
        <v>1</v>
      </c>
      <c r="D3612" s="78">
        <v>0.08</v>
      </c>
      <c r="E3612" s="78">
        <f>TRUNC(C3612*D3612,2)</f>
        <v>0.08</v>
      </c>
    </row>
    <row r="3613" spans="1:5">
      <c r="A3613" s="76" t="s">
        <v>3389</v>
      </c>
      <c r="B3613" s="77" t="s">
        <v>839</v>
      </c>
      <c r="C3613" s="78">
        <v>1</v>
      </c>
      <c r="D3613" s="78">
        <v>21.83</v>
      </c>
      <c r="E3613" s="78">
        <f>TRUNC(C3613*D3613,2)</f>
        <v>21.83</v>
      </c>
    </row>
    <row r="3614" spans="1:5">
      <c r="A3614" s="76" t="s">
        <v>122</v>
      </c>
      <c r="B3614" s="77"/>
      <c r="C3614" s="78"/>
      <c r="D3614" s="78"/>
      <c r="E3614" s="78">
        <f>SUM(E3612:E3613)</f>
        <v>21.91</v>
      </c>
    </row>
    <row r="3615" spans="1:5">
      <c r="A3615" s="76" t="s">
        <v>117</v>
      </c>
      <c r="B3615" s="77"/>
      <c r="C3615" s="78"/>
      <c r="D3615" s="78"/>
      <c r="E3615" s="78" t="str">
        <f>"0"</f>
        <v>0</v>
      </c>
    </row>
    <row r="3616" spans="1:5">
      <c r="A3616" s="76" t="s">
        <v>2537</v>
      </c>
      <c r="B3616" s="77"/>
      <c r="C3616" s="78"/>
      <c r="D3616" s="78"/>
      <c r="E3616" s="78">
        <f>E3614+E3615</f>
        <v>21.91</v>
      </c>
    </row>
    <row r="3617" spans="1:5">
      <c r="A3617" s="76"/>
      <c r="B3617" s="77"/>
      <c r="C3617" s="78"/>
      <c r="D3617" s="78"/>
      <c r="E3617" s="78"/>
    </row>
    <row r="3618" spans="1:5">
      <c r="A3618" s="76" t="s">
        <v>2543</v>
      </c>
      <c r="B3618" s="77" t="s">
        <v>135</v>
      </c>
      <c r="C3618" s="78" t="s">
        <v>136</v>
      </c>
      <c r="D3618" s="78" t="s">
        <v>2534</v>
      </c>
      <c r="E3618" s="78" t="s">
        <v>2535</v>
      </c>
    </row>
    <row r="3619" ht="25.5" spans="1:5">
      <c r="A3619" s="76" t="s">
        <v>3370</v>
      </c>
      <c r="B3619" s="77" t="s">
        <v>839</v>
      </c>
      <c r="C3619" s="78">
        <v>1</v>
      </c>
      <c r="D3619" s="78">
        <v>0.74</v>
      </c>
      <c r="E3619" s="78">
        <f>TRUNC(C3619*D3619,2)</f>
        <v>0.74</v>
      </c>
    </row>
    <row r="3620" spans="1:5">
      <c r="A3620" s="76" t="s">
        <v>3116</v>
      </c>
      <c r="B3620" s="77" t="s">
        <v>839</v>
      </c>
      <c r="C3620" s="78">
        <v>1</v>
      </c>
      <c r="D3620" s="78">
        <v>1.43</v>
      </c>
      <c r="E3620" s="78">
        <f>TRUNC(C3620*D3620,2)</f>
        <v>1.43</v>
      </c>
    </row>
    <row r="3621" ht="25.5" spans="1:5">
      <c r="A3621" s="76" t="s">
        <v>3371</v>
      </c>
      <c r="B3621" s="77" t="s">
        <v>839</v>
      </c>
      <c r="C3621" s="78">
        <v>1</v>
      </c>
      <c r="D3621" s="78">
        <v>0.05</v>
      </c>
      <c r="E3621" s="78">
        <f>TRUNC(C3621*D3621,2)</f>
        <v>0.05</v>
      </c>
    </row>
    <row r="3622" ht="25.5" spans="1:5">
      <c r="A3622" s="76" t="s">
        <v>3390</v>
      </c>
      <c r="B3622" s="77" t="s">
        <v>839</v>
      </c>
      <c r="C3622" s="78">
        <v>1</v>
      </c>
      <c r="D3622" s="78">
        <v>0.18</v>
      </c>
      <c r="E3622" s="78">
        <f>TRUNC(C3622*D3622,2)</f>
        <v>0.18</v>
      </c>
    </row>
    <row r="3623" spans="1:5">
      <c r="A3623" s="76" t="s">
        <v>122</v>
      </c>
      <c r="B3623" s="77"/>
      <c r="C3623" s="78"/>
      <c r="D3623" s="78"/>
      <c r="E3623" s="78">
        <f>SUM(E3619:E3622)</f>
        <v>2.4</v>
      </c>
    </row>
    <row r="3624" spans="1:5">
      <c r="A3624" s="76"/>
      <c r="B3624" s="77"/>
      <c r="C3624" s="78"/>
      <c r="D3624" s="78"/>
      <c r="E3624" s="78"/>
    </row>
    <row r="3625" spans="1:5">
      <c r="A3625" s="76" t="s">
        <v>2538</v>
      </c>
      <c r="B3625" s="77"/>
      <c r="C3625" s="78"/>
      <c r="D3625" s="78"/>
      <c r="E3625" s="78">
        <f>E3616+E3623</f>
        <v>24.31</v>
      </c>
    </row>
    <row r="3626" spans="1:5">
      <c r="A3626" s="76" t="s">
        <v>2539</v>
      </c>
      <c r="B3626" s="77"/>
      <c r="C3626" s="78"/>
      <c r="D3626" s="78">
        <v>0</v>
      </c>
      <c r="E3626" s="78">
        <f>TRUNC(D3626*E3625/100,2)</f>
        <v>0</v>
      </c>
    </row>
    <row r="3627" spans="1:5">
      <c r="A3627" s="76" t="s">
        <v>2540</v>
      </c>
      <c r="B3627" s="77"/>
      <c r="C3627" s="78"/>
      <c r="D3627" s="78"/>
      <c r="E3627" s="78">
        <f>E3625+E3626</f>
        <v>24.31</v>
      </c>
    </row>
    <row r="3628" spans="1:5">
      <c r="A3628" s="76"/>
      <c r="B3628" s="77"/>
      <c r="C3628" s="78"/>
      <c r="D3628" s="78"/>
      <c r="E3628" s="78"/>
    </row>
    <row r="3629" spans="1:5">
      <c r="A3629" s="76" t="s">
        <v>3092</v>
      </c>
      <c r="B3629" s="77" t="s">
        <v>3391</v>
      </c>
      <c r="C3629" s="78"/>
      <c r="D3629" s="78"/>
      <c r="E3629" s="78"/>
    </row>
    <row r="3630" ht="25.5" spans="1:5">
      <c r="A3630" s="76" t="s">
        <v>3392</v>
      </c>
      <c r="B3630" s="77"/>
      <c r="C3630" s="78"/>
      <c r="D3630" s="78"/>
      <c r="E3630" s="78"/>
    </row>
    <row r="3631" spans="1:5">
      <c r="A3631" s="76" t="s">
        <v>2764</v>
      </c>
      <c r="B3631" s="77"/>
      <c r="C3631" s="78"/>
      <c r="D3631" s="78"/>
      <c r="E3631" s="78"/>
    </row>
    <row r="3632" spans="1:5">
      <c r="A3632" s="76"/>
      <c r="B3632" s="77"/>
      <c r="C3632" s="78"/>
      <c r="D3632" s="78"/>
      <c r="E3632" s="78"/>
    </row>
    <row r="3633" spans="1:5">
      <c r="A3633" s="76" t="s">
        <v>280</v>
      </c>
      <c r="B3633" s="77" t="s">
        <v>135</v>
      </c>
      <c r="C3633" s="78" t="s">
        <v>136</v>
      </c>
      <c r="D3633" s="78" t="s">
        <v>2534</v>
      </c>
      <c r="E3633" s="78" t="s">
        <v>2535</v>
      </c>
    </row>
    <row r="3634" spans="1:5">
      <c r="A3634" s="76" t="s">
        <v>3389</v>
      </c>
      <c r="B3634" s="77" t="s">
        <v>839</v>
      </c>
      <c r="C3634" s="78">
        <v>0.00831</v>
      </c>
      <c r="D3634" s="78">
        <v>21.83</v>
      </c>
      <c r="E3634" s="78">
        <f>TRUNC(C3634*D3634,2)</f>
        <v>0.18</v>
      </c>
    </row>
    <row r="3635" spans="1:5">
      <c r="A3635" s="76" t="s">
        <v>122</v>
      </c>
      <c r="B3635" s="77"/>
      <c r="C3635" s="78"/>
      <c r="D3635" s="78"/>
      <c r="E3635" s="78">
        <f>SUM(E3634:E3634)</f>
        <v>0.18</v>
      </c>
    </row>
    <row r="3636" spans="1:5">
      <c r="A3636" s="76" t="s">
        <v>117</v>
      </c>
      <c r="B3636" s="77"/>
      <c r="C3636" s="78"/>
      <c r="D3636" s="78"/>
      <c r="E3636" s="78" t="str">
        <f>"0"</f>
        <v>0</v>
      </c>
    </row>
    <row r="3637" spans="1:5">
      <c r="A3637" s="76" t="s">
        <v>2537</v>
      </c>
      <c r="B3637" s="77"/>
      <c r="C3637" s="78"/>
      <c r="D3637" s="78"/>
      <c r="E3637" s="78">
        <f>E3635+E3636</f>
        <v>0.18</v>
      </c>
    </row>
    <row r="3638" spans="1:5">
      <c r="A3638" s="76"/>
      <c r="B3638" s="77"/>
      <c r="C3638" s="78"/>
      <c r="D3638" s="78"/>
      <c r="E3638" s="78"/>
    </row>
    <row r="3639" spans="1:5">
      <c r="A3639" s="76" t="s">
        <v>2538</v>
      </c>
      <c r="B3639" s="77"/>
      <c r="C3639" s="78"/>
      <c r="D3639" s="78"/>
      <c r="E3639" s="78">
        <f>E3637</f>
        <v>0.18</v>
      </c>
    </row>
    <row r="3640" spans="1:5">
      <c r="A3640" s="76" t="s">
        <v>2539</v>
      </c>
      <c r="B3640" s="77"/>
      <c r="C3640" s="78"/>
      <c r="D3640" s="78">
        <v>0</v>
      </c>
      <c r="E3640" s="78">
        <f>TRUNC(D3640*E3639/100,2)</f>
        <v>0</v>
      </c>
    </row>
    <row r="3641" spans="1:5">
      <c r="A3641" s="76" t="s">
        <v>2540</v>
      </c>
      <c r="B3641" s="77"/>
      <c r="C3641" s="78"/>
      <c r="D3641" s="78"/>
      <c r="E3641" s="78">
        <f>E3639+E3640</f>
        <v>0.18</v>
      </c>
    </row>
    <row r="3642" spans="1:5">
      <c r="A3642" s="76"/>
      <c r="B3642" s="77"/>
      <c r="C3642" s="78"/>
      <c r="D3642" s="78"/>
      <c r="E3642" s="78"/>
    </row>
    <row r="3643" spans="1:5">
      <c r="A3643" s="76" t="s">
        <v>3092</v>
      </c>
      <c r="B3643" s="77">
        <v>8001008020030</v>
      </c>
      <c r="C3643" s="78"/>
      <c r="D3643" s="78"/>
      <c r="E3643" s="78"/>
    </row>
    <row r="3644" ht="25.5" spans="1:5">
      <c r="A3644" s="76" t="s">
        <v>3393</v>
      </c>
      <c r="B3644" s="77"/>
      <c r="C3644" s="78"/>
      <c r="D3644" s="78"/>
      <c r="E3644" s="78"/>
    </row>
    <row r="3645" spans="1:5">
      <c r="A3645" s="76" t="s">
        <v>2552</v>
      </c>
      <c r="B3645" s="77"/>
      <c r="C3645" s="78"/>
      <c r="D3645" s="78"/>
      <c r="E3645" s="78"/>
    </row>
    <row r="3646" spans="1:5">
      <c r="A3646" s="76"/>
      <c r="B3646" s="77"/>
      <c r="C3646" s="78"/>
      <c r="D3646" s="78"/>
      <c r="E3646" s="78"/>
    </row>
    <row r="3647" spans="1:5">
      <c r="A3647" s="76" t="s">
        <v>2543</v>
      </c>
      <c r="B3647" s="77" t="s">
        <v>135</v>
      </c>
      <c r="C3647" s="78" t="s">
        <v>136</v>
      </c>
      <c r="D3647" s="78" t="s">
        <v>2534</v>
      </c>
      <c r="E3647" s="78" t="s">
        <v>2535</v>
      </c>
    </row>
    <row r="3648" ht="38.25" spans="1:5">
      <c r="A3648" s="76" t="s">
        <v>3394</v>
      </c>
      <c r="B3648" s="77" t="s">
        <v>466</v>
      </c>
      <c r="C3648" s="78">
        <v>0.32</v>
      </c>
      <c r="D3648" s="78">
        <v>73.26</v>
      </c>
      <c r="E3648" s="78">
        <f>TRUNC(C3648*D3648,2)</f>
        <v>23.44</v>
      </c>
    </row>
    <row r="3649" ht="38.25" spans="1:5">
      <c r="A3649" s="76" t="s">
        <v>3395</v>
      </c>
      <c r="B3649" s="77" t="s">
        <v>463</v>
      </c>
      <c r="C3649" s="78">
        <v>6.67</v>
      </c>
      <c r="D3649" s="78">
        <v>15.01</v>
      </c>
      <c r="E3649" s="78">
        <f>TRUNC(C3649*D3649,2)</f>
        <v>100.11</v>
      </c>
    </row>
    <row r="3650" ht="25.5" spans="1:5">
      <c r="A3650" s="76" t="s">
        <v>3396</v>
      </c>
      <c r="B3650" s="77" t="s">
        <v>476</v>
      </c>
      <c r="C3650" s="78">
        <v>0.015</v>
      </c>
      <c r="D3650" s="78">
        <v>330.29</v>
      </c>
      <c r="E3650" s="78">
        <f>TRUNC(C3650*D3650,2)</f>
        <v>4.95</v>
      </c>
    </row>
    <row r="3651" ht="38.25" spans="1:5">
      <c r="A3651" s="76" t="s">
        <v>2837</v>
      </c>
      <c r="B3651" s="77" t="s">
        <v>476</v>
      </c>
      <c r="C3651" s="78">
        <v>0.015</v>
      </c>
      <c r="D3651" s="78">
        <v>587.79</v>
      </c>
      <c r="E3651" s="78">
        <f>TRUNC(C3651*D3651,2)</f>
        <v>8.81</v>
      </c>
    </row>
    <row r="3652" ht="25.5" spans="1:5">
      <c r="A3652" s="76" t="s">
        <v>2800</v>
      </c>
      <c r="B3652" s="77" t="s">
        <v>412</v>
      </c>
      <c r="C3652" s="78">
        <v>0.00045</v>
      </c>
      <c r="D3652" s="78">
        <v>1172.63</v>
      </c>
      <c r="E3652" s="78">
        <f>TRUNC(C3652*D3652,2)</f>
        <v>0.52</v>
      </c>
    </row>
    <row r="3653" spans="1:5">
      <c r="A3653" s="76" t="s">
        <v>122</v>
      </c>
      <c r="B3653" s="77"/>
      <c r="C3653" s="78"/>
      <c r="D3653" s="78"/>
      <c r="E3653" s="78">
        <f>SUM(E3648:E3652)</f>
        <v>137.83</v>
      </c>
    </row>
    <row r="3654" spans="1:5">
      <c r="A3654" s="76"/>
      <c r="B3654" s="77"/>
      <c r="C3654" s="78"/>
      <c r="D3654" s="78"/>
      <c r="E3654" s="78"/>
    </row>
    <row r="3655" spans="1:5">
      <c r="A3655" s="76" t="s">
        <v>2538</v>
      </c>
      <c r="B3655" s="77"/>
      <c r="C3655" s="78"/>
      <c r="D3655" s="78"/>
      <c r="E3655" s="78">
        <f>E3653</f>
        <v>137.83</v>
      </c>
    </row>
    <row r="3656" spans="1:5">
      <c r="A3656" s="76" t="s">
        <v>2539</v>
      </c>
      <c r="B3656" s="77"/>
      <c r="C3656" s="78"/>
      <c r="D3656" s="78">
        <v>0</v>
      </c>
      <c r="E3656" s="78">
        <f>TRUNC(D3656*E3655/100,2)</f>
        <v>0</v>
      </c>
    </row>
    <row r="3657" spans="1:5">
      <c r="A3657" s="76" t="s">
        <v>2540</v>
      </c>
      <c r="B3657" s="77"/>
      <c r="C3657" s="78"/>
      <c r="D3657" s="78"/>
      <c r="E3657" s="78">
        <f>E3655+E3656</f>
        <v>137.83</v>
      </c>
    </row>
    <row r="3658" spans="1:5">
      <c r="A3658" s="76"/>
      <c r="B3658" s="77"/>
      <c r="C3658" s="78"/>
      <c r="D3658" s="78"/>
      <c r="E3658" s="78"/>
    </row>
    <row r="3659" spans="1:5">
      <c r="A3659" s="76" t="s">
        <v>3092</v>
      </c>
      <c r="B3659" s="77">
        <v>8004008025012</v>
      </c>
      <c r="C3659" s="78"/>
      <c r="D3659" s="78"/>
      <c r="E3659" s="78"/>
    </row>
    <row r="3660" ht="38.25" spans="1:5">
      <c r="A3660" s="76" t="s">
        <v>3397</v>
      </c>
      <c r="B3660" s="77"/>
      <c r="C3660" s="78"/>
      <c r="D3660" s="78"/>
      <c r="E3660" s="78"/>
    </row>
    <row r="3661" spans="1:5">
      <c r="A3661" s="76" t="s">
        <v>2563</v>
      </c>
      <c r="B3661" s="77"/>
      <c r="C3661" s="78"/>
      <c r="D3661" s="78"/>
      <c r="E3661" s="78"/>
    </row>
    <row r="3662" spans="1:5">
      <c r="A3662" s="76"/>
      <c r="B3662" s="77"/>
      <c r="C3662" s="78"/>
      <c r="D3662" s="78"/>
      <c r="E3662" s="78"/>
    </row>
    <row r="3663" spans="1:5">
      <c r="A3663" s="76" t="s">
        <v>2543</v>
      </c>
      <c r="B3663" s="77" t="s">
        <v>135</v>
      </c>
      <c r="C3663" s="78" t="s">
        <v>136</v>
      </c>
      <c r="D3663" s="78" t="s">
        <v>2534</v>
      </c>
      <c r="E3663" s="78" t="s">
        <v>2535</v>
      </c>
    </row>
    <row r="3664" ht="25.5" spans="1:5">
      <c r="A3664" s="76" t="s">
        <v>2813</v>
      </c>
      <c r="B3664" s="77" t="s">
        <v>466</v>
      </c>
      <c r="C3664" s="78">
        <v>0.05289256</v>
      </c>
      <c r="D3664" s="78">
        <v>23.97</v>
      </c>
      <c r="E3664" s="78">
        <f t="shared" ref="E3664:E3671" si="43">TRUNC(C3664*D3664,2)</f>
        <v>1.26</v>
      </c>
    </row>
    <row r="3665" ht="25.5" spans="1:5">
      <c r="A3665" s="76" t="s">
        <v>2814</v>
      </c>
      <c r="B3665" s="77" t="s">
        <v>215</v>
      </c>
      <c r="C3665" s="78">
        <v>0.05</v>
      </c>
      <c r="D3665" s="78">
        <v>7.16</v>
      </c>
      <c r="E3665" s="78">
        <f t="shared" si="43"/>
        <v>0.35</v>
      </c>
    </row>
    <row r="3666" ht="25.5" spans="1:5">
      <c r="A3666" s="76" t="s">
        <v>2582</v>
      </c>
      <c r="B3666" s="77" t="s">
        <v>112</v>
      </c>
      <c r="C3666" s="78">
        <v>0.6</v>
      </c>
      <c r="D3666" s="78">
        <v>7.78</v>
      </c>
      <c r="E3666" s="78">
        <f t="shared" si="43"/>
        <v>4.66</v>
      </c>
    </row>
    <row r="3667" spans="1:5">
      <c r="A3667" s="76" t="s">
        <v>2583</v>
      </c>
      <c r="B3667" s="77" t="s">
        <v>463</v>
      </c>
      <c r="C3667" s="78">
        <v>0.2</v>
      </c>
      <c r="D3667" s="78">
        <v>18.4</v>
      </c>
      <c r="E3667" s="78">
        <f t="shared" si="43"/>
        <v>3.68</v>
      </c>
    </row>
    <row r="3668" ht="25.5" spans="1:5">
      <c r="A3668" s="76" t="s">
        <v>2633</v>
      </c>
      <c r="B3668" s="77" t="s">
        <v>112</v>
      </c>
      <c r="C3668" s="78">
        <v>0.46</v>
      </c>
      <c r="D3668" s="78">
        <v>3.94</v>
      </c>
      <c r="E3668" s="78">
        <f t="shared" si="43"/>
        <v>1.81</v>
      </c>
    </row>
    <row r="3669" ht="25.5" spans="1:5">
      <c r="A3669" s="76" t="s">
        <v>2815</v>
      </c>
      <c r="B3669" s="77" t="s">
        <v>112</v>
      </c>
      <c r="C3669" s="78">
        <v>0.48</v>
      </c>
      <c r="D3669" s="78">
        <v>12.9</v>
      </c>
      <c r="E3669" s="78">
        <f t="shared" si="43"/>
        <v>6.19</v>
      </c>
    </row>
    <row r="3670" spans="1:5">
      <c r="A3670" s="76" t="s">
        <v>2576</v>
      </c>
      <c r="B3670" s="77" t="s">
        <v>839</v>
      </c>
      <c r="C3670" s="78">
        <v>1</v>
      </c>
      <c r="D3670" s="78">
        <v>24.4</v>
      </c>
      <c r="E3670" s="78">
        <f t="shared" si="43"/>
        <v>24.4</v>
      </c>
    </row>
    <row r="3671" spans="1:5">
      <c r="A3671" s="76" t="s">
        <v>2577</v>
      </c>
      <c r="B3671" s="77" t="s">
        <v>839</v>
      </c>
      <c r="C3671" s="78">
        <v>1</v>
      </c>
      <c r="D3671" s="78">
        <v>30.91</v>
      </c>
      <c r="E3671" s="78">
        <f t="shared" si="43"/>
        <v>30.91</v>
      </c>
    </row>
    <row r="3672" spans="1:5">
      <c r="A3672" s="76" t="s">
        <v>122</v>
      </c>
      <c r="B3672" s="77"/>
      <c r="C3672" s="78"/>
      <c r="D3672" s="78"/>
      <c r="E3672" s="78">
        <f>SUM(E3664:E3671)</f>
        <v>73.26</v>
      </c>
    </row>
    <row r="3673" spans="1:5">
      <c r="A3673" s="76"/>
      <c r="B3673" s="77"/>
      <c r="C3673" s="78"/>
      <c r="D3673" s="78"/>
      <c r="E3673" s="78"/>
    </row>
    <row r="3674" spans="1:5">
      <c r="A3674" s="76" t="s">
        <v>2538</v>
      </c>
      <c r="B3674" s="77"/>
      <c r="C3674" s="78"/>
      <c r="D3674" s="78"/>
      <c r="E3674" s="78">
        <f>E3672</f>
        <v>73.26</v>
      </c>
    </row>
    <row r="3675" spans="1:5">
      <c r="A3675" s="76" t="s">
        <v>2539</v>
      </c>
      <c r="B3675" s="77"/>
      <c r="C3675" s="78"/>
      <c r="D3675" s="78">
        <v>0</v>
      </c>
      <c r="E3675" s="78">
        <f>TRUNC(D3675*E3674/100,2)</f>
        <v>0</v>
      </c>
    </row>
    <row r="3676" spans="1:5">
      <c r="A3676" s="76" t="s">
        <v>2540</v>
      </c>
      <c r="B3676" s="77"/>
      <c r="C3676" s="78"/>
      <c r="D3676" s="78"/>
      <c r="E3676" s="78">
        <f>E3674+E3675</f>
        <v>73.26</v>
      </c>
    </row>
    <row r="3677" spans="1:5">
      <c r="A3677" s="76"/>
      <c r="B3677" s="77"/>
      <c r="C3677" s="78"/>
      <c r="D3677" s="78"/>
      <c r="E3677" s="78"/>
    </row>
    <row r="3678" spans="1:5">
      <c r="A3678" s="76" t="s">
        <v>3092</v>
      </c>
      <c r="B3678" s="77" t="s">
        <v>846</v>
      </c>
      <c r="C3678" s="78"/>
      <c r="D3678" s="78"/>
      <c r="E3678" s="78"/>
    </row>
    <row r="3679" ht="38.25" spans="1:5">
      <c r="A3679" s="76" t="s">
        <v>2789</v>
      </c>
      <c r="B3679" s="77"/>
      <c r="C3679" s="78"/>
      <c r="D3679" s="78"/>
      <c r="E3679" s="78"/>
    </row>
    <row r="3680" spans="1:5">
      <c r="A3680" s="76" t="s">
        <v>2776</v>
      </c>
      <c r="B3680" s="77"/>
      <c r="C3680" s="78"/>
      <c r="D3680" s="78"/>
      <c r="E3680" s="78"/>
    </row>
    <row r="3681" spans="1:5">
      <c r="A3681" s="76"/>
      <c r="B3681" s="77"/>
      <c r="C3681" s="78"/>
      <c r="D3681" s="78"/>
      <c r="E3681" s="78"/>
    </row>
    <row r="3682" spans="1:5">
      <c r="A3682" s="76" t="s">
        <v>2543</v>
      </c>
      <c r="B3682" s="77" t="s">
        <v>135</v>
      </c>
      <c r="C3682" s="78" t="s">
        <v>136</v>
      </c>
      <c r="D3682" s="78" t="s">
        <v>2534</v>
      </c>
      <c r="E3682" s="78" t="s">
        <v>2535</v>
      </c>
    </row>
    <row r="3683" ht="25.5" spans="1:5">
      <c r="A3683" s="76" t="s">
        <v>2777</v>
      </c>
      <c r="B3683" s="77" t="s">
        <v>463</v>
      </c>
      <c r="C3683" s="78">
        <v>0.025</v>
      </c>
      <c r="D3683" s="78">
        <v>19.38</v>
      </c>
      <c r="E3683" s="78">
        <f>TRUNC(C3683*D3683,2)</f>
        <v>0.48</v>
      </c>
    </row>
    <row r="3684" ht="25.5" spans="1:5">
      <c r="A3684" s="76" t="s">
        <v>2778</v>
      </c>
      <c r="B3684" s="77" t="s">
        <v>494</v>
      </c>
      <c r="C3684" s="78">
        <v>0.743</v>
      </c>
      <c r="D3684" s="78">
        <v>0.22</v>
      </c>
      <c r="E3684" s="78">
        <f>TRUNC(C3684*D3684,2)</f>
        <v>0.16</v>
      </c>
    </row>
    <row r="3685" spans="1:5">
      <c r="A3685" s="76" t="s">
        <v>2779</v>
      </c>
      <c r="B3685" s="77" t="s">
        <v>839</v>
      </c>
      <c r="C3685" s="78">
        <v>0.0166</v>
      </c>
      <c r="D3685" s="78">
        <v>24.57</v>
      </c>
      <c r="E3685" s="78">
        <f>TRUNC(C3685*D3685,2)</f>
        <v>0.4</v>
      </c>
    </row>
    <row r="3686" spans="1:5">
      <c r="A3686" s="76" t="s">
        <v>2780</v>
      </c>
      <c r="B3686" s="77" t="s">
        <v>839</v>
      </c>
      <c r="C3686" s="78">
        <v>0.1015</v>
      </c>
      <c r="D3686" s="78">
        <v>31.13</v>
      </c>
      <c r="E3686" s="78">
        <f>TRUNC(C3686*D3686,2)</f>
        <v>3.15</v>
      </c>
    </row>
    <row r="3687" spans="1:5">
      <c r="A3687" s="76" t="s">
        <v>2790</v>
      </c>
      <c r="B3687" s="77" t="s">
        <v>463</v>
      </c>
      <c r="C3687" s="78">
        <v>1</v>
      </c>
      <c r="D3687" s="78">
        <v>10.82</v>
      </c>
      <c r="E3687" s="78">
        <f>TRUNC(C3687*D3687,2)</f>
        <v>10.82</v>
      </c>
    </row>
    <row r="3688" spans="1:5">
      <c r="A3688" s="76" t="s">
        <v>122</v>
      </c>
      <c r="B3688" s="77"/>
      <c r="C3688" s="78"/>
      <c r="D3688" s="78"/>
      <c r="E3688" s="78">
        <f>SUM(E3683:E3687)</f>
        <v>15.01</v>
      </c>
    </row>
    <row r="3689" spans="1:5">
      <c r="A3689" s="76"/>
      <c r="B3689" s="77"/>
      <c r="C3689" s="78"/>
      <c r="D3689" s="78"/>
      <c r="E3689" s="78"/>
    </row>
    <row r="3690" spans="1:5">
      <c r="A3690" s="76" t="s">
        <v>2538</v>
      </c>
      <c r="B3690" s="77"/>
      <c r="C3690" s="78"/>
      <c r="D3690" s="78"/>
      <c r="E3690" s="78">
        <f>E3688</f>
        <v>15.01</v>
      </c>
    </row>
    <row r="3691" spans="1:5">
      <c r="A3691" s="76" t="s">
        <v>2539</v>
      </c>
      <c r="B3691" s="77"/>
      <c r="C3691" s="78"/>
      <c r="D3691" s="78">
        <v>0</v>
      </c>
      <c r="E3691" s="78">
        <f>TRUNC(D3691*E3690/100,2)</f>
        <v>0</v>
      </c>
    </row>
    <row r="3692" spans="1:5">
      <c r="A3692" s="76" t="s">
        <v>2540</v>
      </c>
      <c r="B3692" s="77"/>
      <c r="C3692" s="78"/>
      <c r="D3692" s="78"/>
      <c r="E3692" s="78">
        <f>E3690+E3691</f>
        <v>15.01</v>
      </c>
    </row>
    <row r="3693" spans="1:5">
      <c r="A3693" s="76"/>
      <c r="B3693" s="77"/>
      <c r="C3693" s="78"/>
      <c r="D3693" s="78"/>
      <c r="E3693" s="78"/>
    </row>
    <row r="3694" spans="1:5">
      <c r="A3694" s="76" t="s">
        <v>3092</v>
      </c>
      <c r="B3694" s="77" t="s">
        <v>3398</v>
      </c>
      <c r="C3694" s="78"/>
      <c r="D3694" s="78"/>
      <c r="E3694" s="78"/>
    </row>
    <row r="3695" spans="1:5">
      <c r="A3695" s="76" t="s">
        <v>3399</v>
      </c>
      <c r="B3695" s="77"/>
      <c r="C3695" s="78"/>
      <c r="D3695" s="78"/>
      <c r="E3695" s="78"/>
    </row>
    <row r="3696" spans="1:5">
      <c r="A3696" s="76" t="s">
        <v>2764</v>
      </c>
      <c r="B3696" s="77"/>
      <c r="C3696" s="78"/>
      <c r="D3696" s="78"/>
      <c r="E3696" s="78"/>
    </row>
    <row r="3697" spans="1:5">
      <c r="A3697" s="76"/>
      <c r="B3697" s="77"/>
      <c r="C3697" s="78"/>
      <c r="D3697" s="78"/>
      <c r="E3697" s="78"/>
    </row>
    <row r="3698" spans="1:5">
      <c r="A3698" s="76" t="s">
        <v>279</v>
      </c>
      <c r="B3698" s="77" t="s">
        <v>135</v>
      </c>
      <c r="C3698" s="78" t="s">
        <v>136</v>
      </c>
      <c r="D3698" s="78" t="s">
        <v>2534</v>
      </c>
      <c r="E3698" s="78" t="s">
        <v>2535</v>
      </c>
    </row>
    <row r="3699" ht="25.5" spans="1:5">
      <c r="A3699" s="76" t="s">
        <v>3111</v>
      </c>
      <c r="B3699" s="77" t="s">
        <v>839</v>
      </c>
      <c r="C3699" s="78">
        <v>1</v>
      </c>
      <c r="D3699" s="78">
        <v>1.5</v>
      </c>
      <c r="E3699" s="78">
        <f>TRUNC(C3699*D3699,2)</f>
        <v>1.5</v>
      </c>
    </row>
    <row r="3700" spans="1:5">
      <c r="A3700" s="76" t="s">
        <v>122</v>
      </c>
      <c r="B3700" s="77"/>
      <c r="C3700" s="78"/>
      <c r="D3700" s="78"/>
      <c r="E3700" s="78">
        <f>SUM(E3699:E3699)</f>
        <v>1.5</v>
      </c>
    </row>
    <row r="3701" spans="1:5">
      <c r="A3701" s="76"/>
      <c r="B3701" s="77"/>
      <c r="C3701" s="78"/>
      <c r="D3701" s="78"/>
      <c r="E3701" s="78"/>
    </row>
    <row r="3702" spans="1:5">
      <c r="A3702" s="76" t="s">
        <v>280</v>
      </c>
      <c r="B3702" s="77" t="s">
        <v>135</v>
      </c>
      <c r="C3702" s="78" t="s">
        <v>136</v>
      </c>
      <c r="D3702" s="78" t="s">
        <v>2534</v>
      </c>
      <c r="E3702" s="78" t="s">
        <v>2535</v>
      </c>
    </row>
    <row r="3703" spans="1:5">
      <c r="A3703" s="76" t="s">
        <v>3400</v>
      </c>
      <c r="B3703" s="77" t="s">
        <v>839</v>
      </c>
      <c r="C3703" s="78">
        <v>1</v>
      </c>
      <c r="D3703" s="78">
        <v>15.35</v>
      </c>
      <c r="E3703" s="78">
        <f>TRUNC(C3703*D3703,2)</f>
        <v>15.35</v>
      </c>
    </row>
    <row r="3704" ht="25.5" spans="1:5">
      <c r="A3704" s="76" t="s">
        <v>3112</v>
      </c>
      <c r="B3704" s="77" t="s">
        <v>839</v>
      </c>
      <c r="C3704" s="78">
        <v>1</v>
      </c>
      <c r="D3704" s="78">
        <v>3.95</v>
      </c>
      <c r="E3704" s="78">
        <f>TRUNC(C3704*D3704,2)</f>
        <v>3.95</v>
      </c>
    </row>
    <row r="3705" ht="25.5" spans="1:5">
      <c r="A3705" s="76" t="s">
        <v>3113</v>
      </c>
      <c r="B3705" s="77" t="s">
        <v>839</v>
      </c>
      <c r="C3705" s="78">
        <v>1</v>
      </c>
      <c r="D3705" s="78">
        <v>0.08</v>
      </c>
      <c r="E3705" s="78">
        <f>TRUNC(C3705*D3705,2)</f>
        <v>0.08</v>
      </c>
    </row>
    <row r="3706" spans="1:5">
      <c r="A3706" s="76" t="s">
        <v>122</v>
      </c>
      <c r="B3706" s="77"/>
      <c r="C3706" s="78"/>
      <c r="D3706" s="78"/>
      <c r="E3706" s="78">
        <f>SUM(E3703:E3705)</f>
        <v>19.38</v>
      </c>
    </row>
    <row r="3707" spans="1:5">
      <c r="A3707" s="76" t="s">
        <v>117</v>
      </c>
      <c r="B3707" s="77"/>
      <c r="C3707" s="78"/>
      <c r="D3707" s="78"/>
      <c r="E3707" s="78" t="str">
        <f>"0"</f>
        <v>0</v>
      </c>
    </row>
    <row r="3708" spans="1:5">
      <c r="A3708" s="76" t="s">
        <v>2537</v>
      </c>
      <c r="B3708" s="77"/>
      <c r="C3708" s="78"/>
      <c r="D3708" s="78"/>
      <c r="E3708" s="78">
        <f>E3706+E3707</f>
        <v>19.38</v>
      </c>
    </row>
    <row r="3709" spans="1:5">
      <c r="A3709" s="76"/>
      <c r="B3709" s="77"/>
      <c r="C3709" s="78"/>
      <c r="D3709" s="78"/>
      <c r="E3709" s="78"/>
    </row>
    <row r="3710" spans="1:5">
      <c r="A3710" s="76" t="s">
        <v>2543</v>
      </c>
      <c r="B3710" s="77" t="s">
        <v>135</v>
      </c>
      <c r="C3710" s="78" t="s">
        <v>136</v>
      </c>
      <c r="D3710" s="78" t="s">
        <v>2534</v>
      </c>
      <c r="E3710" s="78" t="s">
        <v>2535</v>
      </c>
    </row>
    <row r="3711" ht="25.5" spans="1:5">
      <c r="A3711" s="76" t="s">
        <v>3401</v>
      </c>
      <c r="B3711" s="77" t="s">
        <v>839</v>
      </c>
      <c r="C3711" s="78">
        <v>1</v>
      </c>
      <c r="D3711" s="78">
        <v>1.31</v>
      </c>
      <c r="E3711" s="78">
        <f>TRUNC(C3711*D3711,2)</f>
        <v>1.31</v>
      </c>
    </row>
    <row r="3712" spans="1:5">
      <c r="A3712" s="76" t="s">
        <v>3116</v>
      </c>
      <c r="B3712" s="77" t="s">
        <v>839</v>
      </c>
      <c r="C3712" s="78">
        <v>1</v>
      </c>
      <c r="D3712" s="78">
        <v>1.43</v>
      </c>
      <c r="E3712" s="78">
        <f>TRUNC(C3712*D3712,2)</f>
        <v>1.43</v>
      </c>
    </row>
    <row r="3713" ht="25.5" spans="1:5">
      <c r="A3713" s="76" t="s">
        <v>3402</v>
      </c>
      <c r="B3713" s="77" t="s">
        <v>839</v>
      </c>
      <c r="C3713" s="78">
        <v>1</v>
      </c>
      <c r="D3713" s="78">
        <v>0.78</v>
      </c>
      <c r="E3713" s="78">
        <f>TRUNC(C3713*D3713,2)</f>
        <v>0.78</v>
      </c>
    </row>
    <row r="3714" ht="25.5" spans="1:5">
      <c r="A3714" s="76" t="s">
        <v>3403</v>
      </c>
      <c r="B3714" s="77" t="s">
        <v>839</v>
      </c>
      <c r="C3714" s="78">
        <v>1</v>
      </c>
      <c r="D3714" s="78">
        <v>0.17</v>
      </c>
      <c r="E3714" s="78">
        <f>TRUNC(C3714*D3714,2)</f>
        <v>0.17</v>
      </c>
    </row>
    <row r="3715" spans="1:5">
      <c r="A3715" s="76" t="s">
        <v>122</v>
      </c>
      <c r="B3715" s="77"/>
      <c r="C3715" s="78"/>
      <c r="D3715" s="78"/>
      <c r="E3715" s="78">
        <f>SUM(E3711:E3714)</f>
        <v>3.69</v>
      </c>
    </row>
    <row r="3716" spans="1:5">
      <c r="A3716" s="76"/>
      <c r="B3716" s="77"/>
      <c r="C3716" s="78"/>
      <c r="D3716" s="78"/>
      <c r="E3716" s="78"/>
    </row>
    <row r="3717" spans="1:5">
      <c r="A3717" s="76" t="s">
        <v>2538</v>
      </c>
      <c r="B3717" s="77"/>
      <c r="C3717" s="78"/>
      <c r="D3717" s="78"/>
      <c r="E3717" s="78">
        <f>E3700+E3708+E3715</f>
        <v>24.57</v>
      </c>
    </row>
    <row r="3718" spans="1:5">
      <c r="A3718" s="76" t="s">
        <v>2539</v>
      </c>
      <c r="B3718" s="77"/>
      <c r="C3718" s="78"/>
      <c r="D3718" s="78">
        <v>0</v>
      </c>
      <c r="E3718" s="78">
        <f>TRUNC(D3718*E3717/100,2)</f>
        <v>0</v>
      </c>
    </row>
    <row r="3719" spans="1:5">
      <c r="A3719" s="76" t="s">
        <v>2540</v>
      </c>
      <c r="B3719" s="77"/>
      <c r="C3719" s="78"/>
      <c r="D3719" s="78"/>
      <c r="E3719" s="78">
        <f>E3717+E3718</f>
        <v>24.57</v>
      </c>
    </row>
    <row r="3720" spans="1:5">
      <c r="A3720" s="76"/>
      <c r="B3720" s="77"/>
      <c r="C3720" s="78"/>
      <c r="D3720" s="78"/>
      <c r="E3720" s="78"/>
    </row>
    <row r="3721" spans="1:5">
      <c r="A3721" s="76" t="s">
        <v>3092</v>
      </c>
      <c r="B3721" s="77" t="s">
        <v>3404</v>
      </c>
      <c r="C3721" s="78"/>
      <c r="D3721" s="78"/>
      <c r="E3721" s="78"/>
    </row>
    <row r="3722" ht="25.5" spans="1:5">
      <c r="A3722" s="76" t="s">
        <v>3405</v>
      </c>
      <c r="B3722" s="77"/>
      <c r="C3722" s="78"/>
      <c r="D3722" s="78"/>
      <c r="E3722" s="78"/>
    </row>
    <row r="3723" spans="1:5">
      <c r="A3723" s="76" t="s">
        <v>2764</v>
      </c>
      <c r="B3723" s="77"/>
      <c r="C3723" s="78"/>
      <c r="D3723" s="78"/>
      <c r="E3723" s="78"/>
    </row>
    <row r="3724" spans="1:5">
      <c r="A3724" s="76"/>
      <c r="B3724" s="77"/>
      <c r="C3724" s="78"/>
      <c r="D3724" s="78"/>
      <c r="E3724" s="78"/>
    </row>
    <row r="3725" spans="1:5">
      <c r="A3725" s="76" t="s">
        <v>280</v>
      </c>
      <c r="B3725" s="77" t="s">
        <v>135</v>
      </c>
      <c r="C3725" s="78" t="s">
        <v>136</v>
      </c>
      <c r="D3725" s="78" t="s">
        <v>2534</v>
      </c>
      <c r="E3725" s="78" t="s">
        <v>2535</v>
      </c>
    </row>
    <row r="3726" spans="1:5">
      <c r="A3726" s="76" t="s">
        <v>3400</v>
      </c>
      <c r="B3726" s="77" t="s">
        <v>839</v>
      </c>
      <c r="C3726" s="78">
        <v>0.01154</v>
      </c>
      <c r="D3726" s="78">
        <v>15.35</v>
      </c>
      <c r="E3726" s="78">
        <f>TRUNC(C3726*D3726,2)</f>
        <v>0.17</v>
      </c>
    </row>
    <row r="3727" spans="1:5">
      <c r="A3727" s="76" t="s">
        <v>122</v>
      </c>
      <c r="B3727" s="77"/>
      <c r="C3727" s="78"/>
      <c r="D3727" s="78"/>
      <c r="E3727" s="78">
        <f>SUM(E3726:E3726)</f>
        <v>0.17</v>
      </c>
    </row>
    <row r="3728" spans="1:5">
      <c r="A3728" s="76" t="s">
        <v>117</v>
      </c>
      <c r="B3728" s="77"/>
      <c r="C3728" s="78"/>
      <c r="D3728" s="78"/>
      <c r="E3728" s="78" t="str">
        <f>"0"</f>
        <v>0</v>
      </c>
    </row>
    <row r="3729" spans="1:5">
      <c r="A3729" s="76" t="s">
        <v>2537</v>
      </c>
      <c r="B3729" s="77"/>
      <c r="C3729" s="78"/>
      <c r="D3729" s="78"/>
      <c r="E3729" s="78">
        <f>E3727+E3728</f>
        <v>0.17</v>
      </c>
    </row>
    <row r="3730" spans="1:5">
      <c r="A3730" s="76"/>
      <c r="B3730" s="77"/>
      <c r="C3730" s="78"/>
      <c r="D3730" s="78"/>
      <c r="E3730" s="78"/>
    </row>
    <row r="3731" spans="1:5">
      <c r="A3731" s="76" t="s">
        <v>2538</v>
      </c>
      <c r="B3731" s="77"/>
      <c r="C3731" s="78"/>
      <c r="D3731" s="78"/>
      <c r="E3731" s="78">
        <f>E3729</f>
        <v>0.17</v>
      </c>
    </row>
    <row r="3732" spans="1:5">
      <c r="A3732" s="76" t="s">
        <v>2539</v>
      </c>
      <c r="B3732" s="77"/>
      <c r="C3732" s="78"/>
      <c r="D3732" s="78">
        <v>0</v>
      </c>
      <c r="E3732" s="78">
        <f>TRUNC(D3732*E3731/100,2)</f>
        <v>0</v>
      </c>
    </row>
    <row r="3733" spans="1:5">
      <c r="A3733" s="76" t="s">
        <v>2540</v>
      </c>
      <c r="B3733" s="77"/>
      <c r="C3733" s="78"/>
      <c r="D3733" s="78"/>
      <c r="E3733" s="78">
        <f>E3731+E3732</f>
        <v>0.17</v>
      </c>
    </row>
    <row r="3734" spans="1:5">
      <c r="A3734" s="76"/>
      <c r="B3734" s="77"/>
      <c r="C3734" s="78"/>
      <c r="D3734" s="78"/>
      <c r="E3734" s="78"/>
    </row>
    <row r="3735" spans="1:5">
      <c r="A3735" s="76" t="s">
        <v>3092</v>
      </c>
      <c r="B3735" s="77" t="s">
        <v>3406</v>
      </c>
      <c r="C3735" s="78"/>
      <c r="D3735" s="78"/>
      <c r="E3735" s="78"/>
    </row>
    <row r="3736" spans="1:5">
      <c r="A3736" s="76" t="s">
        <v>3407</v>
      </c>
      <c r="B3736" s="77"/>
      <c r="C3736" s="78"/>
      <c r="D3736" s="78"/>
      <c r="E3736" s="78"/>
    </row>
    <row r="3737" spans="1:5">
      <c r="A3737" s="76" t="s">
        <v>2764</v>
      </c>
      <c r="B3737" s="77"/>
      <c r="C3737" s="78"/>
      <c r="D3737" s="78"/>
      <c r="E3737" s="78"/>
    </row>
    <row r="3738" spans="1:5">
      <c r="A3738" s="76"/>
      <c r="B3738" s="77"/>
      <c r="C3738" s="78"/>
      <c r="D3738" s="78"/>
      <c r="E3738" s="78"/>
    </row>
    <row r="3739" spans="1:5">
      <c r="A3739" s="76" t="s">
        <v>279</v>
      </c>
      <c r="B3739" s="77" t="s">
        <v>135</v>
      </c>
      <c r="C3739" s="78" t="s">
        <v>136</v>
      </c>
      <c r="D3739" s="78" t="s">
        <v>2534</v>
      </c>
      <c r="E3739" s="78" t="s">
        <v>2535</v>
      </c>
    </row>
    <row r="3740" ht="25.5" spans="1:5">
      <c r="A3740" s="76" t="s">
        <v>3111</v>
      </c>
      <c r="B3740" s="77" t="s">
        <v>839</v>
      </c>
      <c r="C3740" s="78">
        <v>1</v>
      </c>
      <c r="D3740" s="78">
        <v>1.5</v>
      </c>
      <c r="E3740" s="78">
        <f>TRUNC(C3740*D3740,2)</f>
        <v>1.5</v>
      </c>
    </row>
    <row r="3741" spans="1:5">
      <c r="A3741" s="76" t="s">
        <v>122</v>
      </c>
      <c r="B3741" s="77"/>
      <c r="C3741" s="78"/>
      <c r="D3741" s="78"/>
      <c r="E3741" s="78">
        <f>SUM(E3740:E3740)</f>
        <v>1.5</v>
      </c>
    </row>
    <row r="3742" spans="1:5">
      <c r="A3742" s="76"/>
      <c r="B3742" s="77"/>
      <c r="C3742" s="78"/>
      <c r="D3742" s="78"/>
      <c r="E3742" s="78"/>
    </row>
    <row r="3743" spans="1:5">
      <c r="A3743" s="76" t="s">
        <v>280</v>
      </c>
      <c r="B3743" s="77" t="s">
        <v>135</v>
      </c>
      <c r="C3743" s="78" t="s">
        <v>136</v>
      </c>
      <c r="D3743" s="78" t="s">
        <v>2534</v>
      </c>
      <c r="E3743" s="78" t="s">
        <v>2535</v>
      </c>
    </row>
    <row r="3744" ht="25.5" spans="1:5">
      <c r="A3744" s="76" t="s">
        <v>3112</v>
      </c>
      <c r="B3744" s="77" t="s">
        <v>839</v>
      </c>
      <c r="C3744" s="78">
        <v>1</v>
      </c>
      <c r="D3744" s="78">
        <v>3.95</v>
      </c>
      <c r="E3744" s="78">
        <f>TRUNC(C3744*D3744,2)</f>
        <v>3.95</v>
      </c>
    </row>
    <row r="3745" spans="1:5">
      <c r="A3745" s="76" t="s">
        <v>3408</v>
      </c>
      <c r="B3745" s="77" t="s">
        <v>839</v>
      </c>
      <c r="C3745" s="78">
        <v>1</v>
      </c>
      <c r="D3745" s="78">
        <v>21.83</v>
      </c>
      <c r="E3745" s="78">
        <f>TRUNC(C3745*D3745,2)</f>
        <v>21.83</v>
      </c>
    </row>
    <row r="3746" ht="25.5" spans="1:5">
      <c r="A3746" s="76" t="s">
        <v>3113</v>
      </c>
      <c r="B3746" s="77" t="s">
        <v>839</v>
      </c>
      <c r="C3746" s="78">
        <v>1</v>
      </c>
      <c r="D3746" s="78">
        <v>0.08</v>
      </c>
      <c r="E3746" s="78">
        <f>TRUNC(C3746*D3746,2)</f>
        <v>0.08</v>
      </c>
    </row>
    <row r="3747" spans="1:5">
      <c r="A3747" s="76" t="s">
        <v>122</v>
      </c>
      <c r="B3747" s="77"/>
      <c r="C3747" s="78"/>
      <c r="D3747" s="78"/>
      <c r="E3747" s="78">
        <f>SUM(E3744:E3746)</f>
        <v>25.86</v>
      </c>
    </row>
    <row r="3748" spans="1:5">
      <c r="A3748" s="76" t="s">
        <v>117</v>
      </c>
      <c r="B3748" s="77"/>
      <c r="C3748" s="78"/>
      <c r="D3748" s="78"/>
      <c r="E3748" s="78" t="str">
        <f>"0"</f>
        <v>0</v>
      </c>
    </row>
    <row r="3749" spans="1:5">
      <c r="A3749" s="76" t="s">
        <v>2537</v>
      </c>
      <c r="B3749" s="77"/>
      <c r="C3749" s="78"/>
      <c r="D3749" s="78"/>
      <c r="E3749" s="78">
        <f>E3747+E3748</f>
        <v>25.86</v>
      </c>
    </row>
    <row r="3750" spans="1:5">
      <c r="A3750" s="76"/>
      <c r="B3750" s="77"/>
      <c r="C3750" s="78"/>
      <c r="D3750" s="78"/>
      <c r="E3750" s="78"/>
    </row>
    <row r="3751" spans="1:5">
      <c r="A3751" s="76" t="s">
        <v>2543</v>
      </c>
      <c r="B3751" s="77" t="s">
        <v>135</v>
      </c>
      <c r="C3751" s="78" t="s">
        <v>136</v>
      </c>
      <c r="D3751" s="78" t="s">
        <v>2534</v>
      </c>
      <c r="E3751" s="78" t="s">
        <v>2535</v>
      </c>
    </row>
    <row r="3752" ht="25.5" spans="1:5">
      <c r="A3752" s="76" t="s">
        <v>3401</v>
      </c>
      <c r="B3752" s="77" t="s">
        <v>839</v>
      </c>
      <c r="C3752" s="78">
        <v>1</v>
      </c>
      <c r="D3752" s="78">
        <v>1.31</v>
      </c>
      <c r="E3752" s="78">
        <f>TRUNC(C3752*D3752,2)</f>
        <v>1.31</v>
      </c>
    </row>
    <row r="3753" spans="1:5">
      <c r="A3753" s="76" t="s">
        <v>3116</v>
      </c>
      <c r="B3753" s="77" t="s">
        <v>839</v>
      </c>
      <c r="C3753" s="78">
        <v>1</v>
      </c>
      <c r="D3753" s="78">
        <v>1.43</v>
      </c>
      <c r="E3753" s="78">
        <f>TRUNC(C3753*D3753,2)</f>
        <v>1.43</v>
      </c>
    </row>
    <row r="3754" ht="25.5" spans="1:5">
      <c r="A3754" s="76" t="s">
        <v>3402</v>
      </c>
      <c r="B3754" s="77" t="s">
        <v>839</v>
      </c>
      <c r="C3754" s="78">
        <v>1</v>
      </c>
      <c r="D3754" s="78">
        <v>0.78</v>
      </c>
      <c r="E3754" s="78">
        <f>TRUNC(C3754*D3754,2)</f>
        <v>0.78</v>
      </c>
    </row>
    <row r="3755" ht="25.5" spans="1:5">
      <c r="A3755" s="76" t="s">
        <v>3409</v>
      </c>
      <c r="B3755" s="77" t="s">
        <v>839</v>
      </c>
      <c r="C3755" s="78">
        <v>1</v>
      </c>
      <c r="D3755" s="78">
        <v>0.25</v>
      </c>
      <c r="E3755" s="78">
        <f>TRUNC(C3755*D3755,2)</f>
        <v>0.25</v>
      </c>
    </row>
    <row r="3756" spans="1:5">
      <c r="A3756" s="76" t="s">
        <v>122</v>
      </c>
      <c r="B3756" s="77"/>
      <c r="C3756" s="78"/>
      <c r="D3756" s="78"/>
      <c r="E3756" s="78">
        <f>SUM(E3752:E3755)</f>
        <v>3.77</v>
      </c>
    </row>
    <row r="3757" spans="1:5">
      <c r="A3757" s="76"/>
      <c r="B3757" s="77"/>
      <c r="C3757" s="78"/>
      <c r="D3757" s="78"/>
      <c r="E3757" s="78"/>
    </row>
    <row r="3758" spans="1:5">
      <c r="A3758" s="76" t="s">
        <v>2538</v>
      </c>
      <c r="B3758" s="77"/>
      <c r="C3758" s="78"/>
      <c r="D3758" s="78"/>
      <c r="E3758" s="78">
        <f>E3741+E3749+E3756</f>
        <v>31.13</v>
      </c>
    </row>
    <row r="3759" spans="1:5">
      <c r="A3759" s="76" t="s">
        <v>2539</v>
      </c>
      <c r="B3759" s="77"/>
      <c r="C3759" s="78"/>
      <c r="D3759" s="78">
        <v>0</v>
      </c>
      <c r="E3759" s="78">
        <f>TRUNC(D3759*E3758/100,2)</f>
        <v>0</v>
      </c>
    </row>
    <row r="3760" spans="1:5">
      <c r="A3760" s="76" t="s">
        <v>2540</v>
      </c>
      <c r="B3760" s="77"/>
      <c r="C3760" s="78"/>
      <c r="D3760" s="78"/>
      <c r="E3760" s="78">
        <f>E3758+E3759</f>
        <v>31.13</v>
      </c>
    </row>
    <row r="3761" spans="1:5">
      <c r="A3761" s="76"/>
      <c r="B3761" s="77"/>
      <c r="C3761" s="78"/>
      <c r="D3761" s="78"/>
      <c r="E3761" s="78"/>
    </row>
    <row r="3762" spans="1:5">
      <c r="A3762" s="76" t="s">
        <v>3092</v>
      </c>
      <c r="B3762" s="77" t="s">
        <v>3410</v>
      </c>
      <c r="C3762" s="78"/>
      <c r="D3762" s="78"/>
      <c r="E3762" s="78"/>
    </row>
    <row r="3763" ht="25.5" spans="1:5">
      <c r="A3763" s="76" t="s">
        <v>3411</v>
      </c>
      <c r="B3763" s="77"/>
      <c r="C3763" s="78"/>
      <c r="D3763" s="78"/>
      <c r="E3763" s="78"/>
    </row>
    <row r="3764" spans="1:5">
      <c r="A3764" s="76" t="s">
        <v>2764</v>
      </c>
      <c r="B3764" s="77"/>
      <c r="C3764" s="78"/>
      <c r="D3764" s="78"/>
      <c r="E3764" s="78"/>
    </row>
    <row r="3765" spans="1:5">
      <c r="A3765" s="76"/>
      <c r="B3765" s="77"/>
      <c r="C3765" s="78"/>
      <c r="D3765" s="78"/>
      <c r="E3765" s="78"/>
    </row>
    <row r="3766" spans="1:5">
      <c r="A3766" s="76" t="s">
        <v>280</v>
      </c>
      <c r="B3766" s="77" t="s">
        <v>135</v>
      </c>
      <c r="C3766" s="78" t="s">
        <v>136</v>
      </c>
      <c r="D3766" s="78" t="s">
        <v>2534</v>
      </c>
      <c r="E3766" s="78" t="s">
        <v>2535</v>
      </c>
    </row>
    <row r="3767" spans="1:5">
      <c r="A3767" s="76" t="s">
        <v>3408</v>
      </c>
      <c r="B3767" s="77" t="s">
        <v>839</v>
      </c>
      <c r="C3767" s="78">
        <v>0.01154</v>
      </c>
      <c r="D3767" s="78">
        <v>21.83</v>
      </c>
      <c r="E3767" s="78">
        <f>TRUNC(C3767*D3767,2)</f>
        <v>0.25</v>
      </c>
    </row>
    <row r="3768" spans="1:5">
      <c r="A3768" s="76" t="s">
        <v>122</v>
      </c>
      <c r="B3768" s="77"/>
      <c r="C3768" s="78"/>
      <c r="D3768" s="78"/>
      <c r="E3768" s="78">
        <f>SUM(E3767:E3767)</f>
        <v>0.25</v>
      </c>
    </row>
    <row r="3769" spans="1:5">
      <c r="A3769" s="76" t="s">
        <v>117</v>
      </c>
      <c r="B3769" s="77"/>
      <c r="C3769" s="78"/>
      <c r="D3769" s="78"/>
      <c r="E3769" s="78" t="str">
        <f>"0"</f>
        <v>0</v>
      </c>
    </row>
    <row r="3770" spans="1:5">
      <c r="A3770" s="76" t="s">
        <v>2537</v>
      </c>
      <c r="B3770" s="77"/>
      <c r="C3770" s="78"/>
      <c r="D3770" s="78"/>
      <c r="E3770" s="78">
        <f>E3768+E3769</f>
        <v>0.25</v>
      </c>
    </row>
    <row r="3771" spans="1:5">
      <c r="A3771" s="76"/>
      <c r="B3771" s="77"/>
      <c r="C3771" s="78"/>
      <c r="D3771" s="78"/>
      <c r="E3771" s="78"/>
    </row>
    <row r="3772" spans="1:5">
      <c r="A3772" s="76" t="s">
        <v>2538</v>
      </c>
      <c r="B3772" s="77"/>
      <c r="C3772" s="78"/>
      <c r="D3772" s="78"/>
      <c r="E3772" s="78">
        <f>E3770</f>
        <v>0.25</v>
      </c>
    </row>
    <row r="3773" spans="1:5">
      <c r="A3773" s="76" t="s">
        <v>2539</v>
      </c>
      <c r="B3773" s="77"/>
      <c r="C3773" s="78"/>
      <c r="D3773" s="78">
        <v>0</v>
      </c>
      <c r="E3773" s="78">
        <f>TRUNC(D3773*E3772/100,2)</f>
        <v>0</v>
      </c>
    </row>
    <row r="3774" spans="1:5">
      <c r="A3774" s="76" t="s">
        <v>2540</v>
      </c>
      <c r="B3774" s="77"/>
      <c r="C3774" s="78"/>
      <c r="D3774" s="78"/>
      <c r="E3774" s="78">
        <f>E3772+E3773</f>
        <v>0.25</v>
      </c>
    </row>
    <row r="3775" spans="1:5">
      <c r="A3775" s="76"/>
      <c r="B3775" s="77"/>
      <c r="C3775" s="78"/>
      <c r="D3775" s="78"/>
      <c r="E3775" s="78"/>
    </row>
    <row r="3776" spans="1:5">
      <c r="A3776" s="76" t="s">
        <v>3092</v>
      </c>
      <c r="B3776" s="77" t="s">
        <v>3412</v>
      </c>
      <c r="C3776" s="78"/>
      <c r="D3776" s="78"/>
      <c r="E3776" s="78"/>
    </row>
    <row r="3777" spans="1:5">
      <c r="A3777" s="76" t="s">
        <v>3413</v>
      </c>
      <c r="B3777" s="77"/>
      <c r="C3777" s="78"/>
      <c r="D3777" s="78"/>
      <c r="E3777" s="78"/>
    </row>
    <row r="3778" spans="1:5">
      <c r="A3778" s="76" t="s">
        <v>2776</v>
      </c>
      <c r="B3778" s="77"/>
      <c r="C3778" s="78"/>
      <c r="D3778" s="78"/>
      <c r="E3778" s="78"/>
    </row>
    <row r="3779" spans="1:5">
      <c r="A3779" s="76"/>
      <c r="B3779" s="77"/>
      <c r="C3779" s="78"/>
      <c r="D3779" s="78"/>
      <c r="E3779" s="78"/>
    </row>
    <row r="3780" spans="1:5">
      <c r="A3780" s="76" t="s">
        <v>2543</v>
      </c>
      <c r="B3780" s="77" t="s">
        <v>135</v>
      </c>
      <c r="C3780" s="78" t="s">
        <v>136</v>
      </c>
      <c r="D3780" s="78" t="s">
        <v>2534</v>
      </c>
      <c r="E3780" s="78" t="s">
        <v>2535</v>
      </c>
    </row>
    <row r="3781" spans="1:5">
      <c r="A3781" s="76" t="s">
        <v>3414</v>
      </c>
      <c r="B3781" s="77" t="s">
        <v>463</v>
      </c>
      <c r="C3781" s="78">
        <v>1.11</v>
      </c>
      <c r="D3781" s="78">
        <v>9.25</v>
      </c>
      <c r="E3781" s="78">
        <f>TRUNC(C3781*D3781,2)</f>
        <v>10.26</v>
      </c>
    </row>
    <row r="3782" spans="1:5">
      <c r="A3782" s="76" t="s">
        <v>2779</v>
      </c>
      <c r="B3782" s="77" t="s">
        <v>839</v>
      </c>
      <c r="C3782" s="78">
        <v>0.0026</v>
      </c>
      <c r="D3782" s="78">
        <v>24.57</v>
      </c>
      <c r="E3782" s="78">
        <f>TRUNC(C3782*D3782,2)</f>
        <v>0.06</v>
      </c>
    </row>
    <row r="3783" spans="1:5">
      <c r="A3783" s="76" t="s">
        <v>2780</v>
      </c>
      <c r="B3783" s="77" t="s">
        <v>839</v>
      </c>
      <c r="C3783" s="78">
        <v>0.0162</v>
      </c>
      <c r="D3783" s="78">
        <v>31.13</v>
      </c>
      <c r="E3783" s="78">
        <f>TRUNC(C3783*D3783,2)</f>
        <v>0.5</v>
      </c>
    </row>
    <row r="3784" spans="1:5">
      <c r="A3784" s="76" t="s">
        <v>122</v>
      </c>
      <c r="B3784" s="77"/>
      <c r="C3784" s="78"/>
      <c r="D3784" s="78"/>
      <c r="E3784" s="78">
        <f>SUM(E3781:E3783)</f>
        <v>10.82</v>
      </c>
    </row>
    <row r="3785" spans="1:5">
      <c r="A3785" s="76"/>
      <c r="B3785" s="77"/>
      <c r="C3785" s="78"/>
      <c r="D3785" s="78"/>
      <c r="E3785" s="78"/>
    </row>
    <row r="3786" spans="1:5">
      <c r="A3786" s="76" t="s">
        <v>2538</v>
      </c>
      <c r="B3786" s="77"/>
      <c r="C3786" s="78"/>
      <c r="D3786" s="78"/>
      <c r="E3786" s="78">
        <f>E3784</f>
        <v>10.82</v>
      </c>
    </row>
    <row r="3787" spans="1:5">
      <c r="A3787" s="76" t="s">
        <v>2539</v>
      </c>
      <c r="B3787" s="77"/>
      <c r="C3787" s="78"/>
      <c r="D3787" s="78">
        <v>0</v>
      </c>
      <c r="E3787" s="78">
        <f>TRUNC(D3787*E3786/100,2)</f>
        <v>0</v>
      </c>
    </row>
    <row r="3788" spans="1:5">
      <c r="A3788" s="76" t="s">
        <v>2540</v>
      </c>
      <c r="B3788" s="77"/>
      <c r="C3788" s="78"/>
      <c r="D3788" s="78"/>
      <c r="E3788" s="78">
        <f>E3786+E3787</f>
        <v>10.82</v>
      </c>
    </row>
    <row r="3789" spans="1:5">
      <c r="A3789" s="76"/>
      <c r="B3789" s="77"/>
      <c r="C3789" s="78"/>
      <c r="D3789" s="78"/>
      <c r="E3789" s="78"/>
    </row>
    <row r="3790" spans="1:5">
      <c r="A3790" s="76" t="s">
        <v>3092</v>
      </c>
      <c r="B3790" s="77" t="s">
        <v>3415</v>
      </c>
      <c r="C3790" s="78"/>
      <c r="D3790" s="78"/>
      <c r="E3790" s="78"/>
    </row>
    <row r="3791" ht="25.5" spans="1:5">
      <c r="A3791" s="76" t="s">
        <v>3416</v>
      </c>
      <c r="B3791" s="77"/>
      <c r="C3791" s="78"/>
      <c r="D3791" s="78"/>
      <c r="E3791" s="78"/>
    </row>
    <row r="3792" spans="1:5">
      <c r="A3792" s="76" t="s">
        <v>2619</v>
      </c>
      <c r="B3792" s="77"/>
      <c r="C3792" s="78"/>
      <c r="D3792" s="78"/>
      <c r="E3792" s="78"/>
    </row>
    <row r="3793" spans="1:5">
      <c r="A3793" s="76"/>
      <c r="B3793" s="77"/>
      <c r="C3793" s="78"/>
      <c r="D3793" s="78"/>
      <c r="E3793" s="78"/>
    </row>
    <row r="3794" spans="1:5">
      <c r="A3794" s="76" t="s">
        <v>2543</v>
      </c>
      <c r="B3794" s="77" t="s">
        <v>135</v>
      </c>
      <c r="C3794" s="78" t="s">
        <v>136</v>
      </c>
      <c r="D3794" s="78" t="s">
        <v>2534</v>
      </c>
      <c r="E3794" s="78" t="s">
        <v>2535</v>
      </c>
    </row>
    <row r="3795" spans="1:5">
      <c r="A3795" s="76" t="s">
        <v>2621</v>
      </c>
      <c r="B3795" s="77" t="s">
        <v>839</v>
      </c>
      <c r="C3795" s="78">
        <v>7.377</v>
      </c>
      <c r="D3795" s="78">
        <v>23.75</v>
      </c>
      <c r="E3795" s="78">
        <f>TRUNC(C3795*D3795,2)</f>
        <v>175.2</v>
      </c>
    </row>
    <row r="3796" spans="1:5">
      <c r="A3796" s="76" t="s">
        <v>2577</v>
      </c>
      <c r="B3796" s="77" t="s">
        <v>839</v>
      </c>
      <c r="C3796" s="78">
        <v>2.459</v>
      </c>
      <c r="D3796" s="78">
        <v>30.91</v>
      </c>
      <c r="E3796" s="78">
        <f>TRUNC(C3796*D3796,2)</f>
        <v>76</v>
      </c>
    </row>
    <row r="3797" spans="1:5">
      <c r="A3797" s="76" t="s">
        <v>2630</v>
      </c>
      <c r="B3797" s="77" t="s">
        <v>839</v>
      </c>
      <c r="C3797" s="78">
        <v>2.459</v>
      </c>
      <c r="D3797" s="78">
        <v>31.34</v>
      </c>
      <c r="E3797" s="78">
        <f>TRUNC(C3797*D3797,2)</f>
        <v>77.06</v>
      </c>
    </row>
    <row r="3798" ht="25.5" spans="1:5">
      <c r="A3798" s="76" t="s">
        <v>2818</v>
      </c>
      <c r="B3798" s="77" t="s">
        <v>977</v>
      </c>
      <c r="C3798" s="78">
        <v>1.042</v>
      </c>
      <c r="D3798" s="78">
        <v>1.23</v>
      </c>
      <c r="E3798" s="78">
        <f>TRUNC(C3798*D3798,2)</f>
        <v>1.28</v>
      </c>
    </row>
    <row r="3799" ht="25.5" spans="1:5">
      <c r="A3799" s="76" t="s">
        <v>2819</v>
      </c>
      <c r="B3799" s="77" t="s">
        <v>979</v>
      </c>
      <c r="C3799" s="78">
        <v>1.417</v>
      </c>
      <c r="D3799" s="78">
        <v>0.53</v>
      </c>
      <c r="E3799" s="78">
        <f>TRUNC(C3799*D3799,2)</f>
        <v>0.75</v>
      </c>
    </row>
    <row r="3800" spans="1:5">
      <c r="A3800" s="76" t="s">
        <v>122</v>
      </c>
      <c r="B3800" s="77"/>
      <c r="C3800" s="78"/>
      <c r="D3800" s="78"/>
      <c r="E3800" s="78">
        <f>SUM(E3795:E3799)</f>
        <v>330.29</v>
      </c>
    </row>
    <row r="3801" spans="1:5">
      <c r="A3801" s="76"/>
      <c r="B3801" s="77"/>
      <c r="C3801" s="78"/>
      <c r="D3801" s="78"/>
      <c r="E3801" s="78"/>
    </row>
    <row r="3802" spans="1:5">
      <c r="A3802" s="76" t="s">
        <v>2538</v>
      </c>
      <c r="B3802" s="77"/>
      <c r="C3802" s="78"/>
      <c r="D3802" s="78"/>
      <c r="E3802" s="78">
        <f>E3800</f>
        <v>330.29</v>
      </c>
    </row>
    <row r="3803" spans="1:5">
      <c r="A3803" s="76" t="s">
        <v>2539</v>
      </c>
      <c r="B3803" s="77"/>
      <c r="C3803" s="78"/>
      <c r="D3803" s="78">
        <v>0</v>
      </c>
      <c r="E3803" s="78">
        <f>TRUNC(D3803*E3802/100,2)</f>
        <v>0</v>
      </c>
    </row>
    <row r="3804" spans="1:5">
      <c r="A3804" s="76" t="s">
        <v>2540</v>
      </c>
      <c r="B3804" s="77"/>
      <c r="C3804" s="78"/>
      <c r="D3804" s="78"/>
      <c r="E3804" s="78">
        <f>E3802+E3803</f>
        <v>330.29</v>
      </c>
    </row>
    <row r="3805" spans="1:5">
      <c r="A3805" s="76"/>
      <c r="B3805" s="77"/>
      <c r="C3805" s="78"/>
      <c r="D3805" s="78"/>
      <c r="E3805" s="78"/>
    </row>
    <row r="3806" spans="1:5">
      <c r="A3806" s="76" t="s">
        <v>3092</v>
      </c>
      <c r="B3806" s="77" t="s">
        <v>3417</v>
      </c>
      <c r="C3806" s="78"/>
      <c r="D3806" s="78"/>
      <c r="E3806" s="78"/>
    </row>
    <row r="3807" spans="1:5">
      <c r="A3807" s="76" t="s">
        <v>3418</v>
      </c>
      <c r="B3807" s="77"/>
      <c r="C3807" s="78"/>
      <c r="D3807" s="78"/>
      <c r="E3807" s="78"/>
    </row>
    <row r="3808" spans="1:5">
      <c r="A3808" s="76" t="s">
        <v>2764</v>
      </c>
      <c r="B3808" s="77"/>
      <c r="C3808" s="78"/>
      <c r="D3808" s="78"/>
      <c r="E3808" s="78"/>
    </row>
    <row r="3809" spans="1:5">
      <c r="A3809" s="76"/>
      <c r="B3809" s="77"/>
      <c r="C3809" s="78"/>
      <c r="D3809" s="78"/>
      <c r="E3809" s="78"/>
    </row>
    <row r="3810" spans="1:5">
      <c r="A3810" s="76" t="s">
        <v>279</v>
      </c>
      <c r="B3810" s="77" t="s">
        <v>135</v>
      </c>
      <c r="C3810" s="78" t="s">
        <v>136</v>
      </c>
      <c r="D3810" s="78" t="s">
        <v>2534</v>
      </c>
      <c r="E3810" s="78" t="s">
        <v>2535</v>
      </c>
    </row>
    <row r="3811" ht="25.5" spans="1:5">
      <c r="A3811" s="76" t="s">
        <v>3111</v>
      </c>
      <c r="B3811" s="77" t="s">
        <v>839</v>
      </c>
      <c r="C3811" s="78">
        <v>1</v>
      </c>
      <c r="D3811" s="78">
        <v>1.5</v>
      </c>
      <c r="E3811" s="78">
        <f>TRUNC(C3811*D3811,2)</f>
        <v>1.5</v>
      </c>
    </row>
    <row r="3812" spans="1:5">
      <c r="A3812" s="76" t="s">
        <v>122</v>
      </c>
      <c r="B3812" s="77"/>
      <c r="C3812" s="78"/>
      <c r="D3812" s="78"/>
      <c r="E3812" s="78">
        <f>SUM(E3811:E3811)</f>
        <v>1.5</v>
      </c>
    </row>
    <row r="3813" spans="1:5">
      <c r="A3813" s="76"/>
      <c r="B3813" s="77"/>
      <c r="C3813" s="78"/>
      <c r="D3813" s="78"/>
      <c r="E3813" s="78"/>
    </row>
    <row r="3814" spans="1:5">
      <c r="A3814" s="76" t="s">
        <v>280</v>
      </c>
      <c r="B3814" s="77" t="s">
        <v>135</v>
      </c>
      <c r="C3814" s="78" t="s">
        <v>136</v>
      </c>
      <c r="D3814" s="78" t="s">
        <v>2534</v>
      </c>
      <c r="E3814" s="78" t="s">
        <v>2535</v>
      </c>
    </row>
    <row r="3815" ht="25.5" spans="1:5">
      <c r="A3815" s="76" t="s">
        <v>3112</v>
      </c>
      <c r="B3815" s="77" t="s">
        <v>839</v>
      </c>
      <c r="C3815" s="78">
        <v>1</v>
      </c>
      <c r="D3815" s="78">
        <v>3.95</v>
      </c>
      <c r="E3815" s="78">
        <f>TRUNC(C3815*D3815,2)</f>
        <v>3.95</v>
      </c>
    </row>
    <row r="3816" spans="1:5">
      <c r="A3816" s="76" t="s">
        <v>3419</v>
      </c>
      <c r="B3816" s="77" t="s">
        <v>839</v>
      </c>
      <c r="C3816" s="78">
        <v>1</v>
      </c>
      <c r="D3816" s="78">
        <v>21.83</v>
      </c>
      <c r="E3816" s="78">
        <f>TRUNC(C3816*D3816,2)</f>
        <v>21.83</v>
      </c>
    </row>
    <row r="3817" ht="25.5" spans="1:5">
      <c r="A3817" s="76" t="s">
        <v>3113</v>
      </c>
      <c r="B3817" s="77" t="s">
        <v>839</v>
      </c>
      <c r="C3817" s="78">
        <v>1</v>
      </c>
      <c r="D3817" s="78">
        <v>0.08</v>
      </c>
      <c r="E3817" s="78">
        <f>TRUNC(C3817*D3817,2)</f>
        <v>0.08</v>
      </c>
    </row>
    <row r="3818" spans="1:5">
      <c r="A3818" s="76" t="s">
        <v>122</v>
      </c>
      <c r="B3818" s="77"/>
      <c r="C3818" s="78"/>
      <c r="D3818" s="78"/>
      <c r="E3818" s="78">
        <f>SUM(E3815:E3817)</f>
        <v>25.86</v>
      </c>
    </row>
    <row r="3819" spans="1:5">
      <c r="A3819" s="76" t="s">
        <v>117</v>
      </c>
      <c r="B3819" s="77"/>
      <c r="C3819" s="78"/>
      <c r="D3819" s="78"/>
      <c r="E3819" s="78" t="str">
        <f>"0"</f>
        <v>0</v>
      </c>
    </row>
    <row r="3820" spans="1:5">
      <c r="A3820" s="76" t="s">
        <v>2537</v>
      </c>
      <c r="B3820" s="77"/>
      <c r="C3820" s="78"/>
      <c r="D3820" s="78"/>
      <c r="E3820" s="78">
        <f>E3818+E3819</f>
        <v>25.86</v>
      </c>
    </row>
    <row r="3821" spans="1:5">
      <c r="A3821" s="76"/>
      <c r="B3821" s="77"/>
      <c r="C3821" s="78"/>
      <c r="D3821" s="78"/>
      <c r="E3821" s="78"/>
    </row>
    <row r="3822" spans="1:5">
      <c r="A3822" s="76" t="s">
        <v>2543</v>
      </c>
      <c r="B3822" s="77" t="s">
        <v>135</v>
      </c>
      <c r="C3822" s="78" t="s">
        <v>136</v>
      </c>
      <c r="D3822" s="78" t="s">
        <v>2534</v>
      </c>
      <c r="E3822" s="78" t="s">
        <v>2535</v>
      </c>
    </row>
    <row r="3823" ht="25.5" spans="1:5">
      <c r="A3823" s="76" t="s">
        <v>3401</v>
      </c>
      <c r="B3823" s="77" t="s">
        <v>839</v>
      </c>
      <c r="C3823" s="78">
        <v>1</v>
      </c>
      <c r="D3823" s="78">
        <v>1.31</v>
      </c>
      <c r="E3823" s="78">
        <f>TRUNC(C3823*D3823,2)</f>
        <v>1.31</v>
      </c>
    </row>
    <row r="3824" spans="1:5">
      <c r="A3824" s="76" t="s">
        <v>3116</v>
      </c>
      <c r="B3824" s="77" t="s">
        <v>839</v>
      </c>
      <c r="C3824" s="78">
        <v>1</v>
      </c>
      <c r="D3824" s="78">
        <v>1.43</v>
      </c>
      <c r="E3824" s="78">
        <f>TRUNC(C3824*D3824,2)</f>
        <v>1.43</v>
      </c>
    </row>
    <row r="3825" ht="25.5" spans="1:5">
      <c r="A3825" s="76" t="s">
        <v>3402</v>
      </c>
      <c r="B3825" s="77" t="s">
        <v>839</v>
      </c>
      <c r="C3825" s="78">
        <v>1</v>
      </c>
      <c r="D3825" s="78">
        <v>0.78</v>
      </c>
      <c r="E3825" s="78">
        <f>TRUNC(C3825*D3825,2)</f>
        <v>0.78</v>
      </c>
    </row>
    <row r="3826" ht="25.5" spans="1:5">
      <c r="A3826" s="76" t="s">
        <v>3420</v>
      </c>
      <c r="B3826" s="77" t="s">
        <v>839</v>
      </c>
      <c r="C3826" s="78">
        <v>1</v>
      </c>
      <c r="D3826" s="78">
        <v>0.46</v>
      </c>
      <c r="E3826" s="78">
        <f>TRUNC(C3826*D3826,2)</f>
        <v>0.46</v>
      </c>
    </row>
    <row r="3827" spans="1:5">
      <c r="A3827" s="76" t="s">
        <v>122</v>
      </c>
      <c r="B3827" s="77"/>
      <c r="C3827" s="78"/>
      <c r="D3827" s="78"/>
      <c r="E3827" s="78">
        <f>SUM(E3823:E3826)</f>
        <v>3.98</v>
      </c>
    </row>
    <row r="3828" spans="1:5">
      <c r="A3828" s="76"/>
      <c r="B3828" s="77"/>
      <c r="C3828" s="78"/>
      <c r="D3828" s="78"/>
      <c r="E3828" s="78"/>
    </row>
    <row r="3829" spans="1:5">
      <c r="A3829" s="76" t="s">
        <v>2538</v>
      </c>
      <c r="B3829" s="77"/>
      <c r="C3829" s="78"/>
      <c r="D3829" s="78"/>
      <c r="E3829" s="78">
        <f>E3812+E3820+E3827</f>
        <v>31.34</v>
      </c>
    </row>
    <row r="3830" spans="1:5">
      <c r="A3830" s="76" t="s">
        <v>2539</v>
      </c>
      <c r="B3830" s="77"/>
      <c r="C3830" s="78"/>
      <c r="D3830" s="78">
        <v>0</v>
      </c>
      <c r="E3830" s="78">
        <f>TRUNC(D3830*E3829/100,2)</f>
        <v>0</v>
      </c>
    </row>
    <row r="3831" spans="1:5">
      <c r="A3831" s="76" t="s">
        <v>2540</v>
      </c>
      <c r="B3831" s="77"/>
      <c r="C3831" s="78"/>
      <c r="D3831" s="78"/>
      <c r="E3831" s="78">
        <f>E3829+E3830</f>
        <v>31.34</v>
      </c>
    </row>
    <row r="3832" spans="1:5">
      <c r="A3832" s="76"/>
      <c r="B3832" s="77"/>
      <c r="C3832" s="78"/>
      <c r="D3832" s="78"/>
      <c r="E3832" s="78"/>
    </row>
    <row r="3833" spans="1:5">
      <c r="A3833" s="76" t="s">
        <v>3092</v>
      </c>
      <c r="B3833" s="77" t="s">
        <v>3421</v>
      </c>
      <c r="C3833" s="78"/>
      <c r="D3833" s="78"/>
      <c r="E3833" s="78"/>
    </row>
    <row r="3834" ht="25.5" spans="1:5">
      <c r="A3834" s="76" t="s">
        <v>3422</v>
      </c>
      <c r="B3834" s="77"/>
      <c r="C3834" s="78"/>
      <c r="D3834" s="78"/>
      <c r="E3834" s="78"/>
    </row>
    <row r="3835" spans="1:5">
      <c r="A3835" s="76" t="s">
        <v>2764</v>
      </c>
      <c r="B3835" s="77"/>
      <c r="C3835" s="78"/>
      <c r="D3835" s="78"/>
      <c r="E3835" s="78"/>
    </row>
    <row r="3836" spans="1:5">
      <c r="A3836" s="76"/>
      <c r="B3836" s="77"/>
      <c r="C3836" s="78"/>
      <c r="D3836" s="78"/>
      <c r="E3836" s="78"/>
    </row>
    <row r="3837" spans="1:5">
      <c r="A3837" s="76" t="s">
        <v>280</v>
      </c>
      <c r="B3837" s="77" t="s">
        <v>135</v>
      </c>
      <c r="C3837" s="78" t="s">
        <v>136</v>
      </c>
      <c r="D3837" s="78" t="s">
        <v>2534</v>
      </c>
      <c r="E3837" s="78" t="s">
        <v>2535</v>
      </c>
    </row>
    <row r="3838" spans="1:5">
      <c r="A3838" s="76" t="s">
        <v>3419</v>
      </c>
      <c r="B3838" s="77" t="s">
        <v>839</v>
      </c>
      <c r="C3838" s="78">
        <v>0.0212</v>
      </c>
      <c r="D3838" s="78">
        <v>21.83</v>
      </c>
      <c r="E3838" s="78">
        <f>TRUNC(C3838*D3838,2)</f>
        <v>0.46</v>
      </c>
    </row>
    <row r="3839" spans="1:5">
      <c r="A3839" s="76" t="s">
        <v>122</v>
      </c>
      <c r="B3839" s="77"/>
      <c r="C3839" s="78"/>
      <c r="D3839" s="78"/>
      <c r="E3839" s="78">
        <f>SUM(E3838:E3838)</f>
        <v>0.46</v>
      </c>
    </row>
    <row r="3840" spans="1:5">
      <c r="A3840" s="76" t="s">
        <v>117</v>
      </c>
      <c r="B3840" s="77"/>
      <c r="C3840" s="78"/>
      <c r="D3840" s="78"/>
      <c r="E3840" s="78" t="str">
        <f>"0"</f>
        <v>0</v>
      </c>
    </row>
    <row r="3841" spans="1:5">
      <c r="A3841" s="76" t="s">
        <v>2537</v>
      </c>
      <c r="B3841" s="77"/>
      <c r="C3841" s="78"/>
      <c r="D3841" s="78"/>
      <c r="E3841" s="78">
        <f>E3839+E3840</f>
        <v>0.46</v>
      </c>
    </row>
    <row r="3842" spans="1:5">
      <c r="A3842" s="76"/>
      <c r="B3842" s="77"/>
      <c r="C3842" s="78"/>
      <c r="D3842" s="78"/>
      <c r="E3842" s="78"/>
    </row>
    <row r="3843" spans="1:5">
      <c r="A3843" s="76" t="s">
        <v>2538</v>
      </c>
      <c r="B3843" s="77"/>
      <c r="C3843" s="78"/>
      <c r="D3843" s="78"/>
      <c r="E3843" s="78">
        <f>E3841</f>
        <v>0.46</v>
      </c>
    </row>
    <row r="3844" spans="1:5">
      <c r="A3844" s="76" t="s">
        <v>2539</v>
      </c>
      <c r="B3844" s="77"/>
      <c r="C3844" s="78"/>
      <c r="D3844" s="78">
        <v>0</v>
      </c>
      <c r="E3844" s="78">
        <f>TRUNC(D3844*E3843/100,2)</f>
        <v>0</v>
      </c>
    </row>
    <row r="3845" spans="1:5">
      <c r="A3845" s="76" t="s">
        <v>2540</v>
      </c>
      <c r="B3845" s="77"/>
      <c r="C3845" s="78"/>
      <c r="D3845" s="78"/>
      <c r="E3845" s="78">
        <f>E3843+E3844</f>
        <v>0.46</v>
      </c>
    </row>
    <row r="3846" spans="1:5">
      <c r="A3846" s="76"/>
      <c r="B3846" s="77"/>
      <c r="C3846" s="78"/>
      <c r="D3846" s="78"/>
      <c r="E3846" s="78"/>
    </row>
    <row r="3847" spans="1:5">
      <c r="A3847" s="76" t="s">
        <v>3092</v>
      </c>
      <c r="B3847" s="77" t="s">
        <v>3423</v>
      </c>
      <c r="C3847" s="78"/>
      <c r="D3847" s="78"/>
      <c r="E3847" s="78"/>
    </row>
    <row r="3848" ht="25.5" spans="1:5">
      <c r="A3848" s="76" t="s">
        <v>3424</v>
      </c>
      <c r="B3848" s="77"/>
      <c r="C3848" s="78"/>
      <c r="D3848" s="78"/>
      <c r="E3848" s="78"/>
    </row>
    <row r="3849" spans="1:5">
      <c r="A3849" s="76" t="s">
        <v>3085</v>
      </c>
      <c r="B3849" s="77"/>
      <c r="C3849" s="78"/>
      <c r="D3849" s="78"/>
      <c r="E3849" s="78"/>
    </row>
    <row r="3850" spans="1:5">
      <c r="A3850" s="76"/>
      <c r="B3850" s="77"/>
      <c r="C3850" s="78"/>
      <c r="D3850" s="78"/>
      <c r="E3850" s="78"/>
    </row>
    <row r="3851" spans="1:5">
      <c r="A3851" s="76" t="s">
        <v>2543</v>
      </c>
      <c r="B3851" s="77" t="s">
        <v>135</v>
      </c>
      <c r="C3851" s="78" t="s">
        <v>136</v>
      </c>
      <c r="D3851" s="78" t="s">
        <v>2534</v>
      </c>
      <c r="E3851" s="78" t="s">
        <v>2535</v>
      </c>
    </row>
    <row r="3852" ht="25.5" spans="1:5">
      <c r="A3852" s="76" t="s">
        <v>3425</v>
      </c>
      <c r="B3852" s="77" t="s">
        <v>839</v>
      </c>
      <c r="C3852" s="78">
        <v>1</v>
      </c>
      <c r="D3852" s="78">
        <v>0.43</v>
      </c>
      <c r="E3852" s="78">
        <f>TRUNC(C3852*D3852,2)</f>
        <v>0.43</v>
      </c>
    </row>
    <row r="3853" ht="25.5" spans="1:5">
      <c r="A3853" s="76" t="s">
        <v>3426</v>
      </c>
      <c r="B3853" s="77" t="s">
        <v>839</v>
      </c>
      <c r="C3853" s="78">
        <v>1</v>
      </c>
      <c r="D3853" s="78">
        <v>0.1</v>
      </c>
      <c r="E3853" s="78">
        <f>TRUNC(C3853*D3853,2)</f>
        <v>0.1</v>
      </c>
    </row>
    <row r="3854" ht="25.5" spans="1:5">
      <c r="A3854" s="76" t="s">
        <v>3427</v>
      </c>
      <c r="B3854" s="77" t="s">
        <v>839</v>
      </c>
      <c r="C3854" s="78">
        <v>1</v>
      </c>
      <c r="D3854" s="78">
        <v>0.33</v>
      </c>
      <c r="E3854" s="78">
        <f>TRUNC(C3854*D3854,2)</f>
        <v>0.33</v>
      </c>
    </row>
    <row r="3855" ht="25.5" spans="1:5">
      <c r="A3855" s="76" t="s">
        <v>3428</v>
      </c>
      <c r="B3855" s="77" t="s">
        <v>839</v>
      </c>
      <c r="C3855" s="78">
        <v>1</v>
      </c>
      <c r="D3855" s="78">
        <v>0.37</v>
      </c>
      <c r="E3855" s="78">
        <f>TRUNC(C3855*D3855,2)</f>
        <v>0.37</v>
      </c>
    </row>
    <row r="3856" spans="1:5">
      <c r="A3856" s="76" t="s">
        <v>122</v>
      </c>
      <c r="B3856" s="77"/>
      <c r="C3856" s="78"/>
      <c r="D3856" s="78"/>
      <c r="E3856" s="78">
        <f>SUM(E3852:E3855)</f>
        <v>1.23</v>
      </c>
    </row>
    <row r="3857" spans="1:5">
      <c r="A3857" s="76"/>
      <c r="B3857" s="77"/>
      <c r="C3857" s="78"/>
      <c r="D3857" s="78"/>
      <c r="E3857" s="78"/>
    </row>
    <row r="3858" spans="1:5">
      <c r="A3858" s="76" t="s">
        <v>2538</v>
      </c>
      <c r="B3858" s="77"/>
      <c r="C3858" s="78"/>
      <c r="D3858" s="78"/>
      <c r="E3858" s="78">
        <f>E3856</f>
        <v>1.23</v>
      </c>
    </row>
    <row r="3859" spans="1:5">
      <c r="A3859" s="76" t="s">
        <v>2539</v>
      </c>
      <c r="B3859" s="77"/>
      <c r="C3859" s="78"/>
      <c r="D3859" s="78">
        <v>0</v>
      </c>
      <c r="E3859" s="78">
        <f>TRUNC(D3859*E3858/100,2)</f>
        <v>0</v>
      </c>
    </row>
    <row r="3860" spans="1:5">
      <c r="A3860" s="76" t="s">
        <v>2540</v>
      </c>
      <c r="B3860" s="77"/>
      <c r="C3860" s="78"/>
      <c r="D3860" s="78"/>
      <c r="E3860" s="78">
        <f>E3858+E3859</f>
        <v>1.23</v>
      </c>
    </row>
    <row r="3861" spans="1:5">
      <c r="A3861" s="76"/>
      <c r="B3861" s="77"/>
      <c r="C3861" s="78"/>
      <c r="D3861" s="78"/>
      <c r="E3861" s="78"/>
    </row>
    <row r="3862" spans="1:5">
      <c r="A3862" s="76" t="s">
        <v>3092</v>
      </c>
      <c r="B3862" s="77" t="s">
        <v>3429</v>
      </c>
      <c r="C3862" s="78"/>
      <c r="D3862" s="78"/>
      <c r="E3862" s="78"/>
    </row>
    <row r="3863" ht="25.5" spans="1:5">
      <c r="A3863" s="76" t="s">
        <v>3430</v>
      </c>
      <c r="B3863" s="77"/>
      <c r="C3863" s="78"/>
      <c r="D3863" s="78"/>
      <c r="E3863" s="78"/>
    </row>
    <row r="3864" spans="1:5">
      <c r="A3864" s="76" t="s">
        <v>2764</v>
      </c>
      <c r="B3864" s="77"/>
      <c r="C3864" s="78"/>
      <c r="D3864" s="78"/>
      <c r="E3864" s="78"/>
    </row>
    <row r="3865" spans="1:5">
      <c r="A3865" s="76"/>
      <c r="B3865" s="77"/>
      <c r="C3865" s="78"/>
      <c r="D3865" s="78"/>
      <c r="E3865" s="78"/>
    </row>
    <row r="3866" spans="1:5">
      <c r="A3866" s="76" t="s">
        <v>2543</v>
      </c>
      <c r="B3866" s="77" t="s">
        <v>135</v>
      </c>
      <c r="C3866" s="78" t="s">
        <v>136</v>
      </c>
      <c r="D3866" s="78" t="s">
        <v>2534</v>
      </c>
      <c r="E3866" s="78" t="s">
        <v>2535</v>
      </c>
    </row>
    <row r="3867" ht="25.5" spans="1:5">
      <c r="A3867" s="76" t="s">
        <v>3431</v>
      </c>
      <c r="B3867" s="77" t="s">
        <v>494</v>
      </c>
      <c r="C3867" s="78">
        <v>0.000128</v>
      </c>
      <c r="D3867" s="78">
        <v>3390.99</v>
      </c>
      <c r="E3867" s="78">
        <f>TRUNC(C3867*D3867,2)</f>
        <v>0.43</v>
      </c>
    </row>
    <row r="3868" spans="1:5">
      <c r="A3868" s="76" t="s">
        <v>122</v>
      </c>
      <c r="B3868" s="77"/>
      <c r="C3868" s="78"/>
      <c r="D3868" s="78"/>
      <c r="E3868" s="78">
        <f>SUM(E3867:E3867)</f>
        <v>0.43</v>
      </c>
    </row>
    <row r="3869" spans="1:5">
      <c r="A3869" s="76"/>
      <c r="B3869" s="77"/>
      <c r="C3869" s="78"/>
      <c r="D3869" s="78"/>
      <c r="E3869" s="78"/>
    </row>
    <row r="3870" spans="1:5">
      <c r="A3870" s="76" t="s">
        <v>2538</v>
      </c>
      <c r="B3870" s="77"/>
      <c r="C3870" s="78"/>
      <c r="D3870" s="78"/>
      <c r="E3870" s="78">
        <f>E3868</f>
        <v>0.43</v>
      </c>
    </row>
    <row r="3871" spans="1:5">
      <c r="A3871" s="76" t="s">
        <v>2539</v>
      </c>
      <c r="B3871" s="77"/>
      <c r="C3871" s="78"/>
      <c r="D3871" s="78">
        <v>0</v>
      </c>
      <c r="E3871" s="78">
        <f>TRUNC(D3871*E3870/100,2)</f>
        <v>0</v>
      </c>
    </row>
    <row r="3872" spans="1:5">
      <c r="A3872" s="76" t="s">
        <v>2540</v>
      </c>
      <c r="B3872" s="77"/>
      <c r="C3872" s="78"/>
      <c r="D3872" s="78"/>
      <c r="E3872" s="78">
        <f>E3870+E3871</f>
        <v>0.43</v>
      </c>
    </row>
    <row r="3873" spans="1:5">
      <c r="A3873" s="76"/>
      <c r="B3873" s="77"/>
      <c r="C3873" s="78"/>
      <c r="D3873" s="78"/>
      <c r="E3873" s="78"/>
    </row>
    <row r="3874" spans="1:5">
      <c r="A3874" s="76" t="s">
        <v>3092</v>
      </c>
      <c r="B3874" s="77" t="s">
        <v>3432</v>
      </c>
      <c r="C3874" s="78"/>
      <c r="D3874" s="78"/>
      <c r="E3874" s="78"/>
    </row>
    <row r="3875" ht="25.5" spans="1:5">
      <c r="A3875" s="76" t="s">
        <v>3433</v>
      </c>
      <c r="B3875" s="77"/>
      <c r="C3875" s="78"/>
      <c r="D3875" s="78"/>
      <c r="E3875" s="78"/>
    </row>
    <row r="3876" spans="1:5">
      <c r="A3876" s="76" t="s">
        <v>2764</v>
      </c>
      <c r="B3876" s="77"/>
      <c r="C3876" s="78"/>
      <c r="D3876" s="78"/>
      <c r="E3876" s="78"/>
    </row>
    <row r="3877" spans="1:5">
      <c r="A3877" s="76"/>
      <c r="B3877" s="77"/>
      <c r="C3877" s="78"/>
      <c r="D3877" s="78"/>
      <c r="E3877" s="78"/>
    </row>
    <row r="3878" spans="1:5">
      <c r="A3878" s="76" t="s">
        <v>2543</v>
      </c>
      <c r="B3878" s="77" t="s">
        <v>135</v>
      </c>
      <c r="C3878" s="78" t="s">
        <v>136</v>
      </c>
      <c r="D3878" s="78" t="s">
        <v>2534</v>
      </c>
      <c r="E3878" s="78" t="s">
        <v>2535</v>
      </c>
    </row>
    <row r="3879" ht="25.5" spans="1:5">
      <c r="A3879" s="76" t="s">
        <v>3431</v>
      </c>
      <c r="B3879" s="77" t="s">
        <v>494</v>
      </c>
      <c r="C3879" s="78">
        <v>2.96e-5</v>
      </c>
      <c r="D3879" s="78">
        <v>3390.99</v>
      </c>
      <c r="E3879" s="78">
        <f>TRUNC(C3879*D3879,2)</f>
        <v>0.1</v>
      </c>
    </row>
    <row r="3880" spans="1:5">
      <c r="A3880" s="76" t="s">
        <v>122</v>
      </c>
      <c r="B3880" s="77"/>
      <c r="C3880" s="78"/>
      <c r="D3880" s="78"/>
      <c r="E3880" s="78">
        <f>SUM(E3879:E3879)</f>
        <v>0.1</v>
      </c>
    </row>
    <row r="3881" spans="1:5">
      <c r="A3881" s="76"/>
      <c r="B3881" s="77"/>
      <c r="C3881" s="78"/>
      <c r="D3881" s="78"/>
      <c r="E3881" s="78"/>
    </row>
    <row r="3882" spans="1:5">
      <c r="A3882" s="76" t="s">
        <v>2538</v>
      </c>
      <c r="B3882" s="77"/>
      <c r="C3882" s="78"/>
      <c r="D3882" s="78"/>
      <c r="E3882" s="78">
        <f>E3880</f>
        <v>0.1</v>
      </c>
    </row>
    <row r="3883" spans="1:5">
      <c r="A3883" s="76" t="s">
        <v>2539</v>
      </c>
      <c r="B3883" s="77"/>
      <c r="C3883" s="78"/>
      <c r="D3883" s="78">
        <v>0</v>
      </c>
      <c r="E3883" s="78">
        <f>TRUNC(D3883*E3882/100,2)</f>
        <v>0</v>
      </c>
    </row>
    <row r="3884" spans="1:5">
      <c r="A3884" s="76" t="s">
        <v>2540</v>
      </c>
      <c r="B3884" s="77"/>
      <c r="C3884" s="78"/>
      <c r="D3884" s="78"/>
      <c r="E3884" s="78">
        <f>E3882+E3883</f>
        <v>0.1</v>
      </c>
    </row>
    <row r="3885" spans="1:5">
      <c r="A3885" s="76"/>
      <c r="B3885" s="77"/>
      <c r="C3885" s="78"/>
      <c r="D3885" s="78"/>
      <c r="E3885" s="78"/>
    </row>
    <row r="3886" spans="1:5">
      <c r="A3886" s="76" t="s">
        <v>3092</v>
      </c>
      <c r="B3886" s="77" t="s">
        <v>3434</v>
      </c>
      <c r="C3886" s="78"/>
      <c r="D3886" s="78"/>
      <c r="E3886" s="78"/>
    </row>
    <row r="3887" ht="25.5" spans="1:5">
      <c r="A3887" s="76" t="s">
        <v>3435</v>
      </c>
      <c r="B3887" s="77"/>
      <c r="C3887" s="78"/>
      <c r="D3887" s="78"/>
      <c r="E3887" s="78"/>
    </row>
    <row r="3888" spans="1:5">
      <c r="A3888" s="76" t="s">
        <v>2764</v>
      </c>
      <c r="B3888" s="77"/>
      <c r="C3888" s="78"/>
      <c r="D3888" s="78"/>
      <c r="E3888" s="78"/>
    </row>
    <row r="3889" spans="1:5">
      <c r="A3889" s="76"/>
      <c r="B3889" s="77"/>
      <c r="C3889" s="78"/>
      <c r="D3889" s="78"/>
      <c r="E3889" s="78"/>
    </row>
    <row r="3890" spans="1:5">
      <c r="A3890" s="76" t="s">
        <v>2543</v>
      </c>
      <c r="B3890" s="77" t="s">
        <v>135</v>
      </c>
      <c r="C3890" s="78" t="s">
        <v>136</v>
      </c>
      <c r="D3890" s="78" t="s">
        <v>2534</v>
      </c>
      <c r="E3890" s="78" t="s">
        <v>2535</v>
      </c>
    </row>
    <row r="3891" ht="25.5" spans="1:5">
      <c r="A3891" s="76" t="s">
        <v>3431</v>
      </c>
      <c r="B3891" s="77" t="s">
        <v>494</v>
      </c>
      <c r="C3891" s="78">
        <v>0.0001</v>
      </c>
      <c r="D3891" s="78">
        <v>3390.99</v>
      </c>
      <c r="E3891" s="78">
        <f>TRUNC(C3891*D3891,2)</f>
        <v>0.33</v>
      </c>
    </row>
    <row r="3892" spans="1:5">
      <c r="A3892" s="76" t="s">
        <v>122</v>
      </c>
      <c r="B3892" s="77"/>
      <c r="C3892" s="78"/>
      <c r="D3892" s="78"/>
      <c r="E3892" s="78">
        <f>SUM(E3891:E3891)</f>
        <v>0.33</v>
      </c>
    </row>
    <row r="3893" spans="1:5">
      <c r="A3893" s="76"/>
      <c r="B3893" s="77"/>
      <c r="C3893" s="78"/>
      <c r="D3893" s="78"/>
      <c r="E3893" s="78"/>
    </row>
    <row r="3894" spans="1:5">
      <c r="A3894" s="76" t="s">
        <v>2538</v>
      </c>
      <c r="B3894" s="77"/>
      <c r="C3894" s="78"/>
      <c r="D3894" s="78"/>
      <c r="E3894" s="78">
        <f>E3892</f>
        <v>0.33</v>
      </c>
    </row>
    <row r="3895" spans="1:5">
      <c r="A3895" s="76" t="s">
        <v>2539</v>
      </c>
      <c r="B3895" s="77"/>
      <c r="C3895" s="78"/>
      <c r="D3895" s="78">
        <v>0</v>
      </c>
      <c r="E3895" s="78">
        <f>TRUNC(D3895*E3894/100,2)</f>
        <v>0</v>
      </c>
    </row>
    <row r="3896" spans="1:5">
      <c r="A3896" s="76" t="s">
        <v>2540</v>
      </c>
      <c r="B3896" s="77"/>
      <c r="C3896" s="78"/>
      <c r="D3896" s="78"/>
      <c r="E3896" s="78">
        <f>E3894+E3895</f>
        <v>0.33</v>
      </c>
    </row>
    <row r="3897" spans="1:5">
      <c r="A3897" s="76"/>
      <c r="B3897" s="77"/>
      <c r="C3897" s="78"/>
      <c r="D3897" s="78"/>
      <c r="E3897" s="78"/>
    </row>
    <row r="3898" spans="1:5">
      <c r="A3898" s="76" t="s">
        <v>3092</v>
      </c>
      <c r="B3898" s="77" t="s">
        <v>3436</v>
      </c>
      <c r="C3898" s="78"/>
      <c r="D3898" s="78"/>
      <c r="E3898" s="78"/>
    </row>
    <row r="3899" ht="25.5" spans="1:5">
      <c r="A3899" s="76" t="s">
        <v>3437</v>
      </c>
      <c r="B3899" s="77"/>
      <c r="C3899" s="78"/>
      <c r="D3899" s="78"/>
      <c r="E3899" s="78"/>
    </row>
    <row r="3900" spans="1:5">
      <c r="A3900" s="76" t="s">
        <v>2764</v>
      </c>
      <c r="B3900" s="77"/>
      <c r="C3900" s="78"/>
      <c r="D3900" s="78"/>
      <c r="E3900" s="78"/>
    </row>
    <row r="3901" spans="1:5">
      <c r="A3901" s="76"/>
      <c r="B3901" s="77"/>
      <c r="C3901" s="78"/>
      <c r="D3901" s="78"/>
      <c r="E3901" s="78"/>
    </row>
    <row r="3902" spans="1:5">
      <c r="A3902" s="76" t="s">
        <v>2543</v>
      </c>
      <c r="B3902" s="77" t="s">
        <v>135</v>
      </c>
      <c r="C3902" s="78" t="s">
        <v>136</v>
      </c>
      <c r="D3902" s="78" t="s">
        <v>2534</v>
      </c>
      <c r="E3902" s="78" t="s">
        <v>2535</v>
      </c>
    </row>
    <row r="3903" spans="1:5">
      <c r="A3903" s="76" t="s">
        <v>3242</v>
      </c>
      <c r="B3903" s="77" t="s">
        <v>1695</v>
      </c>
      <c r="C3903" s="78">
        <v>0.52</v>
      </c>
      <c r="D3903" s="78">
        <v>0.72</v>
      </c>
      <c r="E3903" s="78">
        <f>TRUNC(C3903*D3903,2)</f>
        <v>0.37</v>
      </c>
    </row>
    <row r="3904" spans="1:5">
      <c r="A3904" s="76" t="s">
        <v>122</v>
      </c>
      <c r="B3904" s="77"/>
      <c r="C3904" s="78"/>
      <c r="D3904" s="78"/>
      <c r="E3904" s="78">
        <f>SUM(E3903:E3903)</f>
        <v>0.37</v>
      </c>
    </row>
    <row r="3905" spans="1:5">
      <c r="A3905" s="76"/>
      <c r="B3905" s="77"/>
      <c r="C3905" s="78"/>
      <c r="D3905" s="78"/>
      <c r="E3905" s="78"/>
    </row>
    <row r="3906" spans="1:5">
      <c r="A3906" s="76" t="s">
        <v>2538</v>
      </c>
      <c r="B3906" s="77"/>
      <c r="C3906" s="78"/>
      <c r="D3906" s="78"/>
      <c r="E3906" s="78">
        <f>E3904</f>
        <v>0.37</v>
      </c>
    </row>
    <row r="3907" spans="1:5">
      <c r="A3907" s="76" t="s">
        <v>2539</v>
      </c>
      <c r="B3907" s="77"/>
      <c r="C3907" s="78"/>
      <c r="D3907" s="78">
        <v>0</v>
      </c>
      <c r="E3907" s="78">
        <f>TRUNC(D3907*E3906/100,2)</f>
        <v>0</v>
      </c>
    </row>
    <row r="3908" spans="1:5">
      <c r="A3908" s="76" t="s">
        <v>2540</v>
      </c>
      <c r="B3908" s="77"/>
      <c r="C3908" s="78"/>
      <c r="D3908" s="78"/>
      <c r="E3908" s="78">
        <f>E3906+E3907</f>
        <v>0.37</v>
      </c>
    </row>
    <row r="3909" spans="1:5">
      <c r="A3909" s="76"/>
      <c r="B3909" s="77"/>
      <c r="C3909" s="78"/>
      <c r="D3909" s="78"/>
      <c r="E3909" s="78"/>
    </row>
    <row r="3910" spans="1:5">
      <c r="A3910" s="76" t="s">
        <v>3092</v>
      </c>
      <c r="B3910" s="77" t="s">
        <v>3438</v>
      </c>
      <c r="C3910" s="78"/>
      <c r="D3910" s="78"/>
      <c r="E3910" s="78"/>
    </row>
    <row r="3911" ht="25.5" spans="1:5">
      <c r="A3911" s="76" t="s">
        <v>3439</v>
      </c>
      <c r="B3911" s="77"/>
      <c r="C3911" s="78"/>
      <c r="D3911" s="78"/>
      <c r="E3911" s="78"/>
    </row>
    <row r="3912" spans="1:5">
      <c r="A3912" s="76" t="s">
        <v>3091</v>
      </c>
      <c r="B3912" s="77"/>
      <c r="C3912" s="78"/>
      <c r="D3912" s="78"/>
      <c r="E3912" s="78"/>
    </row>
    <row r="3913" spans="1:5">
      <c r="A3913" s="76"/>
      <c r="B3913" s="77"/>
      <c r="C3913" s="78"/>
      <c r="D3913" s="78"/>
      <c r="E3913" s="78"/>
    </row>
    <row r="3914" spans="1:5">
      <c r="A3914" s="76" t="s">
        <v>2543</v>
      </c>
      <c r="B3914" s="77" t="s">
        <v>135</v>
      </c>
      <c r="C3914" s="78" t="s">
        <v>136</v>
      </c>
      <c r="D3914" s="78" t="s">
        <v>2534</v>
      </c>
      <c r="E3914" s="78" t="s">
        <v>2535</v>
      </c>
    </row>
    <row r="3915" ht="25.5" spans="1:5">
      <c r="A3915" s="76" t="s">
        <v>3425</v>
      </c>
      <c r="B3915" s="77" t="s">
        <v>839</v>
      </c>
      <c r="C3915" s="78">
        <v>1</v>
      </c>
      <c r="D3915" s="78">
        <v>0.43</v>
      </c>
      <c r="E3915" s="78">
        <f>TRUNC(C3915*D3915,2)</f>
        <v>0.43</v>
      </c>
    </row>
    <row r="3916" ht="25.5" spans="1:5">
      <c r="A3916" s="76" t="s">
        <v>3426</v>
      </c>
      <c r="B3916" s="77" t="s">
        <v>839</v>
      </c>
      <c r="C3916" s="78">
        <v>1</v>
      </c>
      <c r="D3916" s="78">
        <v>0.1</v>
      </c>
      <c r="E3916" s="78">
        <f>TRUNC(C3916*D3916,2)</f>
        <v>0.1</v>
      </c>
    </row>
    <row r="3917" spans="1:5">
      <c r="A3917" s="76" t="s">
        <v>122</v>
      </c>
      <c r="B3917" s="77"/>
      <c r="C3917" s="78"/>
      <c r="D3917" s="78"/>
      <c r="E3917" s="78">
        <f>SUM(E3915:E3916)</f>
        <v>0.53</v>
      </c>
    </row>
    <row r="3918" spans="1:5">
      <c r="A3918" s="76"/>
      <c r="B3918" s="77"/>
      <c r="C3918" s="78"/>
      <c r="D3918" s="78"/>
      <c r="E3918" s="78"/>
    </row>
    <row r="3919" spans="1:5">
      <c r="A3919" s="76" t="s">
        <v>2538</v>
      </c>
      <c r="B3919" s="77"/>
      <c r="C3919" s="78"/>
      <c r="D3919" s="78"/>
      <c r="E3919" s="78">
        <f>E3917</f>
        <v>0.53</v>
      </c>
    </row>
    <row r="3920" spans="1:5">
      <c r="A3920" s="76" t="s">
        <v>2539</v>
      </c>
      <c r="B3920" s="77"/>
      <c r="C3920" s="78"/>
      <c r="D3920" s="78">
        <v>0</v>
      </c>
      <c r="E3920" s="78">
        <f>TRUNC(D3920*E3919/100,2)</f>
        <v>0</v>
      </c>
    </row>
    <row r="3921" spans="1:5">
      <c r="A3921" s="76" t="s">
        <v>2540</v>
      </c>
      <c r="B3921" s="77"/>
      <c r="C3921" s="78"/>
      <c r="D3921" s="78"/>
      <c r="E3921" s="78">
        <f>E3919+E3920</f>
        <v>0.53</v>
      </c>
    </row>
    <row r="3922" spans="1:5">
      <c r="A3922" s="76"/>
      <c r="B3922" s="77"/>
      <c r="C3922" s="78"/>
      <c r="D3922" s="78"/>
      <c r="E3922" s="78"/>
    </row>
    <row r="3923" spans="1:5">
      <c r="A3923" s="76" t="s">
        <v>3092</v>
      </c>
      <c r="B3923" s="77" t="s">
        <v>3440</v>
      </c>
      <c r="C3923" s="78"/>
      <c r="D3923" s="78"/>
      <c r="E3923" s="78"/>
    </row>
    <row r="3924" ht="25.5" spans="1:5">
      <c r="A3924" s="76" t="s">
        <v>3441</v>
      </c>
      <c r="B3924" s="77"/>
      <c r="C3924" s="78"/>
      <c r="D3924" s="78"/>
      <c r="E3924" s="78"/>
    </row>
    <row r="3925" spans="1:5">
      <c r="A3925" s="76" t="s">
        <v>2619</v>
      </c>
      <c r="B3925" s="77"/>
      <c r="C3925" s="78"/>
      <c r="D3925" s="78"/>
      <c r="E3925" s="78"/>
    </row>
    <row r="3926" spans="1:5">
      <c r="A3926" s="76"/>
      <c r="B3926" s="77"/>
      <c r="C3926" s="78"/>
      <c r="D3926" s="78"/>
      <c r="E3926" s="78"/>
    </row>
    <row r="3927" spans="1:5">
      <c r="A3927" s="76" t="s">
        <v>2543</v>
      </c>
      <c r="B3927" s="77" t="s">
        <v>135</v>
      </c>
      <c r="C3927" s="78" t="s">
        <v>136</v>
      </c>
      <c r="D3927" s="78" t="s">
        <v>2534</v>
      </c>
      <c r="E3927" s="78" t="s">
        <v>2535</v>
      </c>
    </row>
    <row r="3928" ht="25.5" spans="1:5">
      <c r="A3928" s="76" t="s">
        <v>2755</v>
      </c>
      <c r="B3928" s="77" t="s">
        <v>476</v>
      </c>
      <c r="C3928" s="78">
        <v>0.7275</v>
      </c>
      <c r="D3928" s="78">
        <v>205</v>
      </c>
      <c r="E3928" s="78">
        <f t="shared" ref="E3928:E3934" si="44">TRUNC(C3928*D3928,2)</f>
        <v>149.13</v>
      </c>
    </row>
    <row r="3929" spans="1:5">
      <c r="A3929" s="76" t="s">
        <v>3001</v>
      </c>
      <c r="B3929" s="77" t="s">
        <v>463</v>
      </c>
      <c r="C3929" s="78">
        <v>364.9433</v>
      </c>
      <c r="D3929" s="78">
        <v>0.65</v>
      </c>
      <c r="E3929" s="78">
        <f t="shared" si="44"/>
        <v>237.21</v>
      </c>
    </row>
    <row r="3930" ht="25.5" spans="1:5">
      <c r="A3930" s="76" t="s">
        <v>2822</v>
      </c>
      <c r="B3930" s="77" t="s">
        <v>476</v>
      </c>
      <c r="C3930" s="78">
        <v>0.5972</v>
      </c>
      <c r="D3930" s="78">
        <v>197.39</v>
      </c>
      <c r="E3930" s="78">
        <f t="shared" si="44"/>
        <v>117.88</v>
      </c>
    </row>
    <row r="3931" spans="1:5">
      <c r="A3931" s="76" t="s">
        <v>2621</v>
      </c>
      <c r="B3931" s="77" t="s">
        <v>839</v>
      </c>
      <c r="C3931" s="78">
        <v>1.9792</v>
      </c>
      <c r="D3931" s="78">
        <v>23.75</v>
      </c>
      <c r="E3931" s="78">
        <f t="shared" si="44"/>
        <v>47</v>
      </c>
    </row>
    <row r="3932" ht="25.5" spans="1:5">
      <c r="A3932" s="76" t="s">
        <v>3442</v>
      </c>
      <c r="B3932" s="77" t="s">
        <v>839</v>
      </c>
      <c r="C3932" s="78">
        <v>1.2501</v>
      </c>
      <c r="D3932" s="78">
        <v>26</v>
      </c>
      <c r="E3932" s="78">
        <f t="shared" si="44"/>
        <v>32.5</v>
      </c>
    </row>
    <row r="3933" ht="38.25" spans="1:5">
      <c r="A3933" s="76" t="s">
        <v>3443</v>
      </c>
      <c r="B3933" s="77" t="s">
        <v>977</v>
      </c>
      <c r="C3933" s="78">
        <v>0.6434</v>
      </c>
      <c r="D3933" s="78">
        <v>4.82</v>
      </c>
      <c r="E3933" s="78">
        <f t="shared" si="44"/>
        <v>3.1</v>
      </c>
    </row>
    <row r="3934" ht="38.25" spans="1:5">
      <c r="A3934" s="76" t="s">
        <v>3444</v>
      </c>
      <c r="B3934" s="77" t="s">
        <v>979</v>
      </c>
      <c r="C3934" s="78">
        <v>0.6067</v>
      </c>
      <c r="D3934" s="78">
        <v>1.6</v>
      </c>
      <c r="E3934" s="78">
        <f t="shared" si="44"/>
        <v>0.97</v>
      </c>
    </row>
    <row r="3935" spans="1:5">
      <c r="A3935" s="76" t="s">
        <v>122</v>
      </c>
      <c r="B3935" s="77"/>
      <c r="C3935" s="78"/>
      <c r="D3935" s="78"/>
      <c r="E3935" s="78">
        <f>SUM(E3928:E3934)</f>
        <v>587.79</v>
      </c>
    </row>
    <row r="3936" spans="1:5">
      <c r="A3936" s="76"/>
      <c r="B3936" s="77"/>
      <c r="C3936" s="78"/>
      <c r="D3936" s="78"/>
      <c r="E3936" s="78"/>
    </row>
    <row r="3937" spans="1:5">
      <c r="A3937" s="76" t="s">
        <v>2538</v>
      </c>
      <c r="B3937" s="77"/>
      <c r="C3937" s="78"/>
      <c r="D3937" s="78"/>
      <c r="E3937" s="78">
        <f>E3935</f>
        <v>587.79</v>
      </c>
    </row>
    <row r="3938" spans="1:5">
      <c r="A3938" s="76" t="s">
        <v>2539</v>
      </c>
      <c r="B3938" s="77"/>
      <c r="C3938" s="78"/>
      <c r="D3938" s="78">
        <v>0</v>
      </c>
      <c r="E3938" s="78">
        <f>TRUNC(D3938*E3937/100,2)</f>
        <v>0</v>
      </c>
    </row>
    <row r="3939" spans="1:5">
      <c r="A3939" s="76" t="s">
        <v>2540</v>
      </c>
      <c r="B3939" s="77"/>
      <c r="C3939" s="78"/>
      <c r="D3939" s="78"/>
      <c r="E3939" s="78">
        <f>E3937+E3938</f>
        <v>587.79</v>
      </c>
    </row>
    <row r="3940" spans="1:5">
      <c r="A3940" s="76"/>
      <c r="B3940" s="77"/>
      <c r="C3940" s="78"/>
      <c r="D3940" s="78"/>
      <c r="E3940" s="78"/>
    </row>
    <row r="3941" spans="1:5">
      <c r="A3941" s="76" t="s">
        <v>3092</v>
      </c>
      <c r="B3941" s="77" t="s">
        <v>3445</v>
      </c>
      <c r="C3941" s="78"/>
      <c r="D3941" s="78"/>
      <c r="E3941" s="78"/>
    </row>
    <row r="3942" ht="25.5" spans="1:5">
      <c r="A3942" s="76" t="s">
        <v>3446</v>
      </c>
      <c r="B3942" s="77"/>
      <c r="C3942" s="78"/>
      <c r="D3942" s="78"/>
      <c r="E3942" s="78"/>
    </row>
    <row r="3943" spans="1:5">
      <c r="A3943" s="76" t="s">
        <v>2764</v>
      </c>
      <c r="B3943" s="77"/>
      <c r="C3943" s="78"/>
      <c r="D3943" s="78"/>
      <c r="E3943" s="78"/>
    </row>
    <row r="3944" spans="1:5">
      <c r="A3944" s="76"/>
      <c r="B3944" s="77"/>
      <c r="C3944" s="78"/>
      <c r="D3944" s="78"/>
      <c r="E3944" s="78"/>
    </row>
    <row r="3945" spans="1:5">
      <c r="A3945" s="76" t="s">
        <v>279</v>
      </c>
      <c r="B3945" s="77" t="s">
        <v>135</v>
      </c>
      <c r="C3945" s="78" t="s">
        <v>136</v>
      </c>
      <c r="D3945" s="78" t="s">
        <v>2534</v>
      </c>
      <c r="E3945" s="78" t="s">
        <v>2535</v>
      </c>
    </row>
    <row r="3946" ht="25.5" spans="1:5">
      <c r="A3946" s="76" t="s">
        <v>3111</v>
      </c>
      <c r="B3946" s="77" t="s">
        <v>839</v>
      </c>
      <c r="C3946" s="78">
        <v>1</v>
      </c>
      <c r="D3946" s="78">
        <v>1.5</v>
      </c>
      <c r="E3946" s="78">
        <f>TRUNC(C3946*D3946,2)</f>
        <v>1.5</v>
      </c>
    </row>
    <row r="3947" spans="1:5">
      <c r="A3947" s="76" t="s">
        <v>122</v>
      </c>
      <c r="B3947" s="77"/>
      <c r="C3947" s="78"/>
      <c r="D3947" s="78"/>
      <c r="E3947" s="78">
        <f>SUM(E3946:E3946)</f>
        <v>1.5</v>
      </c>
    </row>
    <row r="3948" spans="1:5">
      <c r="A3948" s="76"/>
      <c r="B3948" s="77"/>
      <c r="C3948" s="78"/>
      <c r="D3948" s="78"/>
      <c r="E3948" s="78"/>
    </row>
    <row r="3949" spans="1:5">
      <c r="A3949" s="76" t="s">
        <v>280</v>
      </c>
      <c r="B3949" s="77" t="s">
        <v>135</v>
      </c>
      <c r="C3949" s="78" t="s">
        <v>136</v>
      </c>
      <c r="D3949" s="78" t="s">
        <v>2534</v>
      </c>
      <c r="E3949" s="78" t="s">
        <v>2535</v>
      </c>
    </row>
    <row r="3950" ht="25.5" spans="1:5">
      <c r="A3950" s="76" t="s">
        <v>3112</v>
      </c>
      <c r="B3950" s="77" t="s">
        <v>839</v>
      </c>
      <c r="C3950" s="78">
        <v>1</v>
      </c>
      <c r="D3950" s="78">
        <v>3.95</v>
      </c>
      <c r="E3950" s="78">
        <f>TRUNC(C3950*D3950,2)</f>
        <v>3.95</v>
      </c>
    </row>
    <row r="3951" spans="1:5">
      <c r="A3951" s="76" t="s">
        <v>3447</v>
      </c>
      <c r="B3951" s="77" t="s">
        <v>839</v>
      </c>
      <c r="C3951" s="78">
        <v>1</v>
      </c>
      <c r="D3951" s="78">
        <v>18</v>
      </c>
      <c r="E3951" s="78">
        <f>TRUNC(C3951*D3951,2)</f>
        <v>18</v>
      </c>
    </row>
    <row r="3952" ht="25.5" spans="1:5">
      <c r="A3952" s="76" t="s">
        <v>3113</v>
      </c>
      <c r="B3952" s="77" t="s">
        <v>839</v>
      </c>
      <c r="C3952" s="78">
        <v>1</v>
      </c>
      <c r="D3952" s="78">
        <v>0.08</v>
      </c>
      <c r="E3952" s="78">
        <f>TRUNC(C3952*D3952,2)</f>
        <v>0.08</v>
      </c>
    </row>
    <row r="3953" spans="1:5">
      <c r="A3953" s="76" t="s">
        <v>122</v>
      </c>
      <c r="B3953" s="77"/>
      <c r="C3953" s="78"/>
      <c r="D3953" s="78"/>
      <c r="E3953" s="78">
        <f>SUM(E3950:E3952)</f>
        <v>22.03</v>
      </c>
    </row>
    <row r="3954" spans="1:5">
      <c r="A3954" s="76" t="s">
        <v>117</v>
      </c>
      <c r="B3954" s="77"/>
      <c r="C3954" s="78"/>
      <c r="D3954" s="78"/>
      <c r="E3954" s="78" t="str">
        <f>"0"</f>
        <v>0</v>
      </c>
    </row>
    <row r="3955" spans="1:5">
      <c r="A3955" s="76" t="s">
        <v>2537</v>
      </c>
      <c r="B3955" s="77"/>
      <c r="C3955" s="78"/>
      <c r="D3955" s="78"/>
      <c r="E3955" s="78">
        <f>E3953+E3954</f>
        <v>22.03</v>
      </c>
    </row>
    <row r="3956" spans="1:5">
      <c r="A3956" s="76"/>
      <c r="B3956" s="77"/>
      <c r="C3956" s="78"/>
      <c r="D3956" s="78"/>
      <c r="E3956" s="78"/>
    </row>
    <row r="3957" spans="1:5">
      <c r="A3957" s="76" t="s">
        <v>2543</v>
      </c>
      <c r="B3957" s="77" t="s">
        <v>135</v>
      </c>
      <c r="C3957" s="78" t="s">
        <v>136</v>
      </c>
      <c r="D3957" s="78" t="s">
        <v>2534</v>
      </c>
      <c r="E3957" s="78" t="s">
        <v>2535</v>
      </c>
    </row>
    <row r="3958" ht="25.5" spans="1:5">
      <c r="A3958" s="76" t="s">
        <v>3195</v>
      </c>
      <c r="B3958" s="77" t="s">
        <v>839</v>
      </c>
      <c r="C3958" s="78">
        <v>1</v>
      </c>
      <c r="D3958" s="78">
        <v>0.89</v>
      </c>
      <c r="E3958" s="78">
        <f>TRUNC(C3958*D3958,2)</f>
        <v>0.89</v>
      </c>
    </row>
    <row r="3959" spans="1:5">
      <c r="A3959" s="76" t="s">
        <v>3116</v>
      </c>
      <c r="B3959" s="77" t="s">
        <v>839</v>
      </c>
      <c r="C3959" s="78">
        <v>1</v>
      </c>
      <c r="D3959" s="78">
        <v>1.43</v>
      </c>
      <c r="E3959" s="78">
        <f>TRUNC(C3959*D3959,2)</f>
        <v>1.43</v>
      </c>
    </row>
    <row r="3960" ht="25.5" spans="1:5">
      <c r="A3960" s="76" t="s">
        <v>3196</v>
      </c>
      <c r="B3960" s="77" t="s">
        <v>839</v>
      </c>
      <c r="C3960" s="78">
        <v>1</v>
      </c>
      <c r="D3960" s="78">
        <v>0.01</v>
      </c>
      <c r="E3960" s="78">
        <f>TRUNC(C3960*D3960,2)</f>
        <v>0.01</v>
      </c>
    </row>
    <row r="3961" ht="25.5" spans="1:5">
      <c r="A3961" s="76" t="s">
        <v>3448</v>
      </c>
      <c r="B3961" s="77" t="s">
        <v>839</v>
      </c>
      <c r="C3961" s="78">
        <v>1</v>
      </c>
      <c r="D3961" s="78">
        <v>0.14</v>
      </c>
      <c r="E3961" s="78">
        <f>TRUNC(C3961*D3961,2)</f>
        <v>0.14</v>
      </c>
    </row>
    <row r="3962" spans="1:5">
      <c r="A3962" s="76" t="s">
        <v>122</v>
      </c>
      <c r="B3962" s="77"/>
      <c r="C3962" s="78"/>
      <c r="D3962" s="78"/>
      <c r="E3962" s="78">
        <f>SUM(E3958:E3961)</f>
        <v>2.47</v>
      </c>
    </row>
    <row r="3963" spans="1:5">
      <c r="A3963" s="76"/>
      <c r="B3963" s="77"/>
      <c r="C3963" s="78"/>
      <c r="D3963" s="78"/>
      <c r="E3963" s="78"/>
    </row>
    <row r="3964" spans="1:5">
      <c r="A3964" s="76" t="s">
        <v>2538</v>
      </c>
      <c r="B3964" s="77"/>
      <c r="C3964" s="78"/>
      <c r="D3964" s="78"/>
      <c r="E3964" s="78">
        <f>E3947+E3955+E3962</f>
        <v>26</v>
      </c>
    </row>
    <row r="3965" spans="1:5">
      <c r="A3965" s="76" t="s">
        <v>2539</v>
      </c>
      <c r="B3965" s="77"/>
      <c r="C3965" s="78"/>
      <c r="D3965" s="78">
        <v>0</v>
      </c>
      <c r="E3965" s="78">
        <f>TRUNC(D3965*E3964/100,2)</f>
        <v>0</v>
      </c>
    </row>
    <row r="3966" spans="1:5">
      <c r="A3966" s="76" t="s">
        <v>2540</v>
      </c>
      <c r="B3966" s="77"/>
      <c r="C3966" s="78"/>
      <c r="D3966" s="78"/>
      <c r="E3966" s="78">
        <f>E3964+E3965</f>
        <v>26</v>
      </c>
    </row>
    <row r="3967" spans="1:5">
      <c r="A3967" s="76"/>
      <c r="B3967" s="77"/>
      <c r="C3967" s="78"/>
      <c r="D3967" s="78"/>
      <c r="E3967" s="78"/>
    </row>
    <row r="3968" spans="1:5">
      <c r="A3968" s="76" t="s">
        <v>3092</v>
      </c>
      <c r="B3968" s="77" t="s">
        <v>3449</v>
      </c>
      <c r="C3968" s="78"/>
      <c r="D3968" s="78"/>
      <c r="E3968" s="78"/>
    </row>
    <row r="3969" ht="25.5" spans="1:5">
      <c r="A3969" s="76" t="s">
        <v>3450</v>
      </c>
      <c r="B3969" s="77"/>
      <c r="C3969" s="78"/>
      <c r="D3969" s="78"/>
      <c r="E3969" s="78"/>
    </row>
    <row r="3970" spans="1:5">
      <c r="A3970" s="76" t="s">
        <v>2764</v>
      </c>
      <c r="B3970" s="77"/>
      <c r="C3970" s="78"/>
      <c r="D3970" s="78"/>
      <c r="E3970" s="78"/>
    </row>
    <row r="3971" spans="1:5">
      <c r="A3971" s="76"/>
      <c r="B3971" s="77"/>
      <c r="C3971" s="78"/>
      <c r="D3971" s="78"/>
      <c r="E3971" s="78"/>
    </row>
    <row r="3972" spans="1:5">
      <c r="A3972" s="76" t="s">
        <v>280</v>
      </c>
      <c r="B3972" s="77" t="s">
        <v>135</v>
      </c>
      <c r="C3972" s="78" t="s">
        <v>136</v>
      </c>
      <c r="D3972" s="78" t="s">
        <v>2534</v>
      </c>
      <c r="E3972" s="78" t="s">
        <v>2535</v>
      </c>
    </row>
    <row r="3973" spans="1:5">
      <c r="A3973" s="76" t="s">
        <v>3447</v>
      </c>
      <c r="B3973" s="77" t="s">
        <v>839</v>
      </c>
      <c r="C3973" s="78">
        <v>0.00831</v>
      </c>
      <c r="D3973" s="78">
        <v>18</v>
      </c>
      <c r="E3973" s="78">
        <f>TRUNC(C3973*D3973,2)</f>
        <v>0.14</v>
      </c>
    </row>
    <row r="3974" spans="1:5">
      <c r="A3974" s="76" t="s">
        <v>122</v>
      </c>
      <c r="B3974" s="77"/>
      <c r="C3974" s="78"/>
      <c r="D3974" s="78"/>
      <c r="E3974" s="78">
        <f>SUM(E3973:E3973)</f>
        <v>0.14</v>
      </c>
    </row>
    <row r="3975" spans="1:5">
      <c r="A3975" s="76" t="s">
        <v>117</v>
      </c>
      <c r="B3975" s="77"/>
      <c r="C3975" s="78"/>
      <c r="D3975" s="78"/>
      <c r="E3975" s="78" t="str">
        <f>"0"</f>
        <v>0</v>
      </c>
    </row>
    <row r="3976" spans="1:5">
      <c r="A3976" s="76" t="s">
        <v>2537</v>
      </c>
      <c r="B3976" s="77"/>
      <c r="C3976" s="78"/>
      <c r="D3976" s="78"/>
      <c r="E3976" s="78">
        <f>E3974+E3975</f>
        <v>0.14</v>
      </c>
    </row>
    <row r="3977" spans="1:5">
      <c r="A3977" s="76"/>
      <c r="B3977" s="77"/>
      <c r="C3977" s="78"/>
      <c r="D3977" s="78"/>
      <c r="E3977" s="78"/>
    </row>
    <row r="3978" spans="1:5">
      <c r="A3978" s="76" t="s">
        <v>2538</v>
      </c>
      <c r="B3978" s="77"/>
      <c r="C3978" s="78"/>
      <c r="D3978" s="78"/>
      <c r="E3978" s="78">
        <f>E3976</f>
        <v>0.14</v>
      </c>
    </row>
    <row r="3979" spans="1:5">
      <c r="A3979" s="76" t="s">
        <v>2539</v>
      </c>
      <c r="B3979" s="77"/>
      <c r="C3979" s="78"/>
      <c r="D3979" s="78">
        <v>0</v>
      </c>
      <c r="E3979" s="78">
        <f>TRUNC(D3979*E3978/100,2)</f>
        <v>0</v>
      </c>
    </row>
    <row r="3980" spans="1:5">
      <c r="A3980" s="76" t="s">
        <v>2540</v>
      </c>
      <c r="B3980" s="77"/>
      <c r="C3980" s="78"/>
      <c r="D3980" s="78"/>
      <c r="E3980" s="78">
        <f>E3978+E3979</f>
        <v>0.14</v>
      </c>
    </row>
    <row r="3981" spans="1:5">
      <c r="A3981" s="76"/>
      <c r="B3981" s="77"/>
      <c r="C3981" s="78"/>
      <c r="D3981" s="78"/>
      <c r="E3981" s="78"/>
    </row>
    <row r="3982" spans="1:5">
      <c r="A3982" s="76" t="s">
        <v>3092</v>
      </c>
      <c r="B3982" s="77" t="s">
        <v>3451</v>
      </c>
      <c r="C3982" s="78"/>
      <c r="D3982" s="78"/>
      <c r="E3982" s="78"/>
    </row>
    <row r="3983" ht="38.25" spans="1:5">
      <c r="A3983" s="76" t="s">
        <v>3452</v>
      </c>
      <c r="B3983" s="77"/>
      <c r="C3983" s="78"/>
      <c r="D3983" s="78"/>
      <c r="E3983" s="78"/>
    </row>
    <row r="3984" spans="1:5">
      <c r="A3984" s="76" t="s">
        <v>3085</v>
      </c>
      <c r="B3984" s="77"/>
      <c r="C3984" s="78"/>
      <c r="D3984" s="78"/>
      <c r="E3984" s="78"/>
    </row>
    <row r="3985" spans="1:5">
      <c r="A3985" s="76"/>
      <c r="B3985" s="77"/>
      <c r="C3985" s="78"/>
      <c r="D3985" s="78"/>
      <c r="E3985" s="78"/>
    </row>
    <row r="3986" spans="1:5">
      <c r="A3986" s="76" t="s">
        <v>2543</v>
      </c>
      <c r="B3986" s="77" t="s">
        <v>135</v>
      </c>
      <c r="C3986" s="78" t="s">
        <v>136</v>
      </c>
      <c r="D3986" s="78" t="s">
        <v>2534</v>
      </c>
      <c r="E3986" s="78" t="s">
        <v>2535</v>
      </c>
    </row>
    <row r="3987" ht="38.25" spans="1:5">
      <c r="A3987" s="76" t="s">
        <v>3453</v>
      </c>
      <c r="B3987" s="77" t="s">
        <v>839</v>
      </c>
      <c r="C3987" s="78">
        <v>1</v>
      </c>
      <c r="D3987" s="78">
        <v>1.3</v>
      </c>
      <c r="E3987" s="78">
        <f>TRUNC(C3987*D3987,2)</f>
        <v>1.3</v>
      </c>
    </row>
    <row r="3988" ht="38.25" spans="1:5">
      <c r="A3988" s="76" t="s">
        <v>3454</v>
      </c>
      <c r="B3988" s="77" t="s">
        <v>839</v>
      </c>
      <c r="C3988" s="78">
        <v>1</v>
      </c>
      <c r="D3988" s="78">
        <v>0.3</v>
      </c>
      <c r="E3988" s="78">
        <f>TRUNC(C3988*D3988,2)</f>
        <v>0.3</v>
      </c>
    </row>
    <row r="3989" ht="38.25" spans="1:5">
      <c r="A3989" s="76" t="s">
        <v>3455</v>
      </c>
      <c r="B3989" s="77" t="s">
        <v>839</v>
      </c>
      <c r="C3989" s="78">
        <v>1</v>
      </c>
      <c r="D3989" s="78">
        <v>1.8</v>
      </c>
      <c r="E3989" s="78">
        <f>TRUNC(C3989*D3989,2)</f>
        <v>1.8</v>
      </c>
    </row>
    <row r="3990" ht="38.25" spans="1:5">
      <c r="A3990" s="76" t="s">
        <v>3456</v>
      </c>
      <c r="B3990" s="77" t="s">
        <v>839</v>
      </c>
      <c r="C3990" s="78">
        <v>1</v>
      </c>
      <c r="D3990" s="78">
        <v>1.42</v>
      </c>
      <c r="E3990" s="78">
        <f>TRUNC(C3990*D3990,2)</f>
        <v>1.42</v>
      </c>
    </row>
    <row r="3991" spans="1:5">
      <c r="A3991" s="76" t="s">
        <v>122</v>
      </c>
      <c r="B3991" s="77"/>
      <c r="C3991" s="78"/>
      <c r="D3991" s="78"/>
      <c r="E3991" s="78">
        <f>SUM(E3987:E3990)</f>
        <v>4.82</v>
      </c>
    </row>
    <row r="3992" spans="1:5">
      <c r="A3992" s="76"/>
      <c r="B3992" s="77"/>
      <c r="C3992" s="78"/>
      <c r="D3992" s="78"/>
      <c r="E3992" s="78"/>
    </row>
    <row r="3993" spans="1:5">
      <c r="A3993" s="76" t="s">
        <v>2538</v>
      </c>
      <c r="B3993" s="77"/>
      <c r="C3993" s="78"/>
      <c r="D3993" s="78"/>
      <c r="E3993" s="78">
        <f>E3991</f>
        <v>4.82</v>
      </c>
    </row>
    <row r="3994" spans="1:5">
      <c r="A3994" s="76" t="s">
        <v>2539</v>
      </c>
      <c r="B3994" s="77"/>
      <c r="C3994" s="78"/>
      <c r="D3994" s="78">
        <v>0</v>
      </c>
      <c r="E3994" s="78">
        <f>TRUNC(D3994*E3993/100,2)</f>
        <v>0</v>
      </c>
    </row>
    <row r="3995" spans="1:5">
      <c r="A3995" s="76" t="s">
        <v>2540</v>
      </c>
      <c r="B3995" s="77"/>
      <c r="C3995" s="78"/>
      <c r="D3995" s="78"/>
      <c r="E3995" s="78">
        <f>E3993+E3994</f>
        <v>4.82</v>
      </c>
    </row>
    <row r="3996" spans="1:5">
      <c r="A3996" s="76"/>
      <c r="B3996" s="77"/>
      <c r="C3996" s="78"/>
      <c r="D3996" s="78"/>
      <c r="E3996" s="78"/>
    </row>
    <row r="3997" spans="1:5">
      <c r="A3997" s="76" t="s">
        <v>3092</v>
      </c>
      <c r="B3997" s="77" t="s">
        <v>3457</v>
      </c>
      <c r="C3997" s="78"/>
      <c r="D3997" s="78"/>
      <c r="E3997" s="78"/>
    </row>
    <row r="3998" ht="38.25" spans="1:5">
      <c r="A3998" s="76" t="s">
        <v>3458</v>
      </c>
      <c r="B3998" s="77"/>
      <c r="C3998" s="78"/>
      <c r="D3998" s="78"/>
      <c r="E3998" s="78"/>
    </row>
    <row r="3999" spans="1:5">
      <c r="A3999" s="76" t="s">
        <v>2764</v>
      </c>
      <c r="B3999" s="77"/>
      <c r="C3999" s="78"/>
      <c r="D3999" s="78"/>
      <c r="E3999" s="78"/>
    </row>
    <row r="4000" spans="1:5">
      <c r="A4000" s="76"/>
      <c r="B4000" s="77"/>
      <c r="C4000" s="78"/>
      <c r="D4000" s="78"/>
      <c r="E4000" s="78"/>
    </row>
    <row r="4001" spans="1:5">
      <c r="A4001" s="76" t="s">
        <v>279</v>
      </c>
      <c r="B4001" s="77" t="s">
        <v>135</v>
      </c>
      <c r="C4001" s="78" t="s">
        <v>136</v>
      </c>
      <c r="D4001" s="78" t="s">
        <v>2534</v>
      </c>
      <c r="E4001" s="78" t="s">
        <v>2535</v>
      </c>
    </row>
    <row r="4002" ht="25.5" spans="1:5">
      <c r="A4002" s="76" t="s">
        <v>3459</v>
      </c>
      <c r="B4002" s="77" t="s">
        <v>494</v>
      </c>
      <c r="C4002" s="78">
        <v>6.4e-5</v>
      </c>
      <c r="D4002" s="78">
        <v>20338.98</v>
      </c>
      <c r="E4002" s="78">
        <f>TRUNC(C4002*D4002,2)</f>
        <v>1.3</v>
      </c>
    </row>
    <row r="4003" spans="1:5">
      <c r="A4003" s="76" t="s">
        <v>122</v>
      </c>
      <c r="B4003" s="77"/>
      <c r="C4003" s="78"/>
      <c r="D4003" s="78"/>
      <c r="E4003" s="78">
        <f>SUM(E4002:E4002)</f>
        <v>1.3</v>
      </c>
    </row>
    <row r="4004" spans="1:5">
      <c r="A4004" s="76"/>
      <c r="B4004" s="77"/>
      <c r="C4004" s="78"/>
      <c r="D4004" s="78"/>
      <c r="E4004" s="78"/>
    </row>
    <row r="4005" spans="1:5">
      <c r="A4005" s="76" t="s">
        <v>2538</v>
      </c>
      <c r="B4005" s="77"/>
      <c r="C4005" s="78"/>
      <c r="D4005" s="78"/>
      <c r="E4005" s="78">
        <f>E4003</f>
        <v>1.3</v>
      </c>
    </row>
    <row r="4006" spans="1:5">
      <c r="A4006" s="76" t="s">
        <v>2539</v>
      </c>
      <c r="B4006" s="77"/>
      <c r="C4006" s="78"/>
      <c r="D4006" s="78">
        <v>0</v>
      </c>
      <c r="E4006" s="78">
        <f>TRUNC(D4006*E4005/100,2)</f>
        <v>0</v>
      </c>
    </row>
    <row r="4007" spans="1:5">
      <c r="A4007" s="76" t="s">
        <v>2540</v>
      </c>
      <c r="B4007" s="77"/>
      <c r="C4007" s="78"/>
      <c r="D4007" s="78"/>
      <c r="E4007" s="78">
        <f>E4005+E4006</f>
        <v>1.3</v>
      </c>
    </row>
    <row r="4008" spans="1:5">
      <c r="A4008" s="76"/>
      <c r="B4008" s="77"/>
      <c r="C4008" s="78"/>
      <c r="D4008" s="78"/>
      <c r="E4008" s="78"/>
    </row>
    <row r="4009" spans="1:5">
      <c r="A4009" s="76" t="s">
        <v>3092</v>
      </c>
      <c r="B4009" s="77" t="s">
        <v>3460</v>
      </c>
      <c r="C4009" s="78"/>
      <c r="D4009" s="78"/>
      <c r="E4009" s="78"/>
    </row>
    <row r="4010" ht="25.5" spans="1:5">
      <c r="A4010" s="76" t="s">
        <v>3461</v>
      </c>
      <c r="B4010" s="77"/>
      <c r="C4010" s="78"/>
      <c r="D4010" s="78"/>
      <c r="E4010" s="78"/>
    </row>
    <row r="4011" spans="1:5">
      <c r="A4011" s="76" t="s">
        <v>2764</v>
      </c>
      <c r="B4011" s="77"/>
      <c r="C4011" s="78"/>
      <c r="D4011" s="78"/>
      <c r="E4011" s="78"/>
    </row>
    <row r="4012" spans="1:5">
      <c r="A4012" s="76"/>
      <c r="B4012" s="77"/>
      <c r="C4012" s="78"/>
      <c r="D4012" s="78"/>
      <c r="E4012" s="78"/>
    </row>
    <row r="4013" spans="1:5">
      <c r="A4013" s="76" t="s">
        <v>279</v>
      </c>
      <c r="B4013" s="77" t="s">
        <v>135</v>
      </c>
      <c r="C4013" s="78" t="s">
        <v>136</v>
      </c>
      <c r="D4013" s="78" t="s">
        <v>2534</v>
      </c>
      <c r="E4013" s="78" t="s">
        <v>2535</v>
      </c>
    </row>
    <row r="4014" ht="25.5" spans="1:5">
      <c r="A4014" s="76" t="s">
        <v>3459</v>
      </c>
      <c r="B4014" s="77" t="s">
        <v>494</v>
      </c>
      <c r="C4014" s="78">
        <v>1.48e-5</v>
      </c>
      <c r="D4014" s="78">
        <v>20338.98</v>
      </c>
      <c r="E4014" s="78">
        <f>TRUNC(C4014*D4014,2)</f>
        <v>0.3</v>
      </c>
    </row>
    <row r="4015" spans="1:5">
      <c r="A4015" s="76" t="s">
        <v>122</v>
      </c>
      <c r="B4015" s="77"/>
      <c r="C4015" s="78"/>
      <c r="D4015" s="78"/>
      <c r="E4015" s="78">
        <f>SUM(E4014:E4014)</f>
        <v>0.3</v>
      </c>
    </row>
    <row r="4016" spans="1:5">
      <c r="A4016" s="76"/>
      <c r="B4016" s="77"/>
      <c r="C4016" s="78"/>
      <c r="D4016" s="78"/>
      <c r="E4016" s="78"/>
    </row>
    <row r="4017" spans="1:5">
      <c r="A4017" s="76" t="s">
        <v>2538</v>
      </c>
      <c r="B4017" s="77"/>
      <c r="C4017" s="78"/>
      <c r="D4017" s="78"/>
      <c r="E4017" s="78">
        <f>E4015</f>
        <v>0.3</v>
      </c>
    </row>
    <row r="4018" spans="1:5">
      <c r="A4018" s="76" t="s">
        <v>2539</v>
      </c>
      <c r="B4018" s="77"/>
      <c r="C4018" s="78"/>
      <c r="D4018" s="78">
        <v>0</v>
      </c>
      <c r="E4018" s="78">
        <f>TRUNC(D4018*E4017/100,2)</f>
        <v>0</v>
      </c>
    </row>
    <row r="4019" spans="1:5">
      <c r="A4019" s="76" t="s">
        <v>2540</v>
      </c>
      <c r="B4019" s="77"/>
      <c r="C4019" s="78"/>
      <c r="D4019" s="78"/>
      <c r="E4019" s="78">
        <f>E4017+E4018</f>
        <v>0.3</v>
      </c>
    </row>
    <row r="4020" spans="1:5">
      <c r="A4020" s="76"/>
      <c r="B4020" s="77"/>
      <c r="C4020" s="78"/>
      <c r="D4020" s="78"/>
      <c r="E4020" s="78"/>
    </row>
    <row r="4021" spans="1:5">
      <c r="A4021" s="76" t="s">
        <v>3092</v>
      </c>
      <c r="B4021" s="77" t="s">
        <v>3462</v>
      </c>
      <c r="C4021" s="78"/>
      <c r="D4021" s="78"/>
      <c r="E4021" s="78"/>
    </row>
    <row r="4022" ht="38.25" spans="1:5">
      <c r="A4022" s="76" t="s">
        <v>3463</v>
      </c>
      <c r="B4022" s="77"/>
      <c r="C4022" s="78"/>
      <c r="D4022" s="78"/>
      <c r="E4022" s="78"/>
    </row>
    <row r="4023" spans="1:5">
      <c r="A4023" s="76" t="s">
        <v>2764</v>
      </c>
      <c r="B4023" s="77"/>
      <c r="C4023" s="78"/>
      <c r="D4023" s="78"/>
      <c r="E4023" s="78"/>
    </row>
    <row r="4024" spans="1:5">
      <c r="A4024" s="76"/>
      <c r="B4024" s="77"/>
      <c r="C4024" s="78"/>
      <c r="D4024" s="78"/>
      <c r="E4024" s="78"/>
    </row>
    <row r="4025" spans="1:5">
      <c r="A4025" s="76" t="s">
        <v>2543</v>
      </c>
      <c r="B4025" s="77" t="s">
        <v>135</v>
      </c>
      <c r="C4025" s="78" t="s">
        <v>136</v>
      </c>
      <c r="D4025" s="78" t="s">
        <v>2534</v>
      </c>
      <c r="E4025" s="78" t="s">
        <v>2535</v>
      </c>
    </row>
    <row r="4026" spans="1:5">
      <c r="A4026" s="76" t="s">
        <v>3242</v>
      </c>
      <c r="B4026" s="77" t="s">
        <v>1695</v>
      </c>
      <c r="C4026" s="78">
        <v>2.5</v>
      </c>
      <c r="D4026" s="78">
        <v>0.72</v>
      </c>
      <c r="E4026" s="78">
        <f>TRUNC(C4026*D4026,2)</f>
        <v>1.8</v>
      </c>
    </row>
    <row r="4027" spans="1:5">
      <c r="A4027" s="76" t="s">
        <v>122</v>
      </c>
      <c r="B4027" s="77"/>
      <c r="C4027" s="78"/>
      <c r="D4027" s="78"/>
      <c r="E4027" s="78">
        <f>SUM(E4026:E4026)</f>
        <v>1.8</v>
      </c>
    </row>
    <row r="4028" spans="1:5">
      <c r="A4028" s="76"/>
      <c r="B4028" s="77"/>
      <c r="C4028" s="78"/>
      <c r="D4028" s="78"/>
      <c r="E4028" s="78"/>
    </row>
    <row r="4029" spans="1:5">
      <c r="A4029" s="76" t="s">
        <v>2538</v>
      </c>
      <c r="B4029" s="77"/>
      <c r="C4029" s="78"/>
      <c r="D4029" s="78"/>
      <c r="E4029" s="78">
        <f>E4027</f>
        <v>1.8</v>
      </c>
    </row>
    <row r="4030" spans="1:5">
      <c r="A4030" s="76" t="s">
        <v>2539</v>
      </c>
      <c r="B4030" s="77"/>
      <c r="C4030" s="78"/>
      <c r="D4030" s="78">
        <v>0</v>
      </c>
      <c r="E4030" s="78">
        <f>TRUNC(D4030*E4029/100,2)</f>
        <v>0</v>
      </c>
    </row>
    <row r="4031" spans="1:5">
      <c r="A4031" s="76" t="s">
        <v>2540</v>
      </c>
      <c r="B4031" s="77"/>
      <c r="C4031" s="78"/>
      <c r="D4031" s="78"/>
      <c r="E4031" s="78">
        <f>E4029+E4030</f>
        <v>1.8</v>
      </c>
    </row>
    <row r="4032" spans="1:5">
      <c r="A4032" s="76"/>
      <c r="B4032" s="77"/>
      <c r="C4032" s="78"/>
      <c r="D4032" s="78"/>
      <c r="E4032" s="78"/>
    </row>
    <row r="4033" spans="1:5">
      <c r="A4033" s="76" t="s">
        <v>3092</v>
      </c>
      <c r="B4033" s="77" t="s">
        <v>3464</v>
      </c>
      <c r="C4033" s="78"/>
      <c r="D4033" s="78"/>
      <c r="E4033" s="78"/>
    </row>
    <row r="4034" ht="38.25" spans="1:5">
      <c r="A4034" s="76" t="s">
        <v>3465</v>
      </c>
      <c r="B4034" s="77"/>
      <c r="C4034" s="78"/>
      <c r="D4034" s="78"/>
      <c r="E4034" s="78"/>
    </row>
    <row r="4035" spans="1:5">
      <c r="A4035" s="76" t="s">
        <v>2764</v>
      </c>
      <c r="B4035" s="77"/>
      <c r="C4035" s="78"/>
      <c r="D4035" s="78"/>
      <c r="E4035" s="78"/>
    </row>
    <row r="4036" spans="1:5">
      <c r="A4036" s="76"/>
      <c r="B4036" s="77"/>
      <c r="C4036" s="78"/>
      <c r="D4036" s="78"/>
      <c r="E4036" s="78"/>
    </row>
    <row r="4037" spans="1:5">
      <c r="A4037" s="76" t="s">
        <v>279</v>
      </c>
      <c r="B4037" s="77" t="s">
        <v>135</v>
      </c>
      <c r="C4037" s="78" t="s">
        <v>136</v>
      </c>
      <c r="D4037" s="78" t="s">
        <v>2534</v>
      </c>
      <c r="E4037" s="78" t="s">
        <v>2535</v>
      </c>
    </row>
    <row r="4038" ht="25.5" spans="1:5">
      <c r="A4038" s="76" t="s">
        <v>3459</v>
      </c>
      <c r="B4038" s="77" t="s">
        <v>494</v>
      </c>
      <c r="C4038" s="78">
        <v>7e-5</v>
      </c>
      <c r="D4038" s="78">
        <v>20338.98</v>
      </c>
      <c r="E4038" s="78">
        <f>TRUNC(C4038*D4038,2)</f>
        <v>1.42</v>
      </c>
    </row>
    <row r="4039" spans="1:5">
      <c r="A4039" s="76" t="s">
        <v>122</v>
      </c>
      <c r="B4039" s="77"/>
      <c r="C4039" s="78"/>
      <c r="D4039" s="78"/>
      <c r="E4039" s="78">
        <f>SUM(E4038:E4038)</f>
        <v>1.42</v>
      </c>
    </row>
    <row r="4040" spans="1:5">
      <c r="A4040" s="76"/>
      <c r="B4040" s="77"/>
      <c r="C4040" s="78"/>
      <c r="D4040" s="78"/>
      <c r="E4040" s="78"/>
    </row>
    <row r="4041" spans="1:5">
      <c r="A4041" s="76" t="s">
        <v>2538</v>
      </c>
      <c r="B4041" s="77"/>
      <c r="C4041" s="78"/>
      <c r="D4041" s="78"/>
      <c r="E4041" s="78">
        <f>E4039</f>
        <v>1.42</v>
      </c>
    </row>
    <row r="4042" spans="1:5">
      <c r="A4042" s="76" t="s">
        <v>2539</v>
      </c>
      <c r="B4042" s="77"/>
      <c r="C4042" s="78"/>
      <c r="D4042" s="78">
        <v>0</v>
      </c>
      <c r="E4042" s="78">
        <f>TRUNC(D4042*E4041/100,2)</f>
        <v>0</v>
      </c>
    </row>
    <row r="4043" spans="1:5">
      <c r="A4043" s="76" t="s">
        <v>2540</v>
      </c>
      <c r="B4043" s="77"/>
      <c r="C4043" s="78"/>
      <c r="D4043" s="78"/>
      <c r="E4043" s="78">
        <f>E4041+E4042</f>
        <v>1.42</v>
      </c>
    </row>
    <row r="4044" spans="1:5">
      <c r="A4044" s="76"/>
      <c r="B4044" s="77"/>
      <c r="C4044" s="78"/>
      <c r="D4044" s="78"/>
      <c r="E4044" s="78"/>
    </row>
    <row r="4045" spans="1:5">
      <c r="A4045" s="76" t="s">
        <v>3092</v>
      </c>
      <c r="B4045" s="77" t="s">
        <v>3466</v>
      </c>
      <c r="C4045" s="78"/>
      <c r="D4045" s="78"/>
      <c r="E4045" s="78"/>
    </row>
    <row r="4046" ht="38.25" spans="1:5">
      <c r="A4046" s="76" t="s">
        <v>3467</v>
      </c>
      <c r="B4046" s="77"/>
      <c r="C4046" s="78"/>
      <c r="D4046" s="78"/>
      <c r="E4046" s="78"/>
    </row>
    <row r="4047" spans="1:5">
      <c r="A4047" s="76" t="s">
        <v>3091</v>
      </c>
      <c r="B4047" s="77"/>
      <c r="C4047" s="78"/>
      <c r="D4047" s="78"/>
      <c r="E4047" s="78"/>
    </row>
    <row r="4048" spans="1:5">
      <c r="A4048" s="76"/>
      <c r="B4048" s="77"/>
      <c r="C4048" s="78"/>
      <c r="D4048" s="78"/>
      <c r="E4048" s="78"/>
    </row>
    <row r="4049" spans="1:5">
      <c r="A4049" s="76" t="s">
        <v>2543</v>
      </c>
      <c r="B4049" s="77" t="s">
        <v>135</v>
      </c>
      <c r="C4049" s="78" t="s">
        <v>136</v>
      </c>
      <c r="D4049" s="78" t="s">
        <v>2534</v>
      </c>
      <c r="E4049" s="78" t="s">
        <v>2535</v>
      </c>
    </row>
    <row r="4050" ht="38.25" spans="1:5">
      <c r="A4050" s="76" t="s">
        <v>3453</v>
      </c>
      <c r="B4050" s="77" t="s">
        <v>839</v>
      </c>
      <c r="C4050" s="78">
        <v>1</v>
      </c>
      <c r="D4050" s="78">
        <v>1.3</v>
      </c>
      <c r="E4050" s="78">
        <f>TRUNC(C4050*D4050,2)</f>
        <v>1.3</v>
      </c>
    </row>
    <row r="4051" ht="38.25" spans="1:5">
      <c r="A4051" s="76" t="s">
        <v>3454</v>
      </c>
      <c r="B4051" s="77" t="s">
        <v>839</v>
      </c>
      <c r="C4051" s="78">
        <v>1</v>
      </c>
      <c r="D4051" s="78">
        <v>0.3</v>
      </c>
      <c r="E4051" s="78">
        <f>TRUNC(C4051*D4051,2)</f>
        <v>0.3</v>
      </c>
    </row>
    <row r="4052" spans="1:5">
      <c r="A4052" s="76" t="s">
        <v>122</v>
      </c>
      <c r="B4052" s="77"/>
      <c r="C4052" s="78"/>
      <c r="D4052" s="78"/>
      <c r="E4052" s="78">
        <f>SUM(E4050:E4051)</f>
        <v>1.6</v>
      </c>
    </row>
    <row r="4053" spans="1:5">
      <c r="A4053" s="76"/>
      <c r="B4053" s="77"/>
      <c r="C4053" s="78"/>
      <c r="D4053" s="78"/>
      <c r="E4053" s="78"/>
    </row>
    <row r="4054" spans="1:5">
      <c r="A4054" s="76" t="s">
        <v>2538</v>
      </c>
      <c r="B4054" s="77"/>
      <c r="C4054" s="78"/>
      <c r="D4054" s="78"/>
      <c r="E4054" s="78">
        <f>E4052</f>
        <v>1.6</v>
      </c>
    </row>
    <row r="4055" spans="1:5">
      <c r="A4055" s="76" t="s">
        <v>2539</v>
      </c>
      <c r="B4055" s="77"/>
      <c r="C4055" s="78"/>
      <c r="D4055" s="78">
        <v>0</v>
      </c>
      <c r="E4055" s="78">
        <f>TRUNC(D4055*E4054/100,2)</f>
        <v>0</v>
      </c>
    </row>
    <row r="4056" spans="1:5">
      <c r="A4056" s="76" t="s">
        <v>2540</v>
      </c>
      <c r="B4056" s="77"/>
      <c r="C4056" s="78"/>
      <c r="D4056" s="78"/>
      <c r="E4056" s="78">
        <f>E4054+E4055</f>
        <v>1.6</v>
      </c>
    </row>
    <row r="4057" spans="1:5">
      <c r="A4057" s="76"/>
      <c r="B4057" s="77"/>
      <c r="C4057" s="78"/>
      <c r="D4057" s="78"/>
      <c r="E4057" s="78"/>
    </row>
    <row r="4058" spans="1:5">
      <c r="A4058" s="76" t="s">
        <v>3092</v>
      </c>
      <c r="B4058" s="77" t="s">
        <v>3468</v>
      </c>
      <c r="C4058" s="78"/>
      <c r="D4058" s="78"/>
      <c r="E4058" s="78"/>
    </row>
    <row r="4059" ht="25.5" spans="1:5">
      <c r="A4059" s="76" t="s">
        <v>3469</v>
      </c>
      <c r="B4059" s="77"/>
      <c r="C4059" s="78"/>
      <c r="D4059" s="78"/>
      <c r="E4059" s="78"/>
    </row>
    <row r="4060" spans="1:5">
      <c r="A4060" s="76" t="s">
        <v>2724</v>
      </c>
      <c r="B4060" s="77"/>
      <c r="C4060" s="78"/>
      <c r="D4060" s="78"/>
      <c r="E4060" s="78"/>
    </row>
    <row r="4061" spans="1:5">
      <c r="A4061" s="76"/>
      <c r="B4061" s="77"/>
      <c r="C4061" s="78"/>
      <c r="D4061" s="78"/>
      <c r="E4061" s="78"/>
    </row>
    <row r="4062" spans="1:5">
      <c r="A4062" s="76" t="s">
        <v>2543</v>
      </c>
      <c r="B4062" s="77" t="s">
        <v>135</v>
      </c>
      <c r="C4062" s="78" t="s">
        <v>136</v>
      </c>
      <c r="D4062" s="78" t="s">
        <v>2534</v>
      </c>
      <c r="E4062" s="78" t="s">
        <v>2535</v>
      </c>
    </row>
    <row r="4063" spans="1:5">
      <c r="A4063" s="76" t="s">
        <v>2621</v>
      </c>
      <c r="B4063" s="77" t="s">
        <v>839</v>
      </c>
      <c r="C4063" s="78">
        <v>49.374</v>
      </c>
      <c r="D4063" s="78">
        <v>23.75</v>
      </c>
      <c r="E4063" s="78">
        <f>TRUNC(C4063*D4063,2)</f>
        <v>1172.63</v>
      </c>
    </row>
    <row r="4064" spans="1:5">
      <c r="A4064" s="76" t="s">
        <v>122</v>
      </c>
      <c r="B4064" s="77"/>
      <c r="C4064" s="78"/>
      <c r="D4064" s="78"/>
      <c r="E4064" s="78">
        <f>SUM(E4063:E4063)</f>
        <v>1172.63</v>
      </c>
    </row>
    <row r="4065" spans="1:5">
      <c r="A4065" s="76"/>
      <c r="B4065" s="77"/>
      <c r="C4065" s="78"/>
      <c r="D4065" s="78"/>
      <c r="E4065" s="78"/>
    </row>
    <row r="4066" spans="1:5">
      <c r="A4066" s="76" t="s">
        <v>2538</v>
      </c>
      <c r="B4066" s="77"/>
      <c r="C4066" s="78"/>
      <c r="D4066" s="78"/>
      <c r="E4066" s="78">
        <f>E4064</f>
        <v>1172.63</v>
      </c>
    </row>
    <row r="4067" spans="1:5">
      <c r="A4067" s="76" t="s">
        <v>2539</v>
      </c>
      <c r="B4067" s="77"/>
      <c r="C4067" s="78"/>
      <c r="D4067" s="78">
        <v>0</v>
      </c>
      <c r="E4067" s="78">
        <f>TRUNC(D4067*E4066/100,2)</f>
        <v>0</v>
      </c>
    </row>
    <row r="4068" spans="1:5">
      <c r="A4068" s="76" t="s">
        <v>2540</v>
      </c>
      <c r="B4068" s="77"/>
      <c r="C4068" s="78"/>
      <c r="D4068" s="78"/>
      <c r="E4068" s="78">
        <f>E4066+E4067</f>
        <v>1172.63</v>
      </c>
    </row>
    <row r="4069" spans="1:5">
      <c r="A4069" s="76"/>
      <c r="B4069" s="77"/>
      <c r="C4069" s="78"/>
      <c r="D4069" s="78"/>
      <c r="E4069" s="78"/>
    </row>
    <row r="4070" spans="1:5">
      <c r="A4070" s="76" t="s">
        <v>3092</v>
      </c>
      <c r="B4070" s="77" t="s">
        <v>3470</v>
      </c>
      <c r="C4070" s="78"/>
      <c r="D4070" s="78"/>
      <c r="E4070" s="78"/>
    </row>
    <row r="4071" spans="1:5">
      <c r="A4071" s="76" t="s">
        <v>3471</v>
      </c>
      <c r="B4071" s="77"/>
      <c r="C4071" s="78"/>
      <c r="D4071" s="78"/>
      <c r="E4071" s="78"/>
    </row>
    <row r="4072" spans="1:5">
      <c r="A4072" s="76" t="s">
        <v>3085</v>
      </c>
      <c r="B4072" s="77"/>
      <c r="C4072" s="78"/>
      <c r="D4072" s="78"/>
      <c r="E4072" s="78"/>
    </row>
    <row r="4073" spans="1:5">
      <c r="A4073" s="76"/>
      <c r="B4073" s="77"/>
      <c r="C4073" s="78"/>
      <c r="D4073" s="78"/>
      <c r="E4073" s="78"/>
    </row>
    <row r="4074" spans="1:5">
      <c r="A4074" s="76" t="s">
        <v>2543</v>
      </c>
      <c r="B4074" s="77" t="s">
        <v>135</v>
      </c>
      <c r="C4074" s="78" t="s">
        <v>136</v>
      </c>
      <c r="D4074" s="78" t="s">
        <v>2534</v>
      </c>
      <c r="E4074" s="78" t="s">
        <v>2535</v>
      </c>
    </row>
    <row r="4075" spans="1:5">
      <c r="A4075" s="76" t="s">
        <v>3472</v>
      </c>
      <c r="B4075" s="77" t="s">
        <v>839</v>
      </c>
      <c r="C4075" s="78">
        <v>1</v>
      </c>
      <c r="D4075" s="78">
        <v>3.48</v>
      </c>
      <c r="E4075" s="78">
        <f>TRUNC(C4075*D4075,2)</f>
        <v>3.48</v>
      </c>
    </row>
    <row r="4076" spans="1:5">
      <c r="A4076" s="76" t="s">
        <v>3473</v>
      </c>
      <c r="B4076" s="77" t="s">
        <v>839</v>
      </c>
      <c r="C4076" s="78">
        <v>1</v>
      </c>
      <c r="D4076" s="78">
        <v>1.06</v>
      </c>
      <c r="E4076" s="78">
        <f>TRUNC(C4076*D4076,2)</f>
        <v>1.06</v>
      </c>
    </row>
    <row r="4077" spans="1:5">
      <c r="A4077" s="76" t="s">
        <v>3474</v>
      </c>
      <c r="B4077" s="77" t="s">
        <v>839</v>
      </c>
      <c r="C4077" s="78">
        <v>1</v>
      </c>
      <c r="D4077" s="78">
        <v>0.42</v>
      </c>
      <c r="E4077" s="78">
        <f>TRUNC(C4077*D4077,2)</f>
        <v>0.42</v>
      </c>
    </row>
    <row r="4078" spans="1:5">
      <c r="A4078" s="76" t="s">
        <v>3475</v>
      </c>
      <c r="B4078" s="77" t="s">
        <v>839</v>
      </c>
      <c r="C4078" s="78">
        <v>1</v>
      </c>
      <c r="D4078" s="78">
        <v>28.42</v>
      </c>
      <c r="E4078" s="78">
        <f>TRUNC(C4078*D4078,2)</f>
        <v>28.42</v>
      </c>
    </row>
    <row r="4079" spans="1:5">
      <c r="A4079" s="76" t="s">
        <v>3476</v>
      </c>
      <c r="B4079" s="77" t="s">
        <v>839</v>
      </c>
      <c r="C4079" s="78">
        <v>1</v>
      </c>
      <c r="D4079" s="78">
        <v>4.36</v>
      </c>
      <c r="E4079" s="78">
        <f>TRUNC(C4079*D4079,2)</f>
        <v>4.36</v>
      </c>
    </row>
    <row r="4080" spans="1:5">
      <c r="A4080" s="76" t="s">
        <v>122</v>
      </c>
      <c r="B4080" s="77"/>
      <c r="C4080" s="78"/>
      <c r="D4080" s="78"/>
      <c r="E4080" s="78">
        <f>SUM(E4075:E4079)</f>
        <v>37.74</v>
      </c>
    </row>
    <row r="4081" spans="1:5">
      <c r="A4081" s="76"/>
      <c r="B4081" s="77"/>
      <c r="C4081" s="78"/>
      <c r="D4081" s="78"/>
      <c r="E4081" s="78"/>
    </row>
    <row r="4082" spans="1:5">
      <c r="A4082" s="76" t="s">
        <v>2538</v>
      </c>
      <c r="B4082" s="77"/>
      <c r="C4082" s="78"/>
      <c r="D4082" s="78"/>
      <c r="E4082" s="78">
        <f>E4080</f>
        <v>37.74</v>
      </c>
    </row>
    <row r="4083" spans="1:5">
      <c r="A4083" s="76" t="s">
        <v>2539</v>
      </c>
      <c r="B4083" s="77"/>
      <c r="C4083" s="78"/>
      <c r="D4083" s="78">
        <v>0</v>
      </c>
      <c r="E4083" s="78">
        <f>TRUNC(D4083*E4082/100,2)</f>
        <v>0</v>
      </c>
    </row>
    <row r="4084" spans="1:5">
      <c r="A4084" s="76" t="s">
        <v>2540</v>
      </c>
      <c r="B4084" s="77"/>
      <c r="C4084" s="78"/>
      <c r="D4084" s="78"/>
      <c r="E4084" s="78">
        <f>E4082+E4083</f>
        <v>37.74</v>
      </c>
    </row>
    <row r="4085" spans="1:5">
      <c r="A4085" s="76"/>
      <c r="B4085" s="77"/>
      <c r="C4085" s="78"/>
      <c r="D4085" s="78"/>
      <c r="E4085" s="78"/>
    </row>
    <row r="4086" spans="1:5">
      <c r="A4086" s="76" t="s">
        <v>3092</v>
      </c>
      <c r="B4086" s="77" t="s">
        <v>3477</v>
      </c>
      <c r="C4086" s="78"/>
      <c r="D4086" s="78"/>
      <c r="E4086" s="78"/>
    </row>
    <row r="4087" spans="1:5">
      <c r="A4087" s="76" t="s">
        <v>3478</v>
      </c>
      <c r="B4087" s="77"/>
      <c r="C4087" s="78"/>
      <c r="D4087" s="78"/>
      <c r="E4087" s="78"/>
    </row>
    <row r="4088" spans="1:5">
      <c r="A4088" s="76" t="s">
        <v>2764</v>
      </c>
      <c r="B4088" s="77"/>
      <c r="C4088" s="78"/>
      <c r="D4088" s="78"/>
      <c r="E4088" s="78"/>
    </row>
    <row r="4089" spans="1:5">
      <c r="A4089" s="76"/>
      <c r="B4089" s="77"/>
      <c r="C4089" s="78"/>
      <c r="D4089" s="78"/>
      <c r="E4089" s="78"/>
    </row>
    <row r="4090" spans="1:5">
      <c r="A4090" s="76" t="s">
        <v>2543</v>
      </c>
      <c r="B4090" s="77" t="s">
        <v>135</v>
      </c>
      <c r="C4090" s="78" t="s">
        <v>136</v>
      </c>
      <c r="D4090" s="78" t="s">
        <v>2534</v>
      </c>
      <c r="E4090" s="78" t="s">
        <v>2535</v>
      </c>
    </row>
    <row r="4091" spans="1:5">
      <c r="A4091" s="76" t="s">
        <v>3479</v>
      </c>
      <c r="B4091" s="77" t="s">
        <v>494</v>
      </c>
      <c r="C4091" s="78">
        <v>4.788e-5</v>
      </c>
      <c r="D4091" s="78">
        <v>72890</v>
      </c>
      <c r="E4091" s="78">
        <f>TRUNC(C4091*D4091,2)</f>
        <v>3.48</v>
      </c>
    </row>
    <row r="4092" spans="1:5">
      <c r="A4092" s="76" t="s">
        <v>122</v>
      </c>
      <c r="B4092" s="77"/>
      <c r="C4092" s="78"/>
      <c r="D4092" s="78"/>
      <c r="E4092" s="78">
        <f>SUM(E4091:E4091)</f>
        <v>3.48</v>
      </c>
    </row>
    <row r="4093" spans="1:5">
      <c r="A4093" s="76"/>
      <c r="B4093" s="77"/>
      <c r="C4093" s="78"/>
      <c r="D4093" s="78"/>
      <c r="E4093" s="78"/>
    </row>
    <row r="4094" spans="1:5">
      <c r="A4094" s="76" t="s">
        <v>2538</v>
      </c>
      <c r="B4094" s="77"/>
      <c r="C4094" s="78"/>
      <c r="D4094" s="78"/>
      <c r="E4094" s="78">
        <f>E4092</f>
        <v>3.48</v>
      </c>
    </row>
    <row r="4095" spans="1:5">
      <c r="A4095" s="76" t="s">
        <v>2539</v>
      </c>
      <c r="B4095" s="77"/>
      <c r="C4095" s="78"/>
      <c r="D4095" s="78">
        <v>0</v>
      </c>
      <c r="E4095" s="78">
        <f>TRUNC(D4095*E4094/100,2)</f>
        <v>0</v>
      </c>
    </row>
    <row r="4096" spans="1:5">
      <c r="A4096" s="76" t="s">
        <v>2540</v>
      </c>
      <c r="B4096" s="77"/>
      <c r="C4096" s="78"/>
      <c r="D4096" s="78"/>
      <c r="E4096" s="78">
        <f>E4094+E4095</f>
        <v>3.48</v>
      </c>
    </row>
    <row r="4097" spans="1:5">
      <c r="A4097" s="76"/>
      <c r="B4097" s="77"/>
      <c r="C4097" s="78"/>
      <c r="D4097" s="78"/>
      <c r="E4097" s="78"/>
    </row>
    <row r="4098" spans="1:5">
      <c r="A4098" s="76" t="s">
        <v>3092</v>
      </c>
      <c r="B4098" s="77" t="s">
        <v>3480</v>
      </c>
      <c r="C4098" s="78"/>
      <c r="D4098" s="78"/>
      <c r="E4098" s="78"/>
    </row>
    <row r="4099" spans="1:5">
      <c r="A4099" s="76" t="s">
        <v>3481</v>
      </c>
      <c r="B4099" s="77"/>
      <c r="C4099" s="78"/>
      <c r="D4099" s="78"/>
      <c r="E4099" s="78"/>
    </row>
    <row r="4100" spans="1:5">
      <c r="A4100" s="76" t="s">
        <v>2764</v>
      </c>
      <c r="B4100" s="77"/>
      <c r="C4100" s="78"/>
      <c r="D4100" s="78"/>
      <c r="E4100" s="78"/>
    </row>
    <row r="4101" spans="1:5">
      <c r="A4101" s="76"/>
      <c r="B4101" s="77"/>
      <c r="C4101" s="78"/>
      <c r="D4101" s="78"/>
      <c r="E4101" s="78"/>
    </row>
    <row r="4102" spans="1:5">
      <c r="A4102" s="76" t="s">
        <v>2543</v>
      </c>
      <c r="B4102" s="77" t="s">
        <v>135</v>
      </c>
      <c r="C4102" s="78" t="s">
        <v>136</v>
      </c>
      <c r="D4102" s="78" t="s">
        <v>2534</v>
      </c>
      <c r="E4102" s="78" t="s">
        <v>2535</v>
      </c>
    </row>
    <row r="4103" spans="1:5">
      <c r="A4103" s="76" t="s">
        <v>3479</v>
      </c>
      <c r="B4103" s="77" t="s">
        <v>494</v>
      </c>
      <c r="C4103" s="78">
        <v>1.467e-5</v>
      </c>
      <c r="D4103" s="78">
        <v>72890</v>
      </c>
      <c r="E4103" s="78">
        <f>TRUNC(C4103*D4103,2)</f>
        <v>1.06</v>
      </c>
    </row>
    <row r="4104" spans="1:5">
      <c r="A4104" s="76" t="s">
        <v>122</v>
      </c>
      <c r="B4104" s="77"/>
      <c r="C4104" s="78"/>
      <c r="D4104" s="78"/>
      <c r="E4104" s="78">
        <f>SUM(E4103:E4103)</f>
        <v>1.06</v>
      </c>
    </row>
    <row r="4105" spans="1:5">
      <c r="A4105" s="76"/>
      <c r="B4105" s="77"/>
      <c r="C4105" s="78"/>
      <c r="D4105" s="78"/>
      <c r="E4105" s="78"/>
    </row>
    <row r="4106" spans="1:5">
      <c r="A4106" s="76" t="s">
        <v>2538</v>
      </c>
      <c r="B4106" s="77"/>
      <c r="C4106" s="78"/>
      <c r="D4106" s="78"/>
      <c r="E4106" s="78">
        <f>E4104</f>
        <v>1.06</v>
      </c>
    </row>
    <row r="4107" spans="1:5">
      <c r="A4107" s="76" t="s">
        <v>2539</v>
      </c>
      <c r="B4107" s="77"/>
      <c r="C4107" s="78"/>
      <c r="D4107" s="78">
        <v>0</v>
      </c>
      <c r="E4107" s="78">
        <f>TRUNC(D4107*E4106/100,2)</f>
        <v>0</v>
      </c>
    </row>
    <row r="4108" spans="1:5">
      <c r="A4108" s="76" t="s">
        <v>2540</v>
      </c>
      <c r="B4108" s="77"/>
      <c r="C4108" s="78"/>
      <c r="D4108" s="78"/>
      <c r="E4108" s="78">
        <f>E4106+E4107</f>
        <v>1.06</v>
      </c>
    </row>
    <row r="4109" spans="1:5">
      <c r="A4109" s="76"/>
      <c r="B4109" s="77"/>
      <c r="C4109" s="78"/>
      <c r="D4109" s="78"/>
      <c r="E4109" s="78"/>
    </row>
    <row r="4110" spans="1:5">
      <c r="A4110" s="76" t="s">
        <v>3092</v>
      </c>
      <c r="B4110" s="77" t="s">
        <v>3482</v>
      </c>
      <c r="C4110" s="78"/>
      <c r="D4110" s="78"/>
      <c r="E4110" s="78"/>
    </row>
    <row r="4111" spans="1:5">
      <c r="A4111" s="76" t="s">
        <v>3483</v>
      </c>
      <c r="B4111" s="77"/>
      <c r="C4111" s="78"/>
      <c r="D4111" s="78"/>
      <c r="E4111" s="78"/>
    </row>
    <row r="4112" spans="1:5">
      <c r="A4112" s="76" t="s">
        <v>2764</v>
      </c>
      <c r="B4112" s="77"/>
      <c r="C4112" s="78"/>
      <c r="D4112" s="78"/>
      <c r="E4112" s="78"/>
    </row>
    <row r="4113" spans="1:5">
      <c r="A4113" s="76"/>
      <c r="B4113" s="77"/>
      <c r="C4113" s="78"/>
      <c r="D4113" s="78"/>
      <c r="E4113" s="78"/>
    </row>
    <row r="4114" spans="1:5">
      <c r="A4114" s="76" t="s">
        <v>2543</v>
      </c>
      <c r="B4114" s="77" t="s">
        <v>135</v>
      </c>
      <c r="C4114" s="78" t="s">
        <v>136</v>
      </c>
      <c r="D4114" s="78" t="s">
        <v>2534</v>
      </c>
      <c r="E4114" s="78" t="s">
        <v>2535</v>
      </c>
    </row>
    <row r="4115" spans="1:5">
      <c r="A4115" s="76" t="s">
        <v>3479</v>
      </c>
      <c r="B4115" s="77" t="s">
        <v>494</v>
      </c>
      <c r="C4115" s="78">
        <v>5.89e-6</v>
      </c>
      <c r="D4115" s="78">
        <v>72890</v>
      </c>
      <c r="E4115" s="78">
        <f>TRUNC(C4115*D4115,2)</f>
        <v>0.42</v>
      </c>
    </row>
    <row r="4116" spans="1:5">
      <c r="A4116" s="76" t="s">
        <v>122</v>
      </c>
      <c r="B4116" s="77"/>
      <c r="C4116" s="78"/>
      <c r="D4116" s="78"/>
      <c r="E4116" s="78">
        <f>SUM(E4115:E4115)</f>
        <v>0.42</v>
      </c>
    </row>
    <row r="4117" spans="1:5">
      <c r="A4117" s="76"/>
      <c r="B4117" s="77"/>
      <c r="C4117" s="78"/>
      <c r="D4117" s="78"/>
      <c r="E4117" s="78"/>
    </row>
    <row r="4118" spans="1:5">
      <c r="A4118" s="76" t="s">
        <v>2538</v>
      </c>
      <c r="B4118" s="77"/>
      <c r="C4118" s="78"/>
      <c r="D4118" s="78"/>
      <c r="E4118" s="78">
        <f>E4116</f>
        <v>0.42</v>
      </c>
    </row>
    <row r="4119" spans="1:5">
      <c r="A4119" s="76" t="s">
        <v>2539</v>
      </c>
      <c r="B4119" s="77"/>
      <c r="C4119" s="78"/>
      <c r="D4119" s="78">
        <v>0</v>
      </c>
      <c r="E4119" s="78">
        <f>TRUNC(D4119*E4118/100,2)</f>
        <v>0</v>
      </c>
    </row>
    <row r="4120" spans="1:5">
      <c r="A4120" s="76" t="s">
        <v>2540</v>
      </c>
      <c r="B4120" s="77"/>
      <c r="C4120" s="78"/>
      <c r="D4120" s="78"/>
      <c r="E4120" s="78">
        <f>E4118+E4119</f>
        <v>0.42</v>
      </c>
    </row>
    <row r="4121" spans="1:5">
      <c r="A4121" s="76"/>
      <c r="B4121" s="77"/>
      <c r="C4121" s="78"/>
      <c r="D4121" s="78"/>
      <c r="E4121" s="78"/>
    </row>
    <row r="4122" spans="1:5">
      <c r="A4122" s="76" t="s">
        <v>3092</v>
      </c>
      <c r="B4122" s="77" t="s">
        <v>3484</v>
      </c>
      <c r="C4122" s="78"/>
      <c r="D4122" s="78"/>
      <c r="E4122" s="78"/>
    </row>
    <row r="4123" spans="1:5">
      <c r="A4123" s="76" t="s">
        <v>3485</v>
      </c>
      <c r="B4123" s="77"/>
      <c r="C4123" s="78"/>
      <c r="D4123" s="78"/>
      <c r="E4123" s="78"/>
    </row>
    <row r="4124" spans="1:5">
      <c r="A4124" s="76" t="s">
        <v>2764</v>
      </c>
      <c r="B4124" s="77"/>
      <c r="C4124" s="78"/>
      <c r="D4124" s="78"/>
      <c r="E4124" s="78"/>
    </row>
    <row r="4125" spans="1:5">
      <c r="A4125" s="76"/>
      <c r="B4125" s="77"/>
      <c r="C4125" s="78"/>
      <c r="D4125" s="78"/>
      <c r="E4125" s="78"/>
    </row>
    <row r="4126" spans="1:5">
      <c r="A4126" s="76" t="s">
        <v>2543</v>
      </c>
      <c r="B4126" s="77" t="s">
        <v>135</v>
      </c>
      <c r="C4126" s="78" t="s">
        <v>136</v>
      </c>
      <c r="D4126" s="78" t="s">
        <v>2534</v>
      </c>
      <c r="E4126" s="78" t="s">
        <v>2535</v>
      </c>
    </row>
    <row r="4127" spans="1:5">
      <c r="A4127" s="76" t="s">
        <v>3366</v>
      </c>
      <c r="B4127" s="77" t="s">
        <v>215</v>
      </c>
      <c r="C4127" s="78">
        <v>4.77</v>
      </c>
      <c r="D4127" s="78">
        <v>5.96</v>
      </c>
      <c r="E4127" s="78">
        <f>TRUNC(C4127*D4127,2)</f>
        <v>28.42</v>
      </c>
    </row>
    <row r="4128" spans="1:5">
      <c r="A4128" s="76" t="s">
        <v>122</v>
      </c>
      <c r="B4128" s="77"/>
      <c r="C4128" s="78"/>
      <c r="D4128" s="78"/>
      <c r="E4128" s="78">
        <f>SUM(E4127:E4127)</f>
        <v>28.42</v>
      </c>
    </row>
    <row r="4129" spans="1:5">
      <c r="A4129" s="76"/>
      <c r="B4129" s="77"/>
      <c r="C4129" s="78"/>
      <c r="D4129" s="78"/>
      <c r="E4129" s="78"/>
    </row>
    <row r="4130" spans="1:5">
      <c r="A4130" s="76" t="s">
        <v>2538</v>
      </c>
      <c r="B4130" s="77"/>
      <c r="C4130" s="78"/>
      <c r="D4130" s="78"/>
      <c r="E4130" s="78">
        <f>E4128</f>
        <v>28.42</v>
      </c>
    </row>
    <row r="4131" spans="1:5">
      <c r="A4131" s="76" t="s">
        <v>2539</v>
      </c>
      <c r="B4131" s="77"/>
      <c r="C4131" s="78"/>
      <c r="D4131" s="78">
        <v>0</v>
      </c>
      <c r="E4131" s="78">
        <f>TRUNC(D4131*E4130/100,2)</f>
        <v>0</v>
      </c>
    </row>
    <row r="4132" spans="1:5">
      <c r="A4132" s="76" t="s">
        <v>2540</v>
      </c>
      <c r="B4132" s="77"/>
      <c r="C4132" s="78"/>
      <c r="D4132" s="78"/>
      <c r="E4132" s="78">
        <f>E4130+E4131</f>
        <v>28.42</v>
      </c>
    </row>
    <row r="4133" spans="1:5">
      <c r="A4133" s="76"/>
      <c r="B4133" s="77"/>
      <c r="C4133" s="78"/>
      <c r="D4133" s="78"/>
      <c r="E4133" s="78"/>
    </row>
    <row r="4134" spans="1:5">
      <c r="A4134" s="76" t="s">
        <v>3092</v>
      </c>
      <c r="B4134" s="77" t="s">
        <v>3486</v>
      </c>
      <c r="C4134" s="78"/>
      <c r="D4134" s="78"/>
      <c r="E4134" s="78"/>
    </row>
    <row r="4135" spans="1:5">
      <c r="A4135" s="76" t="s">
        <v>3487</v>
      </c>
      <c r="B4135" s="77"/>
      <c r="C4135" s="78"/>
      <c r="D4135" s="78"/>
      <c r="E4135" s="78"/>
    </row>
    <row r="4136" spans="1:5">
      <c r="A4136" s="76" t="s">
        <v>2764</v>
      </c>
      <c r="B4136" s="77"/>
      <c r="C4136" s="78"/>
      <c r="D4136" s="78"/>
      <c r="E4136" s="78"/>
    </row>
    <row r="4137" spans="1:5">
      <c r="A4137" s="76"/>
      <c r="B4137" s="77"/>
      <c r="C4137" s="78"/>
      <c r="D4137" s="78"/>
      <c r="E4137" s="78"/>
    </row>
    <row r="4138" spans="1:5">
      <c r="A4138" s="76" t="s">
        <v>2543</v>
      </c>
      <c r="B4138" s="77" t="s">
        <v>135</v>
      </c>
      <c r="C4138" s="78" t="s">
        <v>136</v>
      </c>
      <c r="D4138" s="78" t="s">
        <v>2534</v>
      </c>
      <c r="E4138" s="78" t="s">
        <v>2535</v>
      </c>
    </row>
    <row r="4139" spans="1:5">
      <c r="A4139" s="76" t="s">
        <v>3479</v>
      </c>
      <c r="B4139" s="77" t="s">
        <v>494</v>
      </c>
      <c r="C4139" s="78">
        <v>5.995e-5</v>
      </c>
      <c r="D4139" s="78">
        <v>72890</v>
      </c>
      <c r="E4139" s="78">
        <f>TRUNC(C4139*D4139,2)</f>
        <v>4.36</v>
      </c>
    </row>
    <row r="4140" spans="1:5">
      <c r="A4140" s="76" t="s">
        <v>122</v>
      </c>
      <c r="B4140" s="77"/>
      <c r="C4140" s="78"/>
      <c r="D4140" s="78"/>
      <c r="E4140" s="78">
        <f>SUM(E4139:E4139)</f>
        <v>4.36</v>
      </c>
    </row>
    <row r="4141" spans="1:5">
      <c r="A4141" s="76"/>
      <c r="B4141" s="77"/>
      <c r="C4141" s="78"/>
      <c r="D4141" s="78"/>
      <c r="E4141" s="78"/>
    </row>
    <row r="4142" spans="1:5">
      <c r="A4142" s="76" t="s">
        <v>2538</v>
      </c>
      <c r="B4142" s="77"/>
      <c r="C4142" s="78"/>
      <c r="D4142" s="78"/>
      <c r="E4142" s="78">
        <f>E4140</f>
        <v>4.36</v>
      </c>
    </row>
    <row r="4143" spans="1:5">
      <c r="A4143" s="76" t="s">
        <v>2539</v>
      </c>
      <c r="B4143" s="77"/>
      <c r="C4143" s="78"/>
      <c r="D4143" s="78">
        <v>0</v>
      </c>
      <c r="E4143" s="78">
        <f>TRUNC(D4143*E4142/100,2)</f>
        <v>0</v>
      </c>
    </row>
    <row r="4144" spans="1:5">
      <c r="A4144" s="76" t="s">
        <v>2540</v>
      </c>
      <c r="B4144" s="77"/>
      <c r="C4144" s="78"/>
      <c r="D4144" s="78"/>
      <c r="E4144" s="78">
        <f>E4142+E4143</f>
        <v>4.36</v>
      </c>
    </row>
    <row r="4145" spans="1:5">
      <c r="A4145" s="76"/>
      <c r="B4145" s="77"/>
      <c r="C4145" s="78"/>
      <c r="D4145" s="78"/>
      <c r="E4145" s="78"/>
    </row>
    <row r="4146" spans="1:5">
      <c r="A4146" s="76" t="s">
        <v>3092</v>
      </c>
      <c r="B4146" s="77" t="s">
        <v>3488</v>
      </c>
      <c r="C4146" s="78"/>
      <c r="D4146" s="78"/>
      <c r="E4146" s="78"/>
    </row>
    <row r="4147" ht="25.5" spans="1:5">
      <c r="A4147" s="76" t="s">
        <v>3489</v>
      </c>
      <c r="B4147" s="77"/>
      <c r="C4147" s="78"/>
      <c r="D4147" s="78"/>
      <c r="E4147" s="78"/>
    </row>
    <row r="4148" spans="1:5">
      <c r="A4148" s="76" t="s">
        <v>2733</v>
      </c>
      <c r="B4148" s="77"/>
      <c r="C4148" s="78"/>
      <c r="D4148" s="78"/>
      <c r="E4148" s="78"/>
    </row>
    <row r="4149" spans="1:5">
      <c r="A4149" s="76"/>
      <c r="B4149" s="77"/>
      <c r="C4149" s="78"/>
      <c r="D4149" s="78"/>
      <c r="E4149" s="78"/>
    </row>
    <row r="4150" spans="1:5">
      <c r="A4150" s="76" t="s">
        <v>2543</v>
      </c>
      <c r="B4150" s="77" t="s">
        <v>135</v>
      </c>
      <c r="C4150" s="78" t="s">
        <v>136</v>
      </c>
      <c r="D4150" s="78" t="s">
        <v>2534</v>
      </c>
      <c r="E4150" s="78" t="s">
        <v>2535</v>
      </c>
    </row>
    <row r="4151" ht="38.25" spans="1:5">
      <c r="A4151" s="76" t="s">
        <v>2995</v>
      </c>
      <c r="B4151" s="77" t="s">
        <v>977</v>
      </c>
      <c r="C4151" s="78">
        <v>0.0037</v>
      </c>
      <c r="D4151" s="78">
        <v>217.3</v>
      </c>
      <c r="E4151" s="78">
        <f>TRUNC(C4151*D4151,2)</f>
        <v>0.8</v>
      </c>
    </row>
    <row r="4152" ht="51" spans="1:5">
      <c r="A4152" s="76" t="s">
        <v>3490</v>
      </c>
      <c r="B4152" s="77" t="s">
        <v>979</v>
      </c>
      <c r="C4152" s="78">
        <v>0.0016</v>
      </c>
      <c r="D4152" s="78">
        <v>63.01</v>
      </c>
      <c r="E4152" s="78">
        <f>TRUNC(C4152*D4152,2)</f>
        <v>0.1</v>
      </c>
    </row>
    <row r="4153" spans="1:5">
      <c r="A4153" s="76" t="s">
        <v>122</v>
      </c>
      <c r="B4153" s="77"/>
      <c r="C4153" s="78"/>
      <c r="D4153" s="78"/>
      <c r="E4153" s="78">
        <f>SUM(E4151:E4152)</f>
        <v>0.9</v>
      </c>
    </row>
    <row r="4154" spans="1:5">
      <c r="A4154" s="76"/>
      <c r="B4154" s="77"/>
      <c r="C4154" s="78"/>
      <c r="D4154" s="78"/>
      <c r="E4154" s="78"/>
    </row>
    <row r="4155" spans="1:5">
      <c r="A4155" s="76" t="s">
        <v>2538</v>
      </c>
      <c r="B4155" s="77"/>
      <c r="C4155" s="78"/>
      <c r="D4155" s="78"/>
      <c r="E4155" s="78">
        <f>E4153</f>
        <v>0.9</v>
      </c>
    </row>
    <row r="4156" spans="1:5">
      <c r="A4156" s="76" t="s">
        <v>2539</v>
      </c>
      <c r="B4156" s="77"/>
      <c r="C4156" s="78"/>
      <c r="D4156" s="78">
        <v>0</v>
      </c>
      <c r="E4156" s="78">
        <f>TRUNC(D4156*E4155/100,2)</f>
        <v>0</v>
      </c>
    </row>
    <row r="4157" spans="1:5">
      <c r="A4157" s="76" t="s">
        <v>2540</v>
      </c>
      <c r="B4157" s="77"/>
      <c r="C4157" s="78"/>
      <c r="D4157" s="78"/>
      <c r="E4157" s="78">
        <f>E4155+E4156</f>
        <v>0.9</v>
      </c>
    </row>
    <row r="4158" spans="1:5">
      <c r="A4158" s="76"/>
      <c r="B4158" s="77"/>
      <c r="C4158" s="78"/>
      <c r="D4158" s="78"/>
      <c r="E4158" s="78"/>
    </row>
    <row r="4159" spans="1:5">
      <c r="A4159" s="76" t="s">
        <v>3092</v>
      </c>
      <c r="B4159" s="77" t="s">
        <v>3491</v>
      </c>
      <c r="C4159" s="78"/>
      <c r="D4159" s="78"/>
      <c r="E4159" s="78"/>
    </row>
    <row r="4160" ht="38.25" spans="1:5">
      <c r="A4160" s="76" t="s">
        <v>3492</v>
      </c>
      <c r="B4160" s="77"/>
      <c r="C4160" s="78"/>
      <c r="D4160" s="78"/>
      <c r="E4160" s="78"/>
    </row>
    <row r="4161" spans="1:5">
      <c r="A4161" s="76" t="s">
        <v>3085</v>
      </c>
      <c r="B4161" s="77"/>
      <c r="C4161" s="78"/>
      <c r="D4161" s="78"/>
      <c r="E4161" s="78"/>
    </row>
    <row r="4162" spans="1:5">
      <c r="A4162" s="76"/>
      <c r="B4162" s="77"/>
      <c r="C4162" s="78"/>
      <c r="D4162" s="78"/>
      <c r="E4162" s="78"/>
    </row>
    <row r="4163" spans="1:5">
      <c r="A4163" s="76" t="s">
        <v>2543</v>
      </c>
      <c r="B4163" s="77" t="s">
        <v>135</v>
      </c>
      <c r="C4163" s="78" t="s">
        <v>136</v>
      </c>
      <c r="D4163" s="78" t="s">
        <v>2534</v>
      </c>
      <c r="E4163" s="78" t="s">
        <v>2535</v>
      </c>
    </row>
    <row r="4164" spans="1:5">
      <c r="A4164" s="76" t="s">
        <v>3183</v>
      </c>
      <c r="B4164" s="77" t="s">
        <v>839</v>
      </c>
      <c r="C4164" s="78">
        <v>1</v>
      </c>
      <c r="D4164" s="78">
        <v>29.8</v>
      </c>
      <c r="E4164" s="78">
        <f t="shared" ref="E4164:E4169" si="45">TRUNC(C4164*D4164,2)</f>
        <v>29.8</v>
      </c>
    </row>
    <row r="4165" ht="51" spans="1:5">
      <c r="A4165" s="76" t="s">
        <v>3493</v>
      </c>
      <c r="B4165" s="77" t="s">
        <v>839</v>
      </c>
      <c r="C4165" s="78">
        <v>1</v>
      </c>
      <c r="D4165" s="78">
        <v>115.45</v>
      </c>
      <c r="E4165" s="78">
        <f t="shared" si="45"/>
        <v>115.45</v>
      </c>
    </row>
    <row r="4166" ht="51" spans="1:5">
      <c r="A4166" s="76" t="s">
        <v>3494</v>
      </c>
      <c r="B4166" s="77" t="s">
        <v>839</v>
      </c>
      <c r="C4166" s="78">
        <v>1</v>
      </c>
      <c r="D4166" s="78">
        <v>38.84</v>
      </c>
      <c r="E4166" s="78">
        <f t="shared" si="45"/>
        <v>38.84</v>
      </c>
    </row>
    <row r="4167" ht="51" spans="1:5">
      <c r="A4167" s="76" t="s">
        <v>3495</v>
      </c>
      <c r="B4167" s="77" t="s">
        <v>839</v>
      </c>
      <c r="C4167" s="78">
        <v>1</v>
      </c>
      <c r="D4167" s="78">
        <v>21.3</v>
      </c>
      <c r="E4167" s="78">
        <f t="shared" si="45"/>
        <v>21.3</v>
      </c>
    </row>
    <row r="4168" ht="51" spans="1:5">
      <c r="A4168" s="76" t="s">
        <v>3496</v>
      </c>
      <c r="B4168" s="77" t="s">
        <v>839</v>
      </c>
      <c r="C4168" s="78">
        <v>1</v>
      </c>
      <c r="D4168" s="78">
        <v>8.49</v>
      </c>
      <c r="E4168" s="78">
        <f t="shared" si="45"/>
        <v>8.49</v>
      </c>
    </row>
    <row r="4169" ht="51" spans="1:5">
      <c r="A4169" s="76" t="s">
        <v>3497</v>
      </c>
      <c r="B4169" s="77" t="s">
        <v>839</v>
      </c>
      <c r="C4169" s="78">
        <v>1</v>
      </c>
      <c r="D4169" s="78">
        <v>3.42</v>
      </c>
      <c r="E4169" s="78">
        <f t="shared" si="45"/>
        <v>3.42</v>
      </c>
    </row>
    <row r="4170" spans="1:5">
      <c r="A4170" s="76" t="s">
        <v>122</v>
      </c>
      <c r="B4170" s="77"/>
      <c r="C4170" s="78"/>
      <c r="D4170" s="78"/>
      <c r="E4170" s="78">
        <f>SUM(E4164:E4169)</f>
        <v>217.3</v>
      </c>
    </row>
    <row r="4171" spans="1:5">
      <c r="A4171" s="76"/>
      <c r="B4171" s="77"/>
      <c r="C4171" s="78"/>
      <c r="D4171" s="78"/>
      <c r="E4171" s="78"/>
    </row>
    <row r="4172" spans="1:5">
      <c r="A4172" s="76" t="s">
        <v>2538</v>
      </c>
      <c r="B4172" s="77"/>
      <c r="C4172" s="78"/>
      <c r="D4172" s="78"/>
      <c r="E4172" s="78">
        <f>E4170</f>
        <v>217.3</v>
      </c>
    </row>
    <row r="4173" spans="1:5">
      <c r="A4173" s="76" t="s">
        <v>2539</v>
      </c>
      <c r="B4173" s="77"/>
      <c r="C4173" s="78"/>
      <c r="D4173" s="78">
        <v>0</v>
      </c>
      <c r="E4173" s="78">
        <f>TRUNC(D4173*E4172/100,2)</f>
        <v>0</v>
      </c>
    </row>
    <row r="4174" spans="1:5">
      <c r="A4174" s="76" t="s">
        <v>2540</v>
      </c>
      <c r="B4174" s="77"/>
      <c r="C4174" s="78"/>
      <c r="D4174" s="78"/>
      <c r="E4174" s="78">
        <f>E4172+E4173</f>
        <v>217.3</v>
      </c>
    </row>
    <row r="4175" spans="1:5">
      <c r="A4175" s="76"/>
      <c r="B4175" s="77"/>
      <c r="C4175" s="78"/>
      <c r="D4175" s="78"/>
      <c r="E4175" s="78"/>
    </row>
    <row r="4176" spans="1:5">
      <c r="A4176" s="76" t="s">
        <v>3092</v>
      </c>
      <c r="B4176" s="77" t="s">
        <v>3498</v>
      </c>
      <c r="C4176" s="78"/>
      <c r="D4176" s="78"/>
      <c r="E4176" s="78"/>
    </row>
    <row r="4177" ht="51" spans="1:5">
      <c r="A4177" s="76" t="s">
        <v>3499</v>
      </c>
      <c r="B4177" s="77"/>
      <c r="C4177" s="78"/>
      <c r="D4177" s="78"/>
      <c r="E4177" s="78"/>
    </row>
    <row r="4178" spans="1:5">
      <c r="A4178" s="76" t="s">
        <v>2764</v>
      </c>
      <c r="B4178" s="77"/>
      <c r="C4178" s="78"/>
      <c r="D4178" s="78"/>
      <c r="E4178" s="78"/>
    </row>
    <row r="4179" spans="1:5">
      <c r="A4179" s="76"/>
      <c r="B4179" s="77"/>
      <c r="C4179" s="78"/>
      <c r="D4179" s="78"/>
      <c r="E4179" s="78"/>
    </row>
    <row r="4180" spans="1:5">
      <c r="A4180" s="76" t="s">
        <v>2543</v>
      </c>
      <c r="B4180" s="77" t="s">
        <v>135</v>
      </c>
      <c r="C4180" s="78" t="s">
        <v>136</v>
      </c>
      <c r="D4180" s="78" t="s">
        <v>2534</v>
      </c>
      <c r="E4180" s="78" t="s">
        <v>2535</v>
      </c>
    </row>
    <row r="4181" spans="1:5">
      <c r="A4181" s="76" t="s">
        <v>3202</v>
      </c>
      <c r="B4181" s="77" t="s">
        <v>215</v>
      </c>
      <c r="C4181" s="78">
        <v>19.47</v>
      </c>
      <c r="D4181" s="78">
        <v>5.93</v>
      </c>
      <c r="E4181" s="78">
        <f>TRUNC(C4181*D4181,2)</f>
        <v>115.45</v>
      </c>
    </row>
    <row r="4182" spans="1:5">
      <c r="A4182" s="76" t="s">
        <v>122</v>
      </c>
      <c r="B4182" s="77"/>
      <c r="C4182" s="78"/>
      <c r="D4182" s="78"/>
      <c r="E4182" s="78">
        <f>SUM(E4181:E4181)</f>
        <v>115.45</v>
      </c>
    </row>
    <row r="4183" spans="1:5">
      <c r="A4183" s="76"/>
      <c r="B4183" s="77"/>
      <c r="C4183" s="78"/>
      <c r="D4183" s="78"/>
      <c r="E4183" s="78"/>
    </row>
    <row r="4184" spans="1:5">
      <c r="A4184" s="76" t="s">
        <v>2538</v>
      </c>
      <c r="B4184" s="77"/>
      <c r="C4184" s="78"/>
      <c r="D4184" s="78"/>
      <c r="E4184" s="78">
        <f>E4182</f>
        <v>115.45</v>
      </c>
    </row>
    <row r="4185" spans="1:5">
      <c r="A4185" s="76" t="s">
        <v>2539</v>
      </c>
      <c r="B4185" s="77"/>
      <c r="C4185" s="78"/>
      <c r="D4185" s="78">
        <v>0</v>
      </c>
      <c r="E4185" s="78">
        <f>TRUNC(D4185*E4184/100,2)</f>
        <v>0</v>
      </c>
    </row>
    <row r="4186" spans="1:5">
      <c r="A4186" s="76" t="s">
        <v>2540</v>
      </c>
      <c r="B4186" s="77"/>
      <c r="C4186" s="78"/>
      <c r="D4186" s="78"/>
      <c r="E4186" s="78">
        <f>E4184+E4185</f>
        <v>115.45</v>
      </c>
    </row>
    <row r="4187" spans="1:5">
      <c r="A4187" s="76"/>
      <c r="B4187" s="77"/>
      <c r="C4187" s="78"/>
      <c r="D4187" s="78"/>
      <c r="E4187" s="78"/>
    </row>
    <row r="4188" spans="1:5">
      <c r="A4188" s="76" t="s">
        <v>3092</v>
      </c>
      <c r="B4188" s="77" t="s">
        <v>3500</v>
      </c>
      <c r="C4188" s="78"/>
      <c r="D4188" s="78"/>
      <c r="E4188" s="78"/>
    </row>
    <row r="4189" ht="51" spans="1:5">
      <c r="A4189" s="76" t="s">
        <v>3501</v>
      </c>
      <c r="B4189" s="77"/>
      <c r="C4189" s="78"/>
      <c r="D4189" s="78"/>
      <c r="E4189" s="78"/>
    </row>
    <row r="4190" spans="1:5">
      <c r="A4190" s="76" t="s">
        <v>2764</v>
      </c>
      <c r="B4190" s="77"/>
      <c r="C4190" s="78"/>
      <c r="D4190" s="78"/>
      <c r="E4190" s="78"/>
    </row>
    <row r="4191" spans="1:5">
      <c r="A4191" s="76"/>
      <c r="B4191" s="77"/>
      <c r="C4191" s="78"/>
      <c r="D4191" s="78"/>
      <c r="E4191" s="78"/>
    </row>
    <row r="4192" spans="1:5">
      <c r="A4192" s="76" t="s">
        <v>279</v>
      </c>
      <c r="B4192" s="77" t="s">
        <v>135</v>
      </c>
      <c r="C4192" s="78" t="s">
        <v>136</v>
      </c>
      <c r="D4192" s="78" t="s">
        <v>2534</v>
      </c>
      <c r="E4192" s="78" t="s">
        <v>2535</v>
      </c>
    </row>
    <row r="4193" ht="38.25" spans="1:5">
      <c r="A4193" s="76" t="s">
        <v>3323</v>
      </c>
      <c r="B4193" s="77" t="s">
        <v>494</v>
      </c>
      <c r="C4193" s="78">
        <v>6.43e-5</v>
      </c>
      <c r="D4193" s="78">
        <v>569580.71</v>
      </c>
      <c r="E4193" s="78">
        <f>TRUNC(C4193*D4193,2)</f>
        <v>36.62</v>
      </c>
    </row>
    <row r="4194" spans="1:5">
      <c r="A4194" s="76" t="s">
        <v>122</v>
      </c>
      <c r="B4194" s="77"/>
      <c r="C4194" s="78"/>
      <c r="D4194" s="78"/>
      <c r="E4194" s="78">
        <f>SUM(E4193:E4193)</f>
        <v>36.62</v>
      </c>
    </row>
    <row r="4195" spans="1:5">
      <c r="A4195" s="76"/>
      <c r="B4195" s="77"/>
      <c r="C4195" s="78"/>
      <c r="D4195" s="78"/>
      <c r="E4195" s="78"/>
    </row>
    <row r="4196" spans="1:5">
      <c r="A4196" s="76" t="s">
        <v>2543</v>
      </c>
      <c r="B4196" s="77" t="s">
        <v>135</v>
      </c>
      <c r="C4196" s="78" t="s">
        <v>136</v>
      </c>
      <c r="D4196" s="78" t="s">
        <v>2534</v>
      </c>
      <c r="E4196" s="78" t="s">
        <v>2535</v>
      </c>
    </row>
    <row r="4197" ht="38.25" spans="1:5">
      <c r="A4197" s="76" t="s">
        <v>3502</v>
      </c>
      <c r="B4197" s="77" t="s">
        <v>494</v>
      </c>
      <c r="C4197" s="78">
        <v>6.9e-5</v>
      </c>
      <c r="D4197" s="78">
        <v>32227.1</v>
      </c>
      <c r="E4197" s="78">
        <f>TRUNC(C4197*D4197,2)</f>
        <v>2.22</v>
      </c>
    </row>
    <row r="4198" spans="1:5">
      <c r="A4198" s="76" t="s">
        <v>122</v>
      </c>
      <c r="B4198" s="77"/>
      <c r="C4198" s="78"/>
      <c r="D4198" s="78"/>
      <c r="E4198" s="78">
        <f>SUM(E4197:E4197)</f>
        <v>2.22</v>
      </c>
    </row>
    <row r="4199" spans="1:5">
      <c r="A4199" s="76"/>
      <c r="B4199" s="77"/>
      <c r="C4199" s="78"/>
      <c r="D4199" s="78"/>
      <c r="E4199" s="78"/>
    </row>
    <row r="4200" spans="1:5">
      <c r="A4200" s="76" t="s">
        <v>2538</v>
      </c>
      <c r="B4200" s="77"/>
      <c r="C4200" s="78"/>
      <c r="D4200" s="78"/>
      <c r="E4200" s="78">
        <f>E4194+E4198</f>
        <v>38.84</v>
      </c>
    </row>
    <row r="4201" spans="1:5">
      <c r="A4201" s="76" t="s">
        <v>2539</v>
      </c>
      <c r="B4201" s="77"/>
      <c r="C4201" s="78"/>
      <c r="D4201" s="78">
        <v>0</v>
      </c>
      <c r="E4201" s="78">
        <f>TRUNC(D4201*E4200/100,2)</f>
        <v>0</v>
      </c>
    </row>
    <row r="4202" spans="1:5">
      <c r="A4202" s="76" t="s">
        <v>2540</v>
      </c>
      <c r="B4202" s="77"/>
      <c r="C4202" s="78"/>
      <c r="D4202" s="78"/>
      <c r="E4202" s="78">
        <f>E4200+E4201</f>
        <v>38.84</v>
      </c>
    </row>
    <row r="4203" spans="1:5">
      <c r="A4203" s="76"/>
      <c r="B4203" s="77"/>
      <c r="C4203" s="78"/>
      <c r="D4203" s="78"/>
      <c r="E4203" s="78"/>
    </row>
    <row r="4204" spans="1:5">
      <c r="A4204" s="76" t="s">
        <v>3092</v>
      </c>
      <c r="B4204" s="77" t="s">
        <v>3503</v>
      </c>
      <c r="C4204" s="78"/>
      <c r="D4204" s="78"/>
      <c r="E4204" s="78"/>
    </row>
    <row r="4205" ht="51" spans="1:5">
      <c r="A4205" s="76" t="s">
        <v>3504</v>
      </c>
      <c r="B4205" s="77"/>
      <c r="C4205" s="78"/>
      <c r="D4205" s="78"/>
      <c r="E4205" s="78"/>
    </row>
    <row r="4206" spans="1:5">
      <c r="A4206" s="76" t="s">
        <v>2764</v>
      </c>
      <c r="B4206" s="77"/>
      <c r="C4206" s="78"/>
      <c r="D4206" s="78"/>
      <c r="E4206" s="78"/>
    </row>
    <row r="4207" spans="1:5">
      <c r="A4207" s="76"/>
      <c r="B4207" s="77"/>
      <c r="C4207" s="78"/>
      <c r="D4207" s="78"/>
      <c r="E4207" s="78"/>
    </row>
    <row r="4208" spans="1:5">
      <c r="A4208" s="76" t="s">
        <v>279</v>
      </c>
      <c r="B4208" s="77" t="s">
        <v>135</v>
      </c>
      <c r="C4208" s="78" t="s">
        <v>136</v>
      </c>
      <c r="D4208" s="78" t="s">
        <v>2534</v>
      </c>
      <c r="E4208" s="78" t="s">
        <v>2535</v>
      </c>
    </row>
    <row r="4209" ht="38.25" spans="1:5">
      <c r="A4209" s="76" t="s">
        <v>3323</v>
      </c>
      <c r="B4209" s="77" t="s">
        <v>494</v>
      </c>
      <c r="C4209" s="78">
        <v>3.43e-5</v>
      </c>
      <c r="D4209" s="78">
        <v>569580.71</v>
      </c>
      <c r="E4209" s="78">
        <f>TRUNC(C4209*D4209,2)</f>
        <v>19.53</v>
      </c>
    </row>
    <row r="4210" spans="1:5">
      <c r="A4210" s="76" t="s">
        <v>122</v>
      </c>
      <c r="B4210" s="77"/>
      <c r="C4210" s="78"/>
      <c r="D4210" s="78"/>
      <c r="E4210" s="78">
        <f>SUM(E4209:E4209)</f>
        <v>19.53</v>
      </c>
    </row>
    <row r="4211" spans="1:5">
      <c r="A4211" s="76"/>
      <c r="B4211" s="77"/>
      <c r="C4211" s="78"/>
      <c r="D4211" s="78"/>
      <c r="E4211" s="78"/>
    </row>
    <row r="4212" spans="1:5">
      <c r="A4212" s="76" t="s">
        <v>2543</v>
      </c>
      <c r="B4212" s="77" t="s">
        <v>135</v>
      </c>
      <c r="C4212" s="78" t="s">
        <v>136</v>
      </c>
      <c r="D4212" s="78" t="s">
        <v>2534</v>
      </c>
      <c r="E4212" s="78" t="s">
        <v>2535</v>
      </c>
    </row>
    <row r="4213" ht="38.25" spans="1:5">
      <c r="A4213" s="76" t="s">
        <v>3502</v>
      </c>
      <c r="B4213" s="77" t="s">
        <v>494</v>
      </c>
      <c r="C4213" s="78">
        <v>5.51e-5</v>
      </c>
      <c r="D4213" s="78">
        <v>32227.1</v>
      </c>
      <c r="E4213" s="78">
        <f>TRUNC(C4213*D4213,2)</f>
        <v>1.77</v>
      </c>
    </row>
    <row r="4214" spans="1:5">
      <c r="A4214" s="76" t="s">
        <v>122</v>
      </c>
      <c r="B4214" s="77"/>
      <c r="C4214" s="78"/>
      <c r="D4214" s="78"/>
      <c r="E4214" s="78">
        <f>SUM(E4213:E4213)</f>
        <v>1.77</v>
      </c>
    </row>
    <row r="4215" spans="1:5">
      <c r="A4215" s="76"/>
      <c r="B4215" s="77"/>
      <c r="C4215" s="78"/>
      <c r="D4215" s="78"/>
      <c r="E4215" s="78"/>
    </row>
    <row r="4216" spans="1:5">
      <c r="A4216" s="76" t="s">
        <v>2538</v>
      </c>
      <c r="B4216" s="77"/>
      <c r="C4216" s="78"/>
      <c r="D4216" s="78"/>
      <c r="E4216" s="78">
        <f>E4210+E4214</f>
        <v>21.3</v>
      </c>
    </row>
    <row r="4217" spans="1:5">
      <c r="A4217" s="76" t="s">
        <v>2539</v>
      </c>
      <c r="B4217" s="77"/>
      <c r="C4217" s="78"/>
      <c r="D4217" s="78">
        <v>0</v>
      </c>
      <c r="E4217" s="78">
        <f>TRUNC(D4217*E4216/100,2)</f>
        <v>0</v>
      </c>
    </row>
    <row r="4218" spans="1:5">
      <c r="A4218" s="76" t="s">
        <v>2540</v>
      </c>
      <c r="B4218" s="77"/>
      <c r="C4218" s="78"/>
      <c r="D4218" s="78"/>
      <c r="E4218" s="78">
        <f>E4216+E4217</f>
        <v>21.3</v>
      </c>
    </row>
    <row r="4219" spans="1:5">
      <c r="A4219" s="76"/>
      <c r="B4219" s="77"/>
      <c r="C4219" s="78"/>
      <c r="D4219" s="78"/>
      <c r="E4219" s="78"/>
    </row>
    <row r="4220" spans="1:5">
      <c r="A4220" s="76" t="s">
        <v>3092</v>
      </c>
      <c r="B4220" s="77" t="s">
        <v>3505</v>
      </c>
      <c r="C4220" s="78"/>
      <c r="D4220" s="78"/>
      <c r="E4220" s="78"/>
    </row>
    <row r="4221" ht="51" spans="1:5">
      <c r="A4221" s="76" t="s">
        <v>3506</v>
      </c>
      <c r="B4221" s="77"/>
      <c r="C4221" s="78"/>
      <c r="D4221" s="78"/>
      <c r="E4221" s="78"/>
    </row>
    <row r="4222" spans="1:5">
      <c r="A4222" s="76" t="s">
        <v>2764</v>
      </c>
      <c r="B4222" s="77"/>
      <c r="C4222" s="78"/>
      <c r="D4222" s="78"/>
      <c r="E4222" s="78"/>
    </row>
    <row r="4223" spans="1:5">
      <c r="A4223" s="76"/>
      <c r="B4223" s="77"/>
      <c r="C4223" s="78"/>
      <c r="D4223" s="78"/>
      <c r="E4223" s="78"/>
    </row>
    <row r="4224" spans="1:5">
      <c r="A4224" s="76" t="s">
        <v>279</v>
      </c>
      <c r="B4224" s="77" t="s">
        <v>135</v>
      </c>
      <c r="C4224" s="78" t="s">
        <v>136</v>
      </c>
      <c r="D4224" s="78" t="s">
        <v>2534</v>
      </c>
      <c r="E4224" s="78" t="s">
        <v>2535</v>
      </c>
    </row>
    <row r="4225" ht="38.25" spans="1:5">
      <c r="A4225" s="76" t="s">
        <v>3323</v>
      </c>
      <c r="B4225" s="77" t="s">
        <v>494</v>
      </c>
      <c r="C4225" s="78">
        <v>1.41e-5</v>
      </c>
      <c r="D4225" s="78">
        <v>569580.71</v>
      </c>
      <c r="E4225" s="78">
        <f>TRUNC(C4225*D4225,2)</f>
        <v>8.03</v>
      </c>
    </row>
    <row r="4226" spans="1:5">
      <c r="A4226" s="76" t="s">
        <v>122</v>
      </c>
      <c r="B4226" s="77"/>
      <c r="C4226" s="78"/>
      <c r="D4226" s="78"/>
      <c r="E4226" s="78">
        <f>SUM(E4225:E4225)</f>
        <v>8.03</v>
      </c>
    </row>
    <row r="4227" spans="1:5">
      <c r="A4227" s="76"/>
      <c r="B4227" s="77"/>
      <c r="C4227" s="78"/>
      <c r="D4227" s="78"/>
      <c r="E4227" s="78"/>
    </row>
    <row r="4228" spans="1:5">
      <c r="A4228" s="76" t="s">
        <v>2543</v>
      </c>
      <c r="B4228" s="77" t="s">
        <v>135</v>
      </c>
      <c r="C4228" s="78" t="s">
        <v>136</v>
      </c>
      <c r="D4228" s="78" t="s">
        <v>2534</v>
      </c>
      <c r="E4228" s="78" t="s">
        <v>2535</v>
      </c>
    </row>
    <row r="4229" ht="38.25" spans="1:5">
      <c r="A4229" s="76" t="s">
        <v>3502</v>
      </c>
      <c r="B4229" s="77" t="s">
        <v>494</v>
      </c>
      <c r="C4229" s="78">
        <v>1.44e-5</v>
      </c>
      <c r="D4229" s="78">
        <v>32227.1</v>
      </c>
      <c r="E4229" s="78">
        <f>TRUNC(C4229*D4229,2)</f>
        <v>0.46</v>
      </c>
    </row>
    <row r="4230" spans="1:5">
      <c r="A4230" s="76" t="s">
        <v>122</v>
      </c>
      <c r="B4230" s="77"/>
      <c r="C4230" s="78"/>
      <c r="D4230" s="78"/>
      <c r="E4230" s="78">
        <f>SUM(E4229:E4229)</f>
        <v>0.46</v>
      </c>
    </row>
    <row r="4231" spans="1:5">
      <c r="A4231" s="76"/>
      <c r="B4231" s="77"/>
      <c r="C4231" s="78"/>
      <c r="D4231" s="78"/>
      <c r="E4231" s="78"/>
    </row>
    <row r="4232" spans="1:5">
      <c r="A4232" s="76" t="s">
        <v>2538</v>
      </c>
      <c r="B4232" s="77"/>
      <c r="C4232" s="78"/>
      <c r="D4232" s="78"/>
      <c r="E4232" s="78">
        <f>E4226+E4230</f>
        <v>8.49</v>
      </c>
    </row>
    <row r="4233" spans="1:5">
      <c r="A4233" s="76" t="s">
        <v>2539</v>
      </c>
      <c r="B4233" s="77"/>
      <c r="C4233" s="78"/>
      <c r="D4233" s="78">
        <v>0</v>
      </c>
      <c r="E4233" s="78">
        <f>TRUNC(D4233*E4232/100,2)</f>
        <v>0</v>
      </c>
    </row>
    <row r="4234" spans="1:5">
      <c r="A4234" s="76" t="s">
        <v>2540</v>
      </c>
      <c r="B4234" s="77"/>
      <c r="C4234" s="78"/>
      <c r="D4234" s="78"/>
      <c r="E4234" s="78">
        <f>E4232+E4233</f>
        <v>8.49</v>
      </c>
    </row>
    <row r="4235" spans="1:5">
      <c r="A4235" s="76"/>
      <c r="B4235" s="77"/>
      <c r="C4235" s="78"/>
      <c r="D4235" s="78"/>
      <c r="E4235" s="78"/>
    </row>
    <row r="4236" spans="1:5">
      <c r="A4236" s="76" t="s">
        <v>3092</v>
      </c>
      <c r="B4236" s="77" t="s">
        <v>3507</v>
      </c>
      <c r="C4236" s="78"/>
      <c r="D4236" s="78"/>
      <c r="E4236" s="78"/>
    </row>
    <row r="4237" ht="51" spans="1:5">
      <c r="A4237" s="76" t="s">
        <v>3508</v>
      </c>
      <c r="B4237" s="77"/>
      <c r="C4237" s="78"/>
      <c r="D4237" s="78"/>
      <c r="E4237" s="78"/>
    </row>
    <row r="4238" spans="1:5">
      <c r="A4238" s="76" t="s">
        <v>2764</v>
      </c>
      <c r="B4238" s="77"/>
      <c r="C4238" s="78"/>
      <c r="D4238" s="78"/>
      <c r="E4238" s="78"/>
    </row>
    <row r="4239" spans="1:5">
      <c r="A4239" s="76"/>
      <c r="B4239" s="77"/>
      <c r="C4239" s="78"/>
      <c r="D4239" s="78"/>
      <c r="E4239" s="78"/>
    </row>
    <row r="4240" spans="1:5">
      <c r="A4240" s="76" t="s">
        <v>279</v>
      </c>
      <c r="B4240" s="77" t="s">
        <v>135</v>
      </c>
      <c r="C4240" s="78" t="s">
        <v>136</v>
      </c>
      <c r="D4240" s="78" t="s">
        <v>2534</v>
      </c>
      <c r="E4240" s="78" t="s">
        <v>2535</v>
      </c>
    </row>
    <row r="4241" ht="38.25" spans="1:5">
      <c r="A4241" s="76" t="s">
        <v>3323</v>
      </c>
      <c r="B4241" s="77" t="s">
        <v>494</v>
      </c>
      <c r="C4241" s="78">
        <v>5.7e-6</v>
      </c>
      <c r="D4241" s="78">
        <v>569580.71</v>
      </c>
      <c r="E4241" s="78">
        <f>TRUNC(C4241*D4241,2)</f>
        <v>3.24</v>
      </c>
    </row>
    <row r="4242" spans="1:5">
      <c r="A4242" s="76" t="s">
        <v>122</v>
      </c>
      <c r="B4242" s="77"/>
      <c r="C4242" s="78"/>
      <c r="D4242" s="78"/>
      <c r="E4242" s="78">
        <f>SUM(E4241:E4241)</f>
        <v>3.24</v>
      </c>
    </row>
    <row r="4243" spans="1:5">
      <c r="A4243" s="76"/>
      <c r="B4243" s="77"/>
      <c r="C4243" s="78"/>
      <c r="D4243" s="78"/>
      <c r="E4243" s="78"/>
    </row>
    <row r="4244" spans="1:5">
      <c r="A4244" s="76" t="s">
        <v>2543</v>
      </c>
      <c r="B4244" s="77" t="s">
        <v>135</v>
      </c>
      <c r="C4244" s="78" t="s">
        <v>136</v>
      </c>
      <c r="D4244" s="78" t="s">
        <v>2534</v>
      </c>
      <c r="E4244" s="78" t="s">
        <v>2535</v>
      </c>
    </row>
    <row r="4245" ht="38.25" spans="1:5">
      <c r="A4245" s="76" t="s">
        <v>3502</v>
      </c>
      <c r="B4245" s="77" t="s">
        <v>494</v>
      </c>
      <c r="C4245" s="78">
        <v>5.8e-6</v>
      </c>
      <c r="D4245" s="78">
        <v>32227.1</v>
      </c>
      <c r="E4245" s="78">
        <f>TRUNC(C4245*D4245,2)</f>
        <v>0.18</v>
      </c>
    </row>
    <row r="4246" spans="1:5">
      <c r="A4246" s="76" t="s">
        <v>122</v>
      </c>
      <c r="B4246" s="77"/>
      <c r="C4246" s="78"/>
      <c r="D4246" s="78"/>
      <c r="E4246" s="78">
        <f>SUM(E4245:E4245)</f>
        <v>0.18</v>
      </c>
    </row>
    <row r="4247" spans="1:5">
      <c r="A4247" s="76"/>
      <c r="B4247" s="77"/>
      <c r="C4247" s="78"/>
      <c r="D4247" s="78"/>
      <c r="E4247" s="78"/>
    </row>
    <row r="4248" spans="1:5">
      <c r="A4248" s="76" t="s">
        <v>2538</v>
      </c>
      <c r="B4248" s="77"/>
      <c r="C4248" s="78"/>
      <c r="D4248" s="78"/>
      <c r="E4248" s="78">
        <f>E4242+E4246</f>
        <v>3.42</v>
      </c>
    </row>
    <row r="4249" spans="1:5">
      <c r="A4249" s="76" t="s">
        <v>2539</v>
      </c>
      <c r="B4249" s="77"/>
      <c r="C4249" s="78"/>
      <c r="D4249" s="78">
        <v>0</v>
      </c>
      <c r="E4249" s="78">
        <f>TRUNC(D4249*E4248/100,2)</f>
        <v>0</v>
      </c>
    </row>
    <row r="4250" spans="1:5">
      <c r="A4250" s="76" t="s">
        <v>2540</v>
      </c>
      <c r="B4250" s="77"/>
      <c r="C4250" s="78"/>
      <c r="D4250" s="78"/>
      <c r="E4250" s="78">
        <f>E4248+E4249</f>
        <v>3.42</v>
      </c>
    </row>
    <row r="4251" spans="1:5">
      <c r="A4251" s="76"/>
      <c r="B4251" s="77"/>
      <c r="C4251" s="78"/>
      <c r="D4251" s="78"/>
      <c r="E4251" s="78"/>
    </row>
    <row r="4252" spans="1:5">
      <c r="A4252" s="76" t="s">
        <v>3092</v>
      </c>
      <c r="B4252" s="77" t="s">
        <v>3509</v>
      </c>
      <c r="C4252" s="78"/>
      <c r="D4252" s="78"/>
      <c r="E4252" s="78"/>
    </row>
    <row r="4253" ht="51" spans="1:5">
      <c r="A4253" s="76" t="s">
        <v>3510</v>
      </c>
      <c r="B4253" s="77"/>
      <c r="C4253" s="78"/>
      <c r="D4253" s="78"/>
      <c r="E4253" s="78"/>
    </row>
    <row r="4254" spans="1:5">
      <c r="A4254" s="76" t="s">
        <v>3091</v>
      </c>
      <c r="B4254" s="77"/>
      <c r="C4254" s="78"/>
      <c r="D4254" s="78"/>
      <c r="E4254" s="78"/>
    </row>
    <row r="4255" spans="1:5">
      <c r="A4255" s="76"/>
      <c r="B4255" s="77"/>
      <c r="C4255" s="78"/>
      <c r="D4255" s="78"/>
      <c r="E4255" s="78"/>
    </row>
    <row r="4256" spans="1:5">
      <c r="A4256" s="76" t="s">
        <v>2543</v>
      </c>
      <c r="B4256" s="77" t="s">
        <v>135</v>
      </c>
      <c r="C4256" s="78" t="s">
        <v>136</v>
      </c>
      <c r="D4256" s="78" t="s">
        <v>2534</v>
      </c>
      <c r="E4256" s="78" t="s">
        <v>2535</v>
      </c>
    </row>
    <row r="4257" spans="1:5">
      <c r="A4257" s="76" t="s">
        <v>3183</v>
      </c>
      <c r="B4257" s="77" t="s">
        <v>839</v>
      </c>
      <c r="C4257" s="78">
        <v>1</v>
      </c>
      <c r="D4257" s="78">
        <v>29.8</v>
      </c>
      <c r="E4257" s="78">
        <f>TRUNC(C4257*D4257,2)</f>
        <v>29.8</v>
      </c>
    </row>
    <row r="4258" ht="51" spans="1:5">
      <c r="A4258" s="76" t="s">
        <v>3495</v>
      </c>
      <c r="B4258" s="77" t="s">
        <v>839</v>
      </c>
      <c r="C4258" s="78">
        <v>1</v>
      </c>
      <c r="D4258" s="78">
        <v>21.3</v>
      </c>
      <c r="E4258" s="78">
        <f>TRUNC(C4258*D4258,2)</f>
        <v>21.3</v>
      </c>
    </row>
    <row r="4259" ht="51" spans="1:5">
      <c r="A4259" s="76" t="s">
        <v>3496</v>
      </c>
      <c r="B4259" s="77" t="s">
        <v>839</v>
      </c>
      <c r="C4259" s="78">
        <v>1</v>
      </c>
      <c r="D4259" s="78">
        <v>8.49</v>
      </c>
      <c r="E4259" s="78">
        <f>TRUNC(C4259*D4259,2)</f>
        <v>8.49</v>
      </c>
    </row>
    <row r="4260" ht="51" spans="1:5">
      <c r="A4260" s="76" t="s">
        <v>3497</v>
      </c>
      <c r="B4260" s="77" t="s">
        <v>839</v>
      </c>
      <c r="C4260" s="78">
        <v>1</v>
      </c>
      <c r="D4260" s="78">
        <v>3.42</v>
      </c>
      <c r="E4260" s="78">
        <f>TRUNC(C4260*D4260,2)</f>
        <v>3.42</v>
      </c>
    </row>
    <row r="4261" spans="1:5">
      <c r="A4261" s="76" t="s">
        <v>122</v>
      </c>
      <c r="B4261" s="77"/>
      <c r="C4261" s="78"/>
      <c r="D4261" s="78"/>
      <c r="E4261" s="78">
        <f>SUM(E4257:E4260)</f>
        <v>63.01</v>
      </c>
    </row>
    <row r="4262" spans="1:5">
      <c r="A4262" s="76"/>
      <c r="B4262" s="77"/>
      <c r="C4262" s="78"/>
      <c r="D4262" s="78"/>
      <c r="E4262" s="78"/>
    </row>
    <row r="4263" spans="1:5">
      <c r="A4263" s="76" t="s">
        <v>2538</v>
      </c>
      <c r="B4263" s="77"/>
      <c r="C4263" s="78"/>
      <c r="D4263" s="78"/>
      <c r="E4263" s="78">
        <f>E4261</f>
        <v>63.01</v>
      </c>
    </row>
    <row r="4264" spans="1:5">
      <c r="A4264" s="76" t="s">
        <v>2539</v>
      </c>
      <c r="B4264" s="77"/>
      <c r="C4264" s="78"/>
      <c r="D4264" s="78">
        <v>0</v>
      </c>
      <c r="E4264" s="78">
        <f>TRUNC(D4264*E4263/100,2)</f>
        <v>0</v>
      </c>
    </row>
    <row r="4265" spans="1:5">
      <c r="A4265" s="76" t="s">
        <v>2540</v>
      </c>
      <c r="B4265" s="77"/>
      <c r="C4265" s="78"/>
      <c r="D4265" s="78"/>
      <c r="E4265" s="78">
        <f>E4263+E4264</f>
        <v>63.01</v>
      </c>
    </row>
    <row r="4266" spans="1:5">
      <c r="A4266" s="76"/>
      <c r="B4266" s="77"/>
      <c r="C4266" s="78"/>
      <c r="D4266" s="78"/>
      <c r="E4266" s="78"/>
    </row>
    <row r="4267" spans="1:5">
      <c r="A4267" s="76" t="s">
        <v>3092</v>
      </c>
      <c r="B4267" s="77" t="s">
        <v>3511</v>
      </c>
      <c r="C4267" s="78"/>
      <c r="D4267" s="78"/>
      <c r="E4267" s="78"/>
    </row>
    <row r="4268" ht="25.5" spans="1:5">
      <c r="A4268" s="76" t="s">
        <v>3512</v>
      </c>
      <c r="B4268" s="77"/>
      <c r="C4268" s="78"/>
      <c r="D4268" s="78"/>
      <c r="E4268" s="78"/>
    </row>
    <row r="4269" spans="1:5">
      <c r="A4269" s="76" t="s">
        <v>2655</v>
      </c>
      <c r="B4269" s="77"/>
      <c r="C4269" s="78"/>
      <c r="D4269" s="78"/>
      <c r="E4269" s="78"/>
    </row>
    <row r="4270" spans="1:5">
      <c r="A4270" s="76"/>
      <c r="B4270" s="77"/>
      <c r="C4270" s="78"/>
      <c r="D4270" s="78"/>
      <c r="E4270" s="78"/>
    </row>
    <row r="4271" spans="1:5">
      <c r="A4271" s="76" t="s">
        <v>2543</v>
      </c>
      <c r="B4271" s="77" t="s">
        <v>135</v>
      </c>
      <c r="C4271" s="78" t="s">
        <v>136</v>
      </c>
      <c r="D4271" s="78" t="s">
        <v>2534</v>
      </c>
      <c r="E4271" s="78" t="s">
        <v>2535</v>
      </c>
    </row>
    <row r="4272" spans="1:5">
      <c r="A4272" s="76" t="s">
        <v>2621</v>
      </c>
      <c r="B4272" s="77" t="s">
        <v>839</v>
      </c>
      <c r="C4272" s="78">
        <v>0.52956751</v>
      </c>
      <c r="D4272" s="78">
        <v>23.75</v>
      </c>
      <c r="E4272" s="78">
        <f>TRUNC(C4272*D4272,2)</f>
        <v>12.57</v>
      </c>
    </row>
    <row r="4273" spans="1:5">
      <c r="A4273" s="76" t="s">
        <v>3513</v>
      </c>
      <c r="B4273" s="77" t="s">
        <v>977</v>
      </c>
      <c r="C4273" s="78">
        <v>0.08826125</v>
      </c>
      <c r="D4273" s="78">
        <v>177.27</v>
      </c>
      <c r="E4273" s="78">
        <f>TRUNC(C4273*D4273,2)</f>
        <v>15.64</v>
      </c>
    </row>
    <row r="4274" spans="1:5">
      <c r="A4274" s="76" t="s">
        <v>122</v>
      </c>
      <c r="B4274" s="77"/>
      <c r="C4274" s="78"/>
      <c r="D4274" s="78"/>
      <c r="E4274" s="78">
        <f>SUM(E4272:E4273)</f>
        <v>28.21</v>
      </c>
    </row>
    <row r="4275" spans="1:5">
      <c r="A4275" s="76"/>
      <c r="B4275" s="77"/>
      <c r="C4275" s="78"/>
      <c r="D4275" s="78"/>
      <c r="E4275" s="78"/>
    </row>
    <row r="4276" spans="1:5">
      <c r="A4276" s="76" t="s">
        <v>2538</v>
      </c>
      <c r="B4276" s="77"/>
      <c r="C4276" s="78"/>
      <c r="D4276" s="78"/>
      <c r="E4276" s="78">
        <f>E4274</f>
        <v>28.21</v>
      </c>
    </row>
    <row r="4277" spans="1:5">
      <c r="A4277" s="76" t="s">
        <v>2539</v>
      </c>
      <c r="B4277" s="77"/>
      <c r="C4277" s="78"/>
      <c r="D4277" s="78">
        <v>0</v>
      </c>
      <c r="E4277" s="78">
        <f>TRUNC(D4277*E4276/100,2)</f>
        <v>0</v>
      </c>
    </row>
    <row r="4278" spans="1:5">
      <c r="A4278" s="76" t="s">
        <v>2540</v>
      </c>
      <c r="B4278" s="77"/>
      <c r="C4278" s="78"/>
      <c r="D4278" s="78"/>
      <c r="E4278" s="78">
        <f>E4276+E4277</f>
        <v>28.21</v>
      </c>
    </row>
    <row r="4279" spans="1:5">
      <c r="A4279" s="76"/>
      <c r="B4279" s="77"/>
      <c r="C4279" s="78"/>
      <c r="D4279" s="78"/>
      <c r="E4279" s="78"/>
    </row>
    <row r="4280" spans="1:5">
      <c r="A4280" s="76" t="s">
        <v>3092</v>
      </c>
      <c r="B4280" s="77" t="s">
        <v>3514</v>
      </c>
      <c r="C4280" s="78"/>
      <c r="D4280" s="78"/>
      <c r="E4280" s="78"/>
    </row>
    <row r="4281" spans="1:5">
      <c r="A4281" s="76" t="s">
        <v>3515</v>
      </c>
      <c r="B4281" s="77"/>
      <c r="C4281" s="78"/>
      <c r="D4281" s="78"/>
      <c r="E4281" s="78"/>
    </row>
    <row r="4282" spans="1:5">
      <c r="A4282" s="76" t="s">
        <v>3085</v>
      </c>
      <c r="B4282" s="77"/>
      <c r="C4282" s="78"/>
      <c r="D4282" s="78"/>
      <c r="E4282" s="78"/>
    </row>
    <row r="4283" spans="1:5">
      <c r="A4283" s="76"/>
      <c r="B4283" s="77"/>
      <c r="C4283" s="78"/>
      <c r="D4283" s="78"/>
      <c r="E4283" s="78"/>
    </row>
    <row r="4284" spans="1:5">
      <c r="A4284" s="76" t="s">
        <v>2543</v>
      </c>
      <c r="B4284" s="77" t="s">
        <v>135</v>
      </c>
      <c r="C4284" s="78" t="s">
        <v>136</v>
      </c>
      <c r="D4284" s="78" t="s">
        <v>2534</v>
      </c>
      <c r="E4284" s="78" t="s">
        <v>2535</v>
      </c>
    </row>
    <row r="4285" spans="1:5">
      <c r="A4285" s="76" t="s">
        <v>3183</v>
      </c>
      <c r="B4285" s="77" t="s">
        <v>839</v>
      </c>
      <c r="C4285" s="78">
        <v>1</v>
      </c>
      <c r="D4285" s="78">
        <v>29.8</v>
      </c>
      <c r="E4285" s="78">
        <f t="shared" ref="E4285:E4293" si="46">TRUNC(C4285*D4285,2)</f>
        <v>29.8</v>
      </c>
    </row>
    <row r="4286" ht="25.5" spans="1:5">
      <c r="A4286" s="76" t="s">
        <v>3516</v>
      </c>
      <c r="B4286" s="77" t="s">
        <v>839</v>
      </c>
      <c r="C4286" s="78">
        <v>1</v>
      </c>
      <c r="D4286" s="78">
        <v>17.92</v>
      </c>
      <c r="E4286" s="78">
        <f t="shared" si="46"/>
        <v>17.92</v>
      </c>
    </row>
    <row r="4287" ht="25.5" spans="1:5">
      <c r="A4287" s="76" t="s">
        <v>3517</v>
      </c>
      <c r="B4287" s="77" t="s">
        <v>839</v>
      </c>
      <c r="C4287" s="78">
        <v>1</v>
      </c>
      <c r="D4287" s="78">
        <v>80.64</v>
      </c>
      <c r="E4287" s="78">
        <f t="shared" si="46"/>
        <v>80.64</v>
      </c>
    </row>
    <row r="4288" ht="25.5" spans="1:5">
      <c r="A4288" s="76" t="s">
        <v>3518</v>
      </c>
      <c r="B4288" s="77" t="s">
        <v>839</v>
      </c>
      <c r="C4288" s="78">
        <v>1</v>
      </c>
      <c r="D4288" s="78">
        <v>2.97</v>
      </c>
      <c r="E4288" s="78">
        <f t="shared" si="46"/>
        <v>2.97</v>
      </c>
    </row>
    <row r="4289" ht="25.5" spans="1:5">
      <c r="A4289" s="76" t="s">
        <v>3519</v>
      </c>
      <c r="B4289" s="77" t="s">
        <v>839</v>
      </c>
      <c r="C4289" s="78">
        <v>1</v>
      </c>
      <c r="D4289" s="78">
        <v>7.36</v>
      </c>
      <c r="E4289" s="78">
        <f t="shared" si="46"/>
        <v>7.36</v>
      </c>
    </row>
    <row r="4290" ht="25.5" spans="1:5">
      <c r="A4290" s="76" t="s">
        <v>3520</v>
      </c>
      <c r="B4290" s="77" t="s">
        <v>839</v>
      </c>
      <c r="C4290" s="78">
        <v>1</v>
      </c>
      <c r="D4290" s="78">
        <v>33.61</v>
      </c>
      <c r="E4290" s="78">
        <f t="shared" si="46"/>
        <v>33.61</v>
      </c>
    </row>
    <row r="4291" spans="1:5">
      <c r="A4291" s="76" t="s">
        <v>3521</v>
      </c>
      <c r="B4291" s="77" t="s">
        <v>839</v>
      </c>
      <c r="C4291" s="78">
        <v>1</v>
      </c>
      <c r="D4291" s="78">
        <v>1.98</v>
      </c>
      <c r="E4291" s="78">
        <f t="shared" si="46"/>
        <v>1.98</v>
      </c>
    </row>
    <row r="4292" spans="1:5">
      <c r="A4292" s="76" t="s">
        <v>3522</v>
      </c>
      <c r="B4292" s="77" t="s">
        <v>839</v>
      </c>
      <c r="C4292" s="78">
        <v>1</v>
      </c>
      <c r="D4292" s="78">
        <v>0.51</v>
      </c>
      <c r="E4292" s="78">
        <f t="shared" si="46"/>
        <v>0.51</v>
      </c>
    </row>
    <row r="4293" spans="1:5">
      <c r="A4293" s="76" t="s">
        <v>3523</v>
      </c>
      <c r="B4293" s="77" t="s">
        <v>839</v>
      </c>
      <c r="C4293" s="78">
        <v>1</v>
      </c>
      <c r="D4293" s="78">
        <v>2.48</v>
      </c>
      <c r="E4293" s="78">
        <f t="shared" si="46"/>
        <v>2.48</v>
      </c>
    </row>
    <row r="4294" spans="1:5">
      <c r="A4294" s="76" t="s">
        <v>122</v>
      </c>
      <c r="B4294" s="77"/>
      <c r="C4294" s="78"/>
      <c r="D4294" s="78"/>
      <c r="E4294" s="78">
        <f>SUM(E4285:E4293)</f>
        <v>177.27</v>
      </c>
    </row>
    <row r="4295" spans="1:5">
      <c r="A4295" s="76"/>
      <c r="B4295" s="77"/>
      <c r="C4295" s="78"/>
      <c r="D4295" s="78"/>
      <c r="E4295" s="78"/>
    </row>
    <row r="4296" spans="1:5">
      <c r="A4296" s="76" t="s">
        <v>2538</v>
      </c>
      <c r="B4296" s="77"/>
      <c r="C4296" s="78"/>
      <c r="D4296" s="78"/>
      <c r="E4296" s="78">
        <f>E4294</f>
        <v>177.27</v>
      </c>
    </row>
    <row r="4297" spans="1:5">
      <c r="A4297" s="76" t="s">
        <v>2539</v>
      </c>
      <c r="B4297" s="77"/>
      <c r="C4297" s="78"/>
      <c r="D4297" s="78">
        <v>0</v>
      </c>
      <c r="E4297" s="78">
        <f>TRUNC(D4297*E4296/100,2)</f>
        <v>0</v>
      </c>
    </row>
    <row r="4298" spans="1:5">
      <c r="A4298" s="76" t="s">
        <v>2540</v>
      </c>
      <c r="B4298" s="77"/>
      <c r="C4298" s="78"/>
      <c r="D4298" s="78"/>
      <c r="E4298" s="78">
        <f>E4296+E4297</f>
        <v>177.27</v>
      </c>
    </row>
    <row r="4299" spans="1:5">
      <c r="A4299" s="76"/>
      <c r="B4299" s="77"/>
      <c r="C4299" s="78"/>
      <c r="D4299" s="78"/>
      <c r="E4299" s="78"/>
    </row>
    <row r="4300" spans="1:5">
      <c r="A4300" s="76" t="s">
        <v>3092</v>
      </c>
      <c r="B4300" s="77" t="s">
        <v>3524</v>
      </c>
      <c r="C4300" s="78"/>
      <c r="D4300" s="78"/>
      <c r="E4300" s="78"/>
    </row>
    <row r="4301" ht="25.5" spans="1:5">
      <c r="A4301" s="76" t="s">
        <v>3525</v>
      </c>
      <c r="B4301" s="77"/>
      <c r="C4301" s="78"/>
      <c r="D4301" s="78"/>
      <c r="E4301" s="78"/>
    </row>
    <row r="4302" spans="1:5">
      <c r="A4302" s="76" t="s">
        <v>2764</v>
      </c>
      <c r="B4302" s="77"/>
      <c r="C4302" s="78"/>
      <c r="D4302" s="78"/>
      <c r="E4302" s="78"/>
    </row>
    <row r="4303" spans="1:5">
      <c r="A4303" s="76"/>
      <c r="B4303" s="77"/>
      <c r="C4303" s="78"/>
      <c r="D4303" s="78"/>
      <c r="E4303" s="78"/>
    </row>
    <row r="4304" spans="1:5">
      <c r="A4304" s="76" t="s">
        <v>279</v>
      </c>
      <c r="B4304" s="77" t="s">
        <v>135</v>
      </c>
      <c r="C4304" s="78" t="s">
        <v>136</v>
      </c>
      <c r="D4304" s="78" t="s">
        <v>2534</v>
      </c>
      <c r="E4304" s="78" t="s">
        <v>2535</v>
      </c>
    </row>
    <row r="4305" ht="25.5" spans="1:5">
      <c r="A4305" s="76" t="s">
        <v>3526</v>
      </c>
      <c r="B4305" s="77" t="s">
        <v>494</v>
      </c>
      <c r="C4305" s="78">
        <v>3.427e-5</v>
      </c>
      <c r="D4305" s="78">
        <v>523066.43</v>
      </c>
      <c r="E4305" s="78">
        <f>TRUNC(C4305*D4305,2)</f>
        <v>17.92</v>
      </c>
    </row>
    <row r="4306" spans="1:5">
      <c r="A4306" s="76" t="s">
        <v>122</v>
      </c>
      <c r="B4306" s="77"/>
      <c r="C4306" s="78"/>
      <c r="D4306" s="78"/>
      <c r="E4306" s="78">
        <f>SUM(E4305:E4305)</f>
        <v>17.92</v>
      </c>
    </row>
    <row r="4307" spans="1:5">
      <c r="A4307" s="76"/>
      <c r="B4307" s="77"/>
      <c r="C4307" s="78"/>
      <c r="D4307" s="78"/>
      <c r="E4307" s="78"/>
    </row>
    <row r="4308" spans="1:5">
      <c r="A4308" s="76" t="s">
        <v>2538</v>
      </c>
      <c r="B4308" s="77"/>
      <c r="C4308" s="78"/>
      <c r="D4308" s="78"/>
      <c r="E4308" s="78">
        <f>E4306</f>
        <v>17.92</v>
      </c>
    </row>
    <row r="4309" spans="1:5">
      <c r="A4309" s="76" t="s">
        <v>2539</v>
      </c>
      <c r="B4309" s="77"/>
      <c r="C4309" s="78"/>
      <c r="D4309" s="78">
        <v>0</v>
      </c>
      <c r="E4309" s="78">
        <f>TRUNC(D4309*E4308/100,2)</f>
        <v>0</v>
      </c>
    </row>
    <row r="4310" spans="1:5">
      <c r="A4310" s="76" t="s">
        <v>2540</v>
      </c>
      <c r="B4310" s="77"/>
      <c r="C4310" s="78"/>
      <c r="D4310" s="78"/>
      <c r="E4310" s="78">
        <f>E4308+E4309</f>
        <v>17.92</v>
      </c>
    </row>
    <row r="4311" spans="1:5">
      <c r="A4311" s="76"/>
      <c r="B4311" s="77"/>
      <c r="C4311" s="78"/>
      <c r="D4311" s="78"/>
      <c r="E4311" s="78"/>
    </row>
    <row r="4312" spans="1:5">
      <c r="A4312" s="76" t="s">
        <v>3092</v>
      </c>
      <c r="B4312" s="77" t="s">
        <v>3527</v>
      </c>
      <c r="C4312" s="78"/>
      <c r="D4312" s="78"/>
      <c r="E4312" s="78"/>
    </row>
    <row r="4313" ht="25.5" spans="1:5">
      <c r="A4313" s="76" t="s">
        <v>3528</v>
      </c>
      <c r="B4313" s="77"/>
      <c r="C4313" s="78"/>
      <c r="D4313" s="78"/>
      <c r="E4313" s="78"/>
    </row>
    <row r="4314" spans="1:5">
      <c r="A4314" s="76" t="s">
        <v>2764</v>
      </c>
      <c r="B4314" s="77"/>
      <c r="C4314" s="78"/>
      <c r="D4314" s="78"/>
      <c r="E4314" s="78"/>
    </row>
    <row r="4315" spans="1:5">
      <c r="A4315" s="76"/>
      <c r="B4315" s="77"/>
      <c r="C4315" s="78"/>
      <c r="D4315" s="78"/>
      <c r="E4315" s="78"/>
    </row>
    <row r="4316" spans="1:5">
      <c r="A4316" s="76" t="s">
        <v>2543</v>
      </c>
      <c r="B4316" s="77" t="s">
        <v>135</v>
      </c>
      <c r="C4316" s="78" t="s">
        <v>136</v>
      </c>
      <c r="D4316" s="78" t="s">
        <v>2534</v>
      </c>
      <c r="E4316" s="78" t="s">
        <v>2535</v>
      </c>
    </row>
    <row r="4317" spans="1:5">
      <c r="A4317" s="76" t="s">
        <v>3202</v>
      </c>
      <c r="B4317" s="77" t="s">
        <v>215</v>
      </c>
      <c r="C4317" s="78">
        <v>13.6</v>
      </c>
      <c r="D4317" s="78">
        <v>5.93</v>
      </c>
      <c r="E4317" s="78">
        <f>TRUNC(C4317*D4317,2)</f>
        <v>80.64</v>
      </c>
    </row>
    <row r="4318" spans="1:5">
      <c r="A4318" s="76" t="s">
        <v>122</v>
      </c>
      <c r="B4318" s="77"/>
      <c r="C4318" s="78"/>
      <c r="D4318" s="78"/>
      <c r="E4318" s="78">
        <f>SUM(E4317:E4317)</f>
        <v>80.64</v>
      </c>
    </row>
    <row r="4319" spans="1:5">
      <c r="A4319" s="76"/>
      <c r="B4319" s="77"/>
      <c r="C4319" s="78"/>
      <c r="D4319" s="78"/>
      <c r="E4319" s="78"/>
    </row>
    <row r="4320" spans="1:5">
      <c r="A4320" s="76" t="s">
        <v>2538</v>
      </c>
      <c r="B4320" s="77"/>
      <c r="C4320" s="78"/>
      <c r="D4320" s="78"/>
      <c r="E4320" s="78">
        <f>E4318</f>
        <v>80.64</v>
      </c>
    </row>
    <row r="4321" spans="1:5">
      <c r="A4321" s="76" t="s">
        <v>2539</v>
      </c>
      <c r="B4321" s="77"/>
      <c r="C4321" s="78"/>
      <c r="D4321" s="78">
        <v>0</v>
      </c>
      <c r="E4321" s="78">
        <f>TRUNC(D4321*E4320/100,2)</f>
        <v>0</v>
      </c>
    </row>
    <row r="4322" spans="1:5">
      <c r="A4322" s="76" t="s">
        <v>2540</v>
      </c>
      <c r="B4322" s="77"/>
      <c r="C4322" s="78"/>
      <c r="D4322" s="78"/>
      <c r="E4322" s="78">
        <f>E4320+E4321</f>
        <v>80.64</v>
      </c>
    </row>
    <row r="4323" spans="1:5">
      <c r="A4323" s="76"/>
      <c r="B4323" s="77"/>
      <c r="C4323" s="78"/>
      <c r="D4323" s="78"/>
      <c r="E4323" s="78"/>
    </row>
    <row r="4324" spans="1:5">
      <c r="A4324" s="76" t="s">
        <v>3092</v>
      </c>
      <c r="B4324" s="77" t="s">
        <v>3529</v>
      </c>
      <c r="C4324" s="78"/>
      <c r="D4324" s="78"/>
      <c r="E4324" s="78"/>
    </row>
    <row r="4325" ht="25.5" spans="1:5">
      <c r="A4325" s="76" t="s">
        <v>3530</v>
      </c>
      <c r="B4325" s="77"/>
      <c r="C4325" s="78"/>
      <c r="D4325" s="78"/>
      <c r="E4325" s="78"/>
    </row>
    <row r="4326" spans="1:5">
      <c r="A4326" s="76" t="s">
        <v>2764</v>
      </c>
      <c r="B4326" s="77"/>
      <c r="C4326" s="78"/>
      <c r="D4326" s="78"/>
      <c r="E4326" s="78"/>
    </row>
    <row r="4327" spans="1:5">
      <c r="A4327" s="76"/>
      <c r="B4327" s="77"/>
      <c r="C4327" s="78"/>
      <c r="D4327" s="78"/>
      <c r="E4327" s="78"/>
    </row>
    <row r="4328" spans="1:5">
      <c r="A4328" s="76" t="s">
        <v>279</v>
      </c>
      <c r="B4328" s="77" t="s">
        <v>135</v>
      </c>
      <c r="C4328" s="78" t="s">
        <v>136</v>
      </c>
      <c r="D4328" s="78" t="s">
        <v>2534</v>
      </c>
      <c r="E4328" s="78" t="s">
        <v>2535</v>
      </c>
    </row>
    <row r="4329" ht="25.5" spans="1:5">
      <c r="A4329" s="76" t="s">
        <v>3526</v>
      </c>
      <c r="B4329" s="77" t="s">
        <v>494</v>
      </c>
      <c r="C4329" s="78">
        <v>5.69e-6</v>
      </c>
      <c r="D4329" s="78">
        <v>523066.43</v>
      </c>
      <c r="E4329" s="78">
        <f>TRUNC(C4329*D4329,2)</f>
        <v>2.97</v>
      </c>
    </row>
    <row r="4330" spans="1:5">
      <c r="A4330" s="76" t="s">
        <v>122</v>
      </c>
      <c r="B4330" s="77"/>
      <c r="C4330" s="78"/>
      <c r="D4330" s="78"/>
      <c r="E4330" s="78">
        <f>SUM(E4329:E4329)</f>
        <v>2.97</v>
      </c>
    </row>
    <row r="4331" spans="1:5">
      <c r="A4331" s="76"/>
      <c r="B4331" s="77"/>
      <c r="C4331" s="78"/>
      <c r="D4331" s="78"/>
      <c r="E4331" s="78"/>
    </row>
    <row r="4332" spans="1:5">
      <c r="A4332" s="76" t="s">
        <v>2538</v>
      </c>
      <c r="B4332" s="77"/>
      <c r="C4332" s="78"/>
      <c r="D4332" s="78"/>
      <c r="E4332" s="78">
        <f>E4330</f>
        <v>2.97</v>
      </c>
    </row>
    <row r="4333" spans="1:5">
      <c r="A4333" s="76" t="s">
        <v>2539</v>
      </c>
      <c r="B4333" s="77"/>
      <c r="C4333" s="78"/>
      <c r="D4333" s="78">
        <v>0</v>
      </c>
      <c r="E4333" s="78">
        <f>TRUNC(D4333*E4332/100,2)</f>
        <v>0</v>
      </c>
    </row>
    <row r="4334" spans="1:5">
      <c r="A4334" s="76" t="s">
        <v>2540</v>
      </c>
      <c r="B4334" s="77"/>
      <c r="C4334" s="78"/>
      <c r="D4334" s="78"/>
      <c r="E4334" s="78">
        <f>E4332+E4333</f>
        <v>2.97</v>
      </c>
    </row>
    <row r="4335" spans="1:5">
      <c r="A4335" s="76"/>
      <c r="B4335" s="77"/>
      <c r="C4335" s="78"/>
      <c r="D4335" s="78"/>
      <c r="E4335" s="78"/>
    </row>
    <row r="4336" spans="1:5">
      <c r="A4336" s="76" t="s">
        <v>3092</v>
      </c>
      <c r="B4336" s="77" t="s">
        <v>3531</v>
      </c>
      <c r="C4336" s="78"/>
      <c r="D4336" s="78"/>
      <c r="E4336" s="78"/>
    </row>
    <row r="4337" ht="25.5" spans="1:5">
      <c r="A4337" s="76" t="s">
        <v>3532</v>
      </c>
      <c r="B4337" s="77"/>
      <c r="C4337" s="78"/>
      <c r="D4337" s="78"/>
      <c r="E4337" s="78"/>
    </row>
    <row r="4338" spans="1:5">
      <c r="A4338" s="76" t="s">
        <v>2764</v>
      </c>
      <c r="B4338" s="77"/>
      <c r="C4338" s="78"/>
      <c r="D4338" s="78"/>
      <c r="E4338" s="78"/>
    </row>
    <row r="4339" spans="1:5">
      <c r="A4339" s="76"/>
      <c r="B4339" s="77"/>
      <c r="C4339" s="78"/>
      <c r="D4339" s="78"/>
      <c r="E4339" s="78"/>
    </row>
    <row r="4340" spans="1:5">
      <c r="A4340" s="76" t="s">
        <v>279</v>
      </c>
      <c r="B4340" s="77" t="s">
        <v>135</v>
      </c>
      <c r="C4340" s="78" t="s">
        <v>136</v>
      </c>
      <c r="D4340" s="78" t="s">
        <v>2534</v>
      </c>
      <c r="E4340" s="78" t="s">
        <v>2535</v>
      </c>
    </row>
    <row r="4341" ht="25.5" spans="1:5">
      <c r="A4341" s="76" t="s">
        <v>3526</v>
      </c>
      <c r="B4341" s="77" t="s">
        <v>494</v>
      </c>
      <c r="C4341" s="78">
        <v>1.408e-5</v>
      </c>
      <c r="D4341" s="78">
        <v>523066.43</v>
      </c>
      <c r="E4341" s="78">
        <f>TRUNC(C4341*D4341,2)</f>
        <v>7.36</v>
      </c>
    </row>
    <row r="4342" spans="1:5">
      <c r="A4342" s="76" t="s">
        <v>122</v>
      </c>
      <c r="B4342" s="77"/>
      <c r="C4342" s="78"/>
      <c r="D4342" s="78"/>
      <c r="E4342" s="78">
        <f>SUM(E4341:E4341)</f>
        <v>7.36</v>
      </c>
    </row>
    <row r="4343" spans="1:5">
      <c r="A4343" s="76"/>
      <c r="B4343" s="77"/>
      <c r="C4343" s="78"/>
      <c r="D4343" s="78"/>
      <c r="E4343" s="78"/>
    </row>
    <row r="4344" spans="1:5">
      <c r="A4344" s="76" t="s">
        <v>2538</v>
      </c>
      <c r="B4344" s="77"/>
      <c r="C4344" s="78"/>
      <c r="D4344" s="78"/>
      <c r="E4344" s="78">
        <f>E4342</f>
        <v>7.36</v>
      </c>
    </row>
    <row r="4345" spans="1:5">
      <c r="A4345" s="76" t="s">
        <v>2539</v>
      </c>
      <c r="B4345" s="77"/>
      <c r="C4345" s="78"/>
      <c r="D4345" s="78">
        <v>0</v>
      </c>
      <c r="E4345" s="78">
        <f>TRUNC(D4345*E4344/100,2)</f>
        <v>0</v>
      </c>
    </row>
    <row r="4346" spans="1:5">
      <c r="A4346" s="76" t="s">
        <v>2540</v>
      </c>
      <c r="B4346" s="77"/>
      <c r="C4346" s="78"/>
      <c r="D4346" s="78"/>
      <c r="E4346" s="78">
        <f>E4344+E4345</f>
        <v>7.36</v>
      </c>
    </row>
    <row r="4347" spans="1:5">
      <c r="A4347" s="76"/>
      <c r="B4347" s="77"/>
      <c r="C4347" s="78"/>
      <c r="D4347" s="78"/>
      <c r="E4347" s="78"/>
    </row>
    <row r="4348" spans="1:5">
      <c r="A4348" s="76" t="s">
        <v>3092</v>
      </c>
      <c r="B4348" s="77" t="s">
        <v>3533</v>
      </c>
      <c r="C4348" s="78"/>
      <c r="D4348" s="78"/>
      <c r="E4348" s="78"/>
    </row>
    <row r="4349" ht="25.5" spans="1:5">
      <c r="A4349" s="76" t="s">
        <v>3534</v>
      </c>
      <c r="B4349" s="77"/>
      <c r="C4349" s="78"/>
      <c r="D4349" s="78"/>
      <c r="E4349" s="78"/>
    </row>
    <row r="4350" spans="1:5">
      <c r="A4350" s="76" t="s">
        <v>2764</v>
      </c>
      <c r="B4350" s="77"/>
      <c r="C4350" s="78"/>
      <c r="D4350" s="78"/>
      <c r="E4350" s="78"/>
    </row>
    <row r="4351" spans="1:5">
      <c r="A4351" s="76"/>
      <c r="B4351" s="77"/>
      <c r="C4351" s="78"/>
      <c r="D4351" s="78"/>
      <c r="E4351" s="78"/>
    </row>
    <row r="4352" spans="1:5">
      <c r="A4352" s="76" t="s">
        <v>279</v>
      </c>
      <c r="B4352" s="77" t="s">
        <v>135</v>
      </c>
      <c r="C4352" s="78" t="s">
        <v>136</v>
      </c>
      <c r="D4352" s="78" t="s">
        <v>2534</v>
      </c>
      <c r="E4352" s="78" t="s">
        <v>2535</v>
      </c>
    </row>
    <row r="4353" ht="25.5" spans="1:5">
      <c r="A4353" s="76" t="s">
        <v>3526</v>
      </c>
      <c r="B4353" s="77" t="s">
        <v>494</v>
      </c>
      <c r="C4353" s="78">
        <v>6.427e-5</v>
      </c>
      <c r="D4353" s="78">
        <v>523066.43</v>
      </c>
      <c r="E4353" s="78">
        <f>TRUNC(C4353*D4353,2)</f>
        <v>33.61</v>
      </c>
    </row>
    <row r="4354" spans="1:5">
      <c r="A4354" s="76" t="s">
        <v>122</v>
      </c>
      <c r="B4354" s="77"/>
      <c r="C4354" s="78"/>
      <c r="D4354" s="78"/>
      <c r="E4354" s="78">
        <f>SUM(E4353:E4353)</f>
        <v>33.61</v>
      </c>
    </row>
    <row r="4355" spans="1:5">
      <c r="A4355" s="76"/>
      <c r="B4355" s="77"/>
      <c r="C4355" s="78"/>
      <c r="D4355" s="78"/>
      <c r="E4355" s="78"/>
    </row>
    <row r="4356" spans="1:5">
      <c r="A4356" s="76" t="s">
        <v>2538</v>
      </c>
      <c r="B4356" s="77"/>
      <c r="C4356" s="78"/>
      <c r="D4356" s="78"/>
      <c r="E4356" s="78">
        <f>E4354</f>
        <v>33.61</v>
      </c>
    </row>
    <row r="4357" spans="1:5">
      <c r="A4357" s="76" t="s">
        <v>2539</v>
      </c>
      <c r="B4357" s="77"/>
      <c r="C4357" s="78"/>
      <c r="D4357" s="78">
        <v>0</v>
      </c>
      <c r="E4357" s="78">
        <f>TRUNC(D4357*E4356/100,2)</f>
        <v>0</v>
      </c>
    </row>
    <row r="4358" spans="1:5">
      <c r="A4358" s="76" t="s">
        <v>2540</v>
      </c>
      <c r="B4358" s="77"/>
      <c r="C4358" s="78"/>
      <c r="D4358" s="78"/>
      <c r="E4358" s="78">
        <f>E4356+E4357</f>
        <v>33.61</v>
      </c>
    </row>
    <row r="4359" spans="1:5">
      <c r="A4359" s="76"/>
      <c r="B4359" s="77"/>
      <c r="C4359" s="78"/>
      <c r="D4359" s="78"/>
      <c r="E4359" s="78"/>
    </row>
    <row r="4360" spans="1:5">
      <c r="A4360" s="76" t="s">
        <v>3092</v>
      </c>
      <c r="B4360" s="77" t="s">
        <v>3535</v>
      </c>
      <c r="C4360" s="78"/>
      <c r="D4360" s="78"/>
      <c r="E4360" s="78"/>
    </row>
    <row r="4361" spans="1:5">
      <c r="A4361" s="76" t="s">
        <v>3536</v>
      </c>
      <c r="B4361" s="77"/>
      <c r="C4361" s="78"/>
      <c r="D4361" s="78"/>
      <c r="E4361" s="78"/>
    </row>
    <row r="4362" spans="1:5">
      <c r="A4362" s="76" t="s">
        <v>2764</v>
      </c>
      <c r="B4362" s="77"/>
      <c r="C4362" s="78"/>
      <c r="D4362" s="78"/>
      <c r="E4362" s="78"/>
    </row>
    <row r="4363" spans="1:5">
      <c r="A4363" s="76"/>
      <c r="B4363" s="77"/>
      <c r="C4363" s="78"/>
      <c r="D4363" s="78"/>
      <c r="E4363" s="78"/>
    </row>
    <row r="4364" spans="1:5">
      <c r="A4364" s="76" t="s">
        <v>2543</v>
      </c>
      <c r="B4364" s="77" t="s">
        <v>135</v>
      </c>
      <c r="C4364" s="78" t="s">
        <v>136</v>
      </c>
      <c r="D4364" s="78" t="s">
        <v>2534</v>
      </c>
      <c r="E4364" s="78" t="s">
        <v>2535</v>
      </c>
    </row>
    <row r="4365" spans="1:5">
      <c r="A4365" s="76" t="s">
        <v>3537</v>
      </c>
      <c r="B4365" s="77" t="s">
        <v>494</v>
      </c>
      <c r="C4365" s="78">
        <v>5.511e-5</v>
      </c>
      <c r="D4365" s="78">
        <v>36108</v>
      </c>
      <c r="E4365" s="78">
        <f>TRUNC(C4365*D4365,2)</f>
        <v>1.98</v>
      </c>
    </row>
    <row r="4366" spans="1:5">
      <c r="A4366" s="76" t="s">
        <v>122</v>
      </c>
      <c r="B4366" s="77"/>
      <c r="C4366" s="78"/>
      <c r="D4366" s="78"/>
      <c r="E4366" s="78">
        <f>SUM(E4365:E4365)</f>
        <v>1.98</v>
      </c>
    </row>
    <row r="4367" spans="1:5">
      <c r="A4367" s="76"/>
      <c r="B4367" s="77"/>
      <c r="C4367" s="78"/>
      <c r="D4367" s="78"/>
      <c r="E4367" s="78"/>
    </row>
    <row r="4368" spans="1:5">
      <c r="A4368" s="76" t="s">
        <v>2538</v>
      </c>
      <c r="B4368" s="77"/>
      <c r="C4368" s="78"/>
      <c r="D4368" s="78"/>
      <c r="E4368" s="78">
        <f>E4366</f>
        <v>1.98</v>
      </c>
    </row>
    <row r="4369" spans="1:5">
      <c r="A4369" s="76" t="s">
        <v>2539</v>
      </c>
      <c r="B4369" s="77"/>
      <c r="C4369" s="78"/>
      <c r="D4369" s="78">
        <v>0</v>
      </c>
      <c r="E4369" s="78">
        <f>TRUNC(D4369*E4368/100,2)</f>
        <v>0</v>
      </c>
    </row>
    <row r="4370" spans="1:5">
      <c r="A4370" s="76" t="s">
        <v>2540</v>
      </c>
      <c r="B4370" s="77"/>
      <c r="C4370" s="78"/>
      <c r="D4370" s="78"/>
      <c r="E4370" s="78">
        <f>E4368+E4369</f>
        <v>1.98</v>
      </c>
    </row>
    <row r="4371" spans="1:5">
      <c r="A4371" s="76"/>
      <c r="B4371" s="77"/>
      <c r="C4371" s="78"/>
      <c r="D4371" s="78"/>
      <c r="E4371" s="78"/>
    </row>
    <row r="4372" spans="1:5">
      <c r="A4372" s="76" t="s">
        <v>3092</v>
      </c>
      <c r="B4372" s="77" t="s">
        <v>3538</v>
      </c>
      <c r="C4372" s="78"/>
      <c r="D4372" s="78"/>
      <c r="E4372" s="78"/>
    </row>
    <row r="4373" spans="1:5">
      <c r="A4373" s="76" t="s">
        <v>3539</v>
      </c>
      <c r="B4373" s="77"/>
      <c r="C4373" s="78"/>
      <c r="D4373" s="78"/>
      <c r="E4373" s="78"/>
    </row>
    <row r="4374" spans="1:5">
      <c r="A4374" s="76" t="s">
        <v>2764</v>
      </c>
      <c r="B4374" s="77"/>
      <c r="C4374" s="78"/>
      <c r="D4374" s="78"/>
      <c r="E4374" s="78"/>
    </row>
    <row r="4375" spans="1:5">
      <c r="A4375" s="76"/>
      <c r="B4375" s="77"/>
      <c r="C4375" s="78"/>
      <c r="D4375" s="78"/>
      <c r="E4375" s="78"/>
    </row>
    <row r="4376" spans="1:5">
      <c r="A4376" s="76" t="s">
        <v>2543</v>
      </c>
      <c r="B4376" s="77" t="s">
        <v>135</v>
      </c>
      <c r="C4376" s="78" t="s">
        <v>136</v>
      </c>
      <c r="D4376" s="78" t="s">
        <v>2534</v>
      </c>
      <c r="E4376" s="78" t="s">
        <v>2535</v>
      </c>
    </row>
    <row r="4377" spans="1:5">
      <c r="A4377" s="76" t="s">
        <v>3537</v>
      </c>
      <c r="B4377" s="77" t="s">
        <v>494</v>
      </c>
      <c r="C4377" s="78">
        <v>1.44e-5</v>
      </c>
      <c r="D4377" s="78">
        <v>36108</v>
      </c>
      <c r="E4377" s="78">
        <f>TRUNC(C4377*D4377,2)</f>
        <v>0.51</v>
      </c>
    </row>
    <row r="4378" spans="1:5">
      <c r="A4378" s="76" t="s">
        <v>122</v>
      </c>
      <c r="B4378" s="77"/>
      <c r="C4378" s="78"/>
      <c r="D4378" s="78"/>
      <c r="E4378" s="78">
        <f>SUM(E4377:E4377)</f>
        <v>0.51</v>
      </c>
    </row>
    <row r="4379" spans="1:5">
      <c r="A4379" s="76"/>
      <c r="B4379" s="77"/>
      <c r="C4379" s="78"/>
      <c r="D4379" s="78"/>
      <c r="E4379" s="78"/>
    </row>
    <row r="4380" spans="1:5">
      <c r="A4380" s="76" t="s">
        <v>2538</v>
      </c>
      <c r="B4380" s="77"/>
      <c r="C4380" s="78"/>
      <c r="D4380" s="78"/>
      <c r="E4380" s="78">
        <f>E4378</f>
        <v>0.51</v>
      </c>
    </row>
    <row r="4381" spans="1:5">
      <c r="A4381" s="76" t="s">
        <v>2539</v>
      </c>
      <c r="B4381" s="77"/>
      <c r="C4381" s="78"/>
      <c r="D4381" s="78">
        <v>0</v>
      </c>
      <c r="E4381" s="78">
        <f>TRUNC(D4381*E4380/100,2)</f>
        <v>0</v>
      </c>
    </row>
    <row r="4382" spans="1:5">
      <c r="A4382" s="76" t="s">
        <v>2540</v>
      </c>
      <c r="B4382" s="77"/>
      <c r="C4382" s="78"/>
      <c r="D4382" s="78"/>
      <c r="E4382" s="78">
        <f>E4380+E4381</f>
        <v>0.51</v>
      </c>
    </row>
    <row r="4383" spans="1:5">
      <c r="A4383" s="76"/>
      <c r="B4383" s="77"/>
      <c r="C4383" s="78"/>
      <c r="D4383" s="78"/>
      <c r="E4383" s="78"/>
    </row>
    <row r="4384" spans="1:5">
      <c r="A4384" s="76" t="s">
        <v>3092</v>
      </c>
      <c r="B4384" s="77" t="s">
        <v>3540</v>
      </c>
      <c r="C4384" s="78"/>
      <c r="D4384" s="78"/>
      <c r="E4384" s="78"/>
    </row>
    <row r="4385" spans="1:5">
      <c r="A4385" s="76" t="s">
        <v>3541</v>
      </c>
      <c r="B4385" s="77"/>
      <c r="C4385" s="78"/>
      <c r="D4385" s="78"/>
      <c r="E4385" s="78"/>
    </row>
    <row r="4386" spans="1:5">
      <c r="A4386" s="76" t="s">
        <v>2764</v>
      </c>
      <c r="B4386" s="77"/>
      <c r="C4386" s="78"/>
      <c r="D4386" s="78"/>
      <c r="E4386" s="78"/>
    </row>
    <row r="4387" spans="1:5">
      <c r="A4387" s="76"/>
      <c r="B4387" s="77"/>
      <c r="C4387" s="78"/>
      <c r="D4387" s="78"/>
      <c r="E4387" s="78"/>
    </row>
    <row r="4388" spans="1:5">
      <c r="A4388" s="76" t="s">
        <v>2543</v>
      </c>
      <c r="B4388" s="77" t="s">
        <v>135</v>
      </c>
      <c r="C4388" s="78" t="s">
        <v>136</v>
      </c>
      <c r="D4388" s="78" t="s">
        <v>2534</v>
      </c>
      <c r="E4388" s="78" t="s">
        <v>2535</v>
      </c>
    </row>
    <row r="4389" spans="1:5">
      <c r="A4389" s="76" t="s">
        <v>3537</v>
      </c>
      <c r="B4389" s="77" t="s">
        <v>494</v>
      </c>
      <c r="C4389" s="78">
        <v>6.895e-5</v>
      </c>
      <c r="D4389" s="78">
        <v>36108</v>
      </c>
      <c r="E4389" s="78">
        <f>TRUNC(C4389*D4389,2)</f>
        <v>2.48</v>
      </c>
    </row>
    <row r="4390" spans="1:5">
      <c r="A4390" s="76" t="s">
        <v>122</v>
      </c>
      <c r="B4390" s="77"/>
      <c r="C4390" s="78"/>
      <c r="D4390" s="78"/>
      <c r="E4390" s="78">
        <f>SUM(E4389:E4389)</f>
        <v>2.48</v>
      </c>
    </row>
    <row r="4391" spans="1:5">
      <c r="A4391" s="76"/>
      <c r="B4391" s="77"/>
      <c r="C4391" s="78"/>
      <c r="D4391" s="78"/>
      <c r="E4391" s="78"/>
    </row>
    <row r="4392" spans="1:5">
      <c r="A4392" s="76" t="s">
        <v>2538</v>
      </c>
      <c r="B4392" s="77"/>
      <c r="C4392" s="78"/>
      <c r="D4392" s="78"/>
      <c r="E4392" s="78">
        <f>E4390</f>
        <v>2.48</v>
      </c>
    </row>
    <row r="4393" spans="1:5">
      <c r="A4393" s="76" t="s">
        <v>2539</v>
      </c>
      <c r="B4393" s="77"/>
      <c r="C4393" s="78"/>
      <c r="D4393" s="78">
        <v>0</v>
      </c>
      <c r="E4393" s="78">
        <f>TRUNC(D4393*E4392/100,2)</f>
        <v>0</v>
      </c>
    </row>
    <row r="4394" spans="1:5">
      <c r="A4394" s="76" t="s">
        <v>2540</v>
      </c>
      <c r="B4394" s="77"/>
      <c r="C4394" s="78"/>
      <c r="D4394" s="78"/>
      <c r="E4394" s="78">
        <f>E4392+E4393</f>
        <v>2.48</v>
      </c>
    </row>
    <row r="4395" spans="1:5">
      <c r="A4395" s="76"/>
      <c r="B4395" s="77"/>
      <c r="C4395" s="78"/>
      <c r="D4395" s="78"/>
      <c r="E4395" s="78"/>
    </row>
    <row r="4396" spans="1:5">
      <c r="A4396" s="76" t="s">
        <v>3092</v>
      </c>
      <c r="B4396" s="77">
        <v>127000049035</v>
      </c>
      <c r="C4396" s="78"/>
      <c r="D4396" s="78"/>
      <c r="E4396" s="78"/>
    </row>
    <row r="4397" spans="1:5">
      <c r="A4397" s="76" t="s">
        <v>3542</v>
      </c>
      <c r="B4397" s="77"/>
      <c r="C4397" s="78"/>
      <c r="D4397" s="78"/>
      <c r="E4397" s="78"/>
    </row>
    <row r="4398" spans="1:5">
      <c r="A4398" s="76" t="s">
        <v>2764</v>
      </c>
      <c r="B4398" s="77"/>
      <c r="C4398" s="78"/>
      <c r="D4398" s="78"/>
      <c r="E4398" s="78"/>
    </row>
    <row r="4399" spans="1:5">
      <c r="A4399" s="76"/>
      <c r="B4399" s="77"/>
      <c r="C4399" s="78"/>
      <c r="D4399" s="78"/>
      <c r="E4399" s="78"/>
    </row>
    <row r="4400" spans="1:5">
      <c r="A4400" s="76" t="s">
        <v>280</v>
      </c>
      <c r="B4400" s="77" t="s">
        <v>135</v>
      </c>
      <c r="C4400" s="78" t="s">
        <v>136</v>
      </c>
      <c r="D4400" s="78" t="s">
        <v>2534</v>
      </c>
      <c r="E4400" s="78" t="s">
        <v>2535</v>
      </c>
    </row>
    <row r="4401" spans="1:5">
      <c r="A4401" s="76" t="s">
        <v>3543</v>
      </c>
      <c r="B4401" s="77" t="s">
        <v>839</v>
      </c>
      <c r="C4401" s="78">
        <v>1</v>
      </c>
      <c r="D4401" s="78">
        <v>14.49</v>
      </c>
      <c r="E4401" s="78">
        <f>TRUNC(C4401*D4401,2)</f>
        <v>14.49</v>
      </c>
    </row>
    <row r="4402" ht="25.5" spans="1:5">
      <c r="A4402" s="76" t="s">
        <v>3113</v>
      </c>
      <c r="B4402" s="77" t="s">
        <v>839</v>
      </c>
      <c r="C4402" s="78">
        <v>1</v>
      </c>
      <c r="D4402" s="78">
        <v>0.08</v>
      </c>
      <c r="E4402" s="78">
        <f>TRUNC(C4402*D4402,2)</f>
        <v>0.08</v>
      </c>
    </row>
    <row r="4403" spans="1:5">
      <c r="A4403" s="76" t="s">
        <v>122</v>
      </c>
      <c r="B4403" s="77"/>
      <c r="C4403" s="78"/>
      <c r="D4403" s="78"/>
      <c r="E4403" s="78">
        <f>SUM(E4401:E4402)</f>
        <v>14.57</v>
      </c>
    </row>
    <row r="4404" spans="1:5">
      <c r="A4404" s="76" t="s">
        <v>117</v>
      </c>
      <c r="B4404" s="77"/>
      <c r="C4404" s="78"/>
      <c r="D4404" s="78"/>
      <c r="E4404" s="78" t="str">
        <f>"0"</f>
        <v>0</v>
      </c>
    </row>
    <row r="4405" spans="1:5">
      <c r="A4405" s="76" t="s">
        <v>2537</v>
      </c>
      <c r="B4405" s="77"/>
      <c r="C4405" s="78"/>
      <c r="D4405" s="78"/>
      <c r="E4405" s="78">
        <f>E4403+E4404</f>
        <v>14.57</v>
      </c>
    </row>
    <row r="4406" spans="1:5">
      <c r="A4406" s="76"/>
      <c r="B4406" s="77"/>
      <c r="C4406" s="78"/>
      <c r="D4406" s="78"/>
      <c r="E4406" s="78"/>
    </row>
    <row r="4407" spans="1:5">
      <c r="A4407" s="76" t="s">
        <v>2543</v>
      </c>
      <c r="B4407" s="77" t="s">
        <v>135</v>
      </c>
      <c r="C4407" s="78" t="s">
        <v>136</v>
      </c>
      <c r="D4407" s="78" t="s">
        <v>2534</v>
      </c>
      <c r="E4407" s="78" t="s">
        <v>2535</v>
      </c>
    </row>
    <row r="4408" ht="25.5" spans="1:5">
      <c r="A4408" s="76" t="s">
        <v>3370</v>
      </c>
      <c r="B4408" s="77" t="s">
        <v>839</v>
      </c>
      <c r="C4408" s="78">
        <v>1</v>
      </c>
      <c r="D4408" s="78">
        <v>0.74</v>
      </c>
      <c r="E4408" s="78">
        <f>TRUNC(C4408*D4408,2)</f>
        <v>0.74</v>
      </c>
    </row>
    <row r="4409" spans="1:5">
      <c r="A4409" s="76" t="s">
        <v>3116</v>
      </c>
      <c r="B4409" s="77" t="s">
        <v>839</v>
      </c>
      <c r="C4409" s="78">
        <v>1</v>
      </c>
      <c r="D4409" s="78">
        <v>1.43</v>
      </c>
      <c r="E4409" s="78">
        <f>TRUNC(C4409*D4409,2)</f>
        <v>1.43</v>
      </c>
    </row>
    <row r="4410" ht="25.5" spans="1:5">
      <c r="A4410" s="76" t="s">
        <v>3371</v>
      </c>
      <c r="B4410" s="77" t="s">
        <v>839</v>
      </c>
      <c r="C4410" s="78">
        <v>1</v>
      </c>
      <c r="D4410" s="78">
        <v>0.05</v>
      </c>
      <c r="E4410" s="78">
        <f>TRUNC(C4410*D4410,2)</f>
        <v>0.05</v>
      </c>
    </row>
    <row r="4411" ht="25.5" spans="1:5">
      <c r="A4411" s="76" t="s">
        <v>3544</v>
      </c>
      <c r="B4411" s="77" t="s">
        <v>839</v>
      </c>
      <c r="C4411" s="78">
        <v>1</v>
      </c>
      <c r="D4411" s="78">
        <v>0.12</v>
      </c>
      <c r="E4411" s="78">
        <f>TRUNC(C4411*D4411,2)</f>
        <v>0.12</v>
      </c>
    </row>
    <row r="4412" spans="1:5">
      <c r="A4412" s="76" t="s">
        <v>122</v>
      </c>
      <c r="B4412" s="77"/>
      <c r="C4412" s="78"/>
      <c r="D4412" s="78"/>
      <c r="E4412" s="78">
        <f>SUM(E4408:E4411)</f>
        <v>2.34</v>
      </c>
    </row>
    <row r="4413" spans="1:5">
      <c r="A4413" s="76"/>
      <c r="B4413" s="77"/>
      <c r="C4413" s="78"/>
      <c r="D4413" s="78"/>
      <c r="E4413" s="78"/>
    </row>
    <row r="4414" spans="1:5">
      <c r="A4414" s="76" t="s">
        <v>2538</v>
      </c>
      <c r="B4414" s="77"/>
      <c r="C4414" s="78"/>
      <c r="D4414" s="78"/>
      <c r="E4414" s="78">
        <f>E4405+E4412</f>
        <v>16.91</v>
      </c>
    </row>
    <row r="4415" spans="1:5">
      <c r="A4415" s="76" t="s">
        <v>2539</v>
      </c>
      <c r="B4415" s="77"/>
      <c r="C4415" s="78"/>
      <c r="D4415" s="78">
        <v>0</v>
      </c>
      <c r="E4415" s="78">
        <f>TRUNC(D4415*E4414/100,2)</f>
        <v>0</v>
      </c>
    </row>
    <row r="4416" spans="1:5">
      <c r="A4416" s="76" t="s">
        <v>2540</v>
      </c>
      <c r="B4416" s="77"/>
      <c r="C4416" s="78"/>
      <c r="D4416" s="78"/>
      <c r="E4416" s="78">
        <f>E4414+E4415</f>
        <v>16.91</v>
      </c>
    </row>
    <row r="4417" spans="1:5">
      <c r="A4417" s="76"/>
      <c r="B4417" s="77"/>
      <c r="C4417" s="78"/>
      <c r="D4417" s="78"/>
      <c r="E4417" s="78"/>
    </row>
    <row r="4418" spans="1:5">
      <c r="A4418" s="76" t="s">
        <v>3092</v>
      </c>
      <c r="B4418" s="77">
        <v>127000049034</v>
      </c>
      <c r="C4418" s="78"/>
      <c r="D4418" s="78"/>
      <c r="E4418" s="78"/>
    </row>
    <row r="4419" ht="25.5" spans="1:5">
      <c r="A4419" s="76" t="s">
        <v>3545</v>
      </c>
      <c r="B4419" s="77"/>
      <c r="C4419" s="78"/>
      <c r="D4419" s="78"/>
      <c r="E4419" s="78"/>
    </row>
    <row r="4420" spans="1:5">
      <c r="A4420" s="76" t="s">
        <v>2764</v>
      </c>
      <c r="B4420" s="77"/>
      <c r="C4420" s="78"/>
      <c r="D4420" s="78"/>
      <c r="E4420" s="78"/>
    </row>
    <row r="4421" spans="1:5">
      <c r="A4421" s="76"/>
      <c r="B4421" s="77"/>
      <c r="C4421" s="78"/>
      <c r="D4421" s="78"/>
      <c r="E4421" s="78"/>
    </row>
    <row r="4422" spans="1:5">
      <c r="A4422" s="76" t="s">
        <v>280</v>
      </c>
      <c r="B4422" s="77" t="s">
        <v>135</v>
      </c>
      <c r="C4422" s="78" t="s">
        <v>136</v>
      </c>
      <c r="D4422" s="78" t="s">
        <v>2534</v>
      </c>
      <c r="E4422" s="78" t="s">
        <v>2535</v>
      </c>
    </row>
    <row r="4423" spans="1:5">
      <c r="A4423" s="76" t="s">
        <v>3543</v>
      </c>
      <c r="B4423" s="77" t="s">
        <v>839</v>
      </c>
      <c r="C4423" s="78">
        <v>0.00831</v>
      </c>
      <c r="D4423" s="78">
        <v>14.49</v>
      </c>
      <c r="E4423" s="78">
        <f>TRUNC(C4423*D4423,2)</f>
        <v>0.12</v>
      </c>
    </row>
    <row r="4424" spans="1:5">
      <c r="A4424" s="76" t="s">
        <v>122</v>
      </c>
      <c r="B4424" s="77"/>
      <c r="C4424" s="78"/>
      <c r="D4424" s="78"/>
      <c r="E4424" s="78">
        <f>SUM(E4423:E4423)</f>
        <v>0.12</v>
      </c>
    </row>
    <row r="4425" spans="1:5">
      <c r="A4425" s="76" t="s">
        <v>117</v>
      </c>
      <c r="B4425" s="77"/>
      <c r="C4425" s="78"/>
      <c r="D4425" s="78"/>
      <c r="E4425" s="78" t="str">
        <f>"0"</f>
        <v>0</v>
      </c>
    </row>
    <row r="4426" spans="1:5">
      <c r="A4426" s="76" t="s">
        <v>2537</v>
      </c>
      <c r="B4426" s="77"/>
      <c r="C4426" s="78"/>
      <c r="D4426" s="78"/>
      <c r="E4426" s="78">
        <f>E4424+E4425</f>
        <v>0.12</v>
      </c>
    </row>
    <row r="4427" spans="1:5">
      <c r="A4427" s="76"/>
      <c r="B4427" s="77"/>
      <c r="C4427" s="78"/>
      <c r="D4427" s="78"/>
      <c r="E4427" s="78"/>
    </row>
    <row r="4428" spans="1:5">
      <c r="A4428" s="76" t="s">
        <v>2538</v>
      </c>
      <c r="B4428" s="77"/>
      <c r="C4428" s="78"/>
      <c r="D4428" s="78"/>
      <c r="E4428" s="78">
        <f>E4426</f>
        <v>0.12</v>
      </c>
    </row>
    <row r="4429" spans="1:5">
      <c r="A4429" s="76" t="s">
        <v>2539</v>
      </c>
      <c r="B4429" s="77"/>
      <c r="C4429" s="78"/>
      <c r="D4429" s="78">
        <v>0</v>
      </c>
      <c r="E4429" s="78">
        <f>TRUNC(D4429*E4428/100,2)</f>
        <v>0</v>
      </c>
    </row>
    <row r="4430" spans="1:5">
      <c r="A4430" s="76" t="s">
        <v>2540</v>
      </c>
      <c r="B4430" s="77"/>
      <c r="C4430" s="78"/>
      <c r="D4430" s="78"/>
      <c r="E4430" s="78">
        <f>E4428+E4429</f>
        <v>0.12</v>
      </c>
    </row>
    <row r="4431" spans="1:5">
      <c r="A4431" s="76"/>
      <c r="B4431" s="77"/>
      <c r="C4431" s="78"/>
      <c r="D4431" s="78"/>
      <c r="E4431" s="78"/>
    </row>
    <row r="4432" spans="1:5">
      <c r="A4432" s="76" t="s">
        <v>3092</v>
      </c>
      <c r="B4432" s="77" t="s">
        <v>3546</v>
      </c>
      <c r="C4432" s="78"/>
      <c r="D4432" s="78"/>
      <c r="E4432" s="78"/>
    </row>
    <row r="4433" spans="1:5">
      <c r="A4433" s="76" t="s">
        <v>3547</v>
      </c>
      <c r="B4433" s="77"/>
      <c r="C4433" s="78"/>
      <c r="D4433" s="78"/>
      <c r="E4433" s="78"/>
    </row>
    <row r="4434" spans="1:5">
      <c r="A4434" s="76" t="s">
        <v>3085</v>
      </c>
      <c r="B4434" s="77"/>
      <c r="C4434" s="78"/>
      <c r="D4434" s="78"/>
      <c r="E4434" s="78"/>
    </row>
    <row r="4435" spans="1:5">
      <c r="A4435" s="76"/>
      <c r="B4435" s="77"/>
      <c r="C4435" s="78"/>
      <c r="D4435" s="78"/>
      <c r="E4435" s="78"/>
    </row>
    <row r="4436" spans="1:5">
      <c r="A4436" s="76" t="s">
        <v>2543</v>
      </c>
      <c r="B4436" s="77" t="s">
        <v>135</v>
      </c>
      <c r="C4436" s="78" t="s">
        <v>136</v>
      </c>
      <c r="D4436" s="78" t="s">
        <v>2534</v>
      </c>
      <c r="E4436" s="78" t="s">
        <v>2535</v>
      </c>
    </row>
    <row r="4437" ht="25.5" spans="1:5">
      <c r="A4437" s="76" t="s">
        <v>3548</v>
      </c>
      <c r="B4437" s="77" t="s">
        <v>839</v>
      </c>
      <c r="C4437" s="78">
        <v>1</v>
      </c>
      <c r="D4437" s="78">
        <v>0.34</v>
      </c>
      <c r="E4437" s="78">
        <f>TRUNC(C4437*D4437,2)</f>
        <v>0.34</v>
      </c>
    </row>
    <row r="4438" spans="1:5">
      <c r="A4438" s="76" t="s">
        <v>3549</v>
      </c>
      <c r="B4438" s="77" t="s">
        <v>839</v>
      </c>
      <c r="C4438" s="78">
        <v>1</v>
      </c>
      <c r="D4438" s="78">
        <v>0.01</v>
      </c>
      <c r="E4438" s="78">
        <f>TRUNC(C4438*D4438,2)</f>
        <v>0.01</v>
      </c>
    </row>
    <row r="4439" ht="25.5" spans="1:5">
      <c r="A4439" s="76" t="s">
        <v>3550</v>
      </c>
      <c r="B4439" s="77" t="s">
        <v>839</v>
      </c>
      <c r="C4439" s="78">
        <v>1</v>
      </c>
      <c r="D4439" s="78">
        <v>0.21</v>
      </c>
      <c r="E4439" s="78">
        <f>TRUNC(C4439*D4439,2)</f>
        <v>0.21</v>
      </c>
    </row>
    <row r="4440" spans="1:5">
      <c r="A4440" s="76" t="s">
        <v>122</v>
      </c>
      <c r="B4440" s="77"/>
      <c r="C4440" s="78"/>
      <c r="D4440" s="78"/>
      <c r="E4440" s="78">
        <f>SUM(E4437:E4439)</f>
        <v>0.56</v>
      </c>
    </row>
    <row r="4441" spans="1:5">
      <c r="A4441" s="76"/>
      <c r="B4441" s="77"/>
      <c r="C4441" s="78"/>
      <c r="D4441" s="78"/>
      <c r="E4441" s="78"/>
    </row>
    <row r="4442" spans="1:5">
      <c r="A4442" s="76" t="s">
        <v>2538</v>
      </c>
      <c r="B4442" s="77"/>
      <c r="C4442" s="78"/>
      <c r="D4442" s="78"/>
      <c r="E4442" s="78">
        <f>E4440</f>
        <v>0.56</v>
      </c>
    </row>
    <row r="4443" spans="1:5">
      <c r="A4443" s="76" t="s">
        <v>2539</v>
      </c>
      <c r="B4443" s="77"/>
      <c r="C4443" s="78"/>
      <c r="D4443" s="78">
        <v>0</v>
      </c>
      <c r="E4443" s="78">
        <f>TRUNC(D4443*E4442/100,2)</f>
        <v>0</v>
      </c>
    </row>
    <row r="4444" spans="1:5">
      <c r="A4444" s="76" t="s">
        <v>2540</v>
      </c>
      <c r="B4444" s="77"/>
      <c r="C4444" s="78"/>
      <c r="D4444" s="78"/>
      <c r="E4444" s="78">
        <f>E4442+E4443</f>
        <v>0.56</v>
      </c>
    </row>
    <row r="4445" spans="1:5">
      <c r="A4445" s="76"/>
      <c r="B4445" s="77"/>
      <c r="C4445" s="78"/>
      <c r="D4445" s="78"/>
      <c r="E4445" s="78"/>
    </row>
    <row r="4446" spans="1:5">
      <c r="A4446" s="76" t="s">
        <v>3092</v>
      </c>
      <c r="B4446" s="77" t="s">
        <v>3551</v>
      </c>
      <c r="C4446" s="78"/>
      <c r="D4446" s="78"/>
      <c r="E4446" s="78"/>
    </row>
    <row r="4447" spans="1:5">
      <c r="A4447" s="76" t="s">
        <v>3552</v>
      </c>
      <c r="B4447" s="77"/>
      <c r="C4447" s="78"/>
      <c r="D4447" s="78"/>
      <c r="E4447" s="78"/>
    </row>
    <row r="4448" spans="1:5">
      <c r="A4448" s="76" t="s">
        <v>2764</v>
      </c>
      <c r="B4448" s="77"/>
      <c r="C4448" s="78"/>
      <c r="D4448" s="78"/>
      <c r="E4448" s="78"/>
    </row>
    <row r="4449" spans="1:5">
      <c r="A4449" s="76"/>
      <c r="B4449" s="77"/>
      <c r="C4449" s="78"/>
      <c r="D4449" s="78"/>
      <c r="E4449" s="78"/>
    </row>
    <row r="4450" spans="1:5">
      <c r="A4450" s="76" t="s">
        <v>2543</v>
      </c>
      <c r="B4450" s="77" t="s">
        <v>135</v>
      </c>
      <c r="C4450" s="78" t="s">
        <v>136</v>
      </c>
      <c r="D4450" s="78" t="s">
        <v>2534</v>
      </c>
      <c r="E4450" s="78" t="s">
        <v>2535</v>
      </c>
    </row>
    <row r="4451" ht="25.5" spans="1:5">
      <c r="A4451" s="76" t="s">
        <v>3553</v>
      </c>
      <c r="B4451" s="77" t="s">
        <v>494</v>
      </c>
      <c r="C4451" s="78">
        <v>0.00078565</v>
      </c>
      <c r="D4451" s="78">
        <v>445.49</v>
      </c>
      <c r="E4451" s="78">
        <f>TRUNC(C4451*D4451,2)</f>
        <v>0.34</v>
      </c>
    </row>
    <row r="4452" spans="1:5">
      <c r="A4452" s="76" t="s">
        <v>122</v>
      </c>
      <c r="B4452" s="77"/>
      <c r="C4452" s="78"/>
      <c r="D4452" s="78"/>
      <c r="E4452" s="78">
        <f>SUM(E4451:E4451)</f>
        <v>0.34</v>
      </c>
    </row>
    <row r="4453" spans="1:5">
      <c r="A4453" s="76"/>
      <c r="B4453" s="77"/>
      <c r="C4453" s="78"/>
      <c r="D4453" s="78"/>
      <c r="E4453" s="78"/>
    </row>
    <row r="4454" spans="1:5">
      <c r="A4454" s="76" t="s">
        <v>2538</v>
      </c>
      <c r="B4454" s="77"/>
      <c r="C4454" s="78"/>
      <c r="D4454" s="78"/>
      <c r="E4454" s="78">
        <f>E4452</f>
        <v>0.34</v>
      </c>
    </row>
    <row r="4455" spans="1:5">
      <c r="A4455" s="76" t="s">
        <v>2539</v>
      </c>
      <c r="B4455" s="77"/>
      <c r="C4455" s="78"/>
      <c r="D4455" s="78">
        <v>0</v>
      </c>
      <c r="E4455" s="78">
        <f>TRUNC(D4455*E4454/100,2)</f>
        <v>0</v>
      </c>
    </row>
    <row r="4456" spans="1:5">
      <c r="A4456" s="76" t="s">
        <v>2540</v>
      </c>
      <c r="B4456" s="77"/>
      <c r="C4456" s="78"/>
      <c r="D4456" s="78"/>
      <c r="E4456" s="78">
        <f>E4454+E4455</f>
        <v>0.34</v>
      </c>
    </row>
    <row r="4457" spans="1:5">
      <c r="A4457" s="76"/>
      <c r="B4457" s="77"/>
      <c r="C4457" s="78"/>
      <c r="D4457" s="78"/>
      <c r="E4457" s="78"/>
    </row>
    <row r="4458" spans="1:5">
      <c r="A4458" s="76" t="s">
        <v>3092</v>
      </c>
      <c r="B4458" s="77" t="s">
        <v>3554</v>
      </c>
      <c r="C4458" s="78"/>
      <c r="D4458" s="78"/>
      <c r="E4458" s="78"/>
    </row>
    <row r="4459" spans="1:5">
      <c r="A4459" s="76" t="s">
        <v>3555</v>
      </c>
      <c r="B4459" s="77"/>
      <c r="C4459" s="78"/>
      <c r="D4459" s="78"/>
      <c r="E4459" s="78"/>
    </row>
    <row r="4460" spans="1:5">
      <c r="A4460" s="76" t="s">
        <v>2764</v>
      </c>
      <c r="B4460" s="77"/>
      <c r="C4460" s="78"/>
      <c r="D4460" s="78"/>
      <c r="E4460" s="78"/>
    </row>
    <row r="4461" spans="1:5">
      <c r="A4461" s="76"/>
      <c r="B4461" s="77"/>
      <c r="C4461" s="78"/>
      <c r="D4461" s="78"/>
      <c r="E4461" s="78"/>
    </row>
    <row r="4462" spans="1:5">
      <c r="A4462" s="76" t="s">
        <v>2543</v>
      </c>
      <c r="B4462" s="77" t="s">
        <v>135</v>
      </c>
      <c r="C4462" s="78" t="s">
        <v>136</v>
      </c>
      <c r="D4462" s="78" t="s">
        <v>2534</v>
      </c>
      <c r="E4462" s="78" t="s">
        <v>2535</v>
      </c>
    </row>
    <row r="4463" ht="25.5" spans="1:5">
      <c r="A4463" s="76" t="s">
        <v>3553</v>
      </c>
      <c r="B4463" s="77" t="s">
        <v>494</v>
      </c>
      <c r="C4463" s="78">
        <v>4.489e-5</v>
      </c>
      <c r="D4463" s="78">
        <v>445.49</v>
      </c>
      <c r="E4463" s="78">
        <f>TRUNC(C4463*D4463,2)</f>
        <v>0.01</v>
      </c>
    </row>
    <row r="4464" spans="1:5">
      <c r="A4464" s="76" t="s">
        <v>122</v>
      </c>
      <c r="B4464" s="77"/>
      <c r="C4464" s="78"/>
      <c r="D4464" s="78"/>
      <c r="E4464" s="78">
        <f>SUM(E4463:E4463)</f>
        <v>0.01</v>
      </c>
    </row>
    <row r="4465" spans="1:5">
      <c r="A4465" s="76"/>
      <c r="B4465" s="77"/>
      <c r="C4465" s="78"/>
      <c r="D4465" s="78"/>
      <c r="E4465" s="78"/>
    </row>
    <row r="4466" spans="1:5">
      <c r="A4466" s="76" t="s">
        <v>2538</v>
      </c>
      <c r="B4466" s="77"/>
      <c r="C4466" s="78"/>
      <c r="D4466" s="78"/>
      <c r="E4466" s="78">
        <f>E4464</f>
        <v>0.01</v>
      </c>
    </row>
    <row r="4467" spans="1:5">
      <c r="A4467" s="76" t="s">
        <v>2539</v>
      </c>
      <c r="B4467" s="77"/>
      <c r="C4467" s="78"/>
      <c r="D4467" s="78">
        <v>0</v>
      </c>
      <c r="E4467" s="78">
        <f>TRUNC(D4467*E4466/100,2)</f>
        <v>0</v>
      </c>
    </row>
    <row r="4468" spans="1:5">
      <c r="A4468" s="76" t="s">
        <v>2540</v>
      </c>
      <c r="B4468" s="77"/>
      <c r="C4468" s="78"/>
      <c r="D4468" s="78"/>
      <c r="E4468" s="78">
        <f>E4466+E4467</f>
        <v>0.01</v>
      </c>
    </row>
    <row r="4469" spans="1:5">
      <c r="A4469" s="76"/>
      <c r="B4469" s="77"/>
      <c r="C4469" s="78"/>
      <c r="D4469" s="78"/>
      <c r="E4469" s="78"/>
    </row>
    <row r="4470" spans="1:5">
      <c r="A4470" s="76" t="s">
        <v>3092</v>
      </c>
      <c r="B4470" s="77" t="s">
        <v>3556</v>
      </c>
      <c r="C4470" s="78"/>
      <c r="D4470" s="78"/>
      <c r="E4470" s="78"/>
    </row>
    <row r="4471" spans="1:5">
      <c r="A4471" s="76" t="s">
        <v>3557</v>
      </c>
      <c r="B4471" s="77"/>
      <c r="C4471" s="78"/>
      <c r="D4471" s="78"/>
      <c r="E4471" s="78"/>
    </row>
    <row r="4472" spans="1:5">
      <c r="A4472" s="76" t="s">
        <v>2764</v>
      </c>
      <c r="B4472" s="77"/>
      <c r="C4472" s="78"/>
      <c r="D4472" s="78"/>
      <c r="E4472" s="78"/>
    </row>
    <row r="4473" spans="1:5">
      <c r="A4473" s="76"/>
      <c r="B4473" s="77"/>
      <c r="C4473" s="78"/>
      <c r="D4473" s="78"/>
      <c r="E4473" s="78"/>
    </row>
    <row r="4474" spans="1:5">
      <c r="A4474" s="76" t="s">
        <v>2543</v>
      </c>
      <c r="B4474" s="77" t="s">
        <v>135</v>
      </c>
      <c r="C4474" s="78" t="s">
        <v>136</v>
      </c>
      <c r="D4474" s="78" t="s">
        <v>2534</v>
      </c>
      <c r="E4474" s="78" t="s">
        <v>2535</v>
      </c>
    </row>
    <row r="4475" ht="25.5" spans="1:5">
      <c r="A4475" s="76" t="s">
        <v>3553</v>
      </c>
      <c r="B4475" s="77" t="s">
        <v>494</v>
      </c>
      <c r="C4475" s="78">
        <v>0.00049383</v>
      </c>
      <c r="D4475" s="78">
        <v>445.49</v>
      </c>
      <c r="E4475" s="78">
        <f>TRUNC(C4475*D4475,2)</f>
        <v>0.21</v>
      </c>
    </row>
    <row r="4476" spans="1:5">
      <c r="A4476" s="76" t="s">
        <v>122</v>
      </c>
      <c r="B4476" s="77"/>
      <c r="C4476" s="78"/>
      <c r="D4476" s="78"/>
      <c r="E4476" s="78">
        <f>SUM(E4475:E4475)</f>
        <v>0.21</v>
      </c>
    </row>
    <row r="4477" spans="1:5">
      <c r="A4477" s="76"/>
      <c r="B4477" s="77"/>
      <c r="C4477" s="78"/>
      <c r="D4477" s="78"/>
      <c r="E4477" s="78"/>
    </row>
    <row r="4478" spans="1:5">
      <c r="A4478" s="76" t="s">
        <v>2538</v>
      </c>
      <c r="B4478" s="77"/>
      <c r="C4478" s="78"/>
      <c r="D4478" s="78"/>
      <c r="E4478" s="78">
        <f>E4476</f>
        <v>0.21</v>
      </c>
    </row>
    <row r="4479" spans="1:5">
      <c r="A4479" s="76" t="s">
        <v>2539</v>
      </c>
      <c r="B4479" s="77"/>
      <c r="C4479" s="78"/>
      <c r="D4479" s="78">
        <v>0</v>
      </c>
      <c r="E4479" s="78">
        <f>TRUNC(D4479*E4478/100,2)</f>
        <v>0</v>
      </c>
    </row>
    <row r="4480" spans="1:5">
      <c r="A4480" s="76" t="s">
        <v>2540</v>
      </c>
      <c r="B4480" s="77"/>
      <c r="C4480" s="78"/>
      <c r="D4480" s="78"/>
      <c r="E4480" s="78">
        <f>E4478+E4479</f>
        <v>0.21</v>
      </c>
    </row>
    <row r="4481" spans="1:5">
      <c r="A4481" s="76"/>
      <c r="B4481" s="77"/>
      <c r="C4481" s="78"/>
      <c r="D4481" s="78"/>
      <c r="E4481" s="78"/>
    </row>
    <row r="4482" spans="1:5">
      <c r="A4482" s="76" t="s">
        <v>3092</v>
      </c>
      <c r="B4482" s="77" t="s">
        <v>3558</v>
      </c>
      <c r="C4482" s="78"/>
      <c r="D4482" s="78"/>
      <c r="E4482" s="78"/>
    </row>
    <row r="4483" ht="25.5" spans="1:5">
      <c r="A4483" s="76" t="s">
        <v>3559</v>
      </c>
      <c r="B4483" s="77"/>
      <c r="C4483" s="78"/>
      <c r="D4483" s="78"/>
      <c r="E4483" s="78"/>
    </row>
    <row r="4484" spans="1:5">
      <c r="A4484" s="76" t="s">
        <v>3085</v>
      </c>
      <c r="B4484" s="77"/>
      <c r="C4484" s="78"/>
      <c r="D4484" s="78"/>
      <c r="E4484" s="78"/>
    </row>
    <row r="4485" spans="1:5">
      <c r="A4485" s="76"/>
      <c r="B4485" s="77"/>
      <c r="C4485" s="78"/>
      <c r="D4485" s="78"/>
      <c r="E4485" s="78"/>
    </row>
    <row r="4486" spans="1:5">
      <c r="A4486" s="76" t="s">
        <v>2543</v>
      </c>
      <c r="B4486" s="77" t="s">
        <v>135</v>
      </c>
      <c r="C4486" s="78" t="s">
        <v>136</v>
      </c>
      <c r="D4486" s="78" t="s">
        <v>2534</v>
      </c>
      <c r="E4486" s="78" t="s">
        <v>2535</v>
      </c>
    </row>
    <row r="4487" ht="25.5" spans="1:5">
      <c r="A4487" s="76" t="s">
        <v>3273</v>
      </c>
      <c r="B4487" s="77" t="s">
        <v>839</v>
      </c>
      <c r="C4487" s="78">
        <v>1</v>
      </c>
      <c r="D4487" s="78">
        <v>26.06</v>
      </c>
      <c r="E4487" s="78">
        <f>TRUNC(C4487*D4487,2)</f>
        <v>26.06</v>
      </c>
    </row>
    <row r="4488" ht="25.5" spans="1:5">
      <c r="A4488" s="76" t="s">
        <v>3560</v>
      </c>
      <c r="B4488" s="77" t="s">
        <v>839</v>
      </c>
      <c r="C4488" s="78">
        <v>1</v>
      </c>
      <c r="D4488" s="78">
        <v>1.88</v>
      </c>
      <c r="E4488" s="78">
        <f>TRUNC(C4488*D4488,2)</f>
        <v>1.88</v>
      </c>
    </row>
    <row r="4489" ht="25.5" spans="1:5">
      <c r="A4489" s="76" t="s">
        <v>3561</v>
      </c>
      <c r="B4489" s="77" t="s">
        <v>839</v>
      </c>
      <c r="C4489" s="78">
        <v>1</v>
      </c>
      <c r="D4489" s="78">
        <v>0.42</v>
      </c>
      <c r="E4489" s="78">
        <f>TRUNC(C4489*D4489,2)</f>
        <v>0.42</v>
      </c>
    </row>
    <row r="4490" ht="25.5" spans="1:5">
      <c r="A4490" s="76" t="s">
        <v>3562</v>
      </c>
      <c r="B4490" s="77" t="s">
        <v>839</v>
      </c>
      <c r="C4490" s="78">
        <v>1</v>
      </c>
      <c r="D4490" s="78">
        <v>2.35</v>
      </c>
      <c r="E4490" s="78">
        <f>TRUNC(C4490*D4490,2)</f>
        <v>2.35</v>
      </c>
    </row>
    <row r="4491" spans="1:5">
      <c r="A4491" s="76" t="s">
        <v>122</v>
      </c>
      <c r="B4491" s="77"/>
      <c r="C4491" s="78"/>
      <c r="D4491" s="78"/>
      <c r="E4491" s="78">
        <f>SUM(E4487:E4490)</f>
        <v>30.71</v>
      </c>
    </row>
    <row r="4492" spans="1:5">
      <c r="A4492" s="76"/>
      <c r="B4492" s="77"/>
      <c r="C4492" s="78"/>
      <c r="D4492" s="78"/>
      <c r="E4492" s="78"/>
    </row>
    <row r="4493" spans="1:5">
      <c r="A4493" s="76" t="s">
        <v>2538</v>
      </c>
      <c r="B4493" s="77"/>
      <c r="C4493" s="78"/>
      <c r="D4493" s="78"/>
      <c r="E4493" s="78">
        <f>E4491</f>
        <v>30.71</v>
      </c>
    </row>
    <row r="4494" spans="1:5">
      <c r="A4494" s="76" t="s">
        <v>2539</v>
      </c>
      <c r="B4494" s="77"/>
      <c r="C4494" s="78"/>
      <c r="D4494" s="78">
        <v>0</v>
      </c>
      <c r="E4494" s="78">
        <f>TRUNC(D4494*E4493/100,2)</f>
        <v>0</v>
      </c>
    </row>
    <row r="4495" spans="1:5">
      <c r="A4495" s="76" t="s">
        <v>2540</v>
      </c>
      <c r="B4495" s="77"/>
      <c r="C4495" s="78"/>
      <c r="D4495" s="78"/>
      <c r="E4495" s="78">
        <f>E4493+E4494</f>
        <v>30.71</v>
      </c>
    </row>
    <row r="4496" spans="1:5">
      <c r="A4496" s="76"/>
      <c r="B4496" s="77"/>
      <c r="C4496" s="78"/>
      <c r="D4496" s="78"/>
      <c r="E4496" s="78"/>
    </row>
    <row r="4497" spans="1:5">
      <c r="A4497" s="76" t="s">
        <v>3092</v>
      </c>
      <c r="B4497" s="77" t="s">
        <v>3563</v>
      </c>
      <c r="C4497" s="78"/>
      <c r="D4497" s="78"/>
      <c r="E4497" s="78"/>
    </row>
    <row r="4498" ht="25.5" spans="1:5">
      <c r="A4498" s="76" t="s">
        <v>3564</v>
      </c>
      <c r="B4498" s="77"/>
      <c r="C4498" s="78"/>
      <c r="D4498" s="78"/>
      <c r="E4498" s="78"/>
    </row>
    <row r="4499" spans="1:5">
      <c r="A4499" s="76" t="s">
        <v>2764</v>
      </c>
      <c r="B4499" s="77"/>
      <c r="C4499" s="78"/>
      <c r="D4499" s="78"/>
      <c r="E4499" s="78"/>
    </row>
    <row r="4500" spans="1:5">
      <c r="A4500" s="76"/>
      <c r="B4500" s="77"/>
      <c r="C4500" s="78"/>
      <c r="D4500" s="78"/>
      <c r="E4500" s="78"/>
    </row>
    <row r="4501" spans="1:5">
      <c r="A4501" s="76" t="s">
        <v>2543</v>
      </c>
      <c r="B4501" s="77" t="s">
        <v>135</v>
      </c>
      <c r="C4501" s="78" t="s">
        <v>136</v>
      </c>
      <c r="D4501" s="78" t="s">
        <v>2534</v>
      </c>
      <c r="E4501" s="78" t="s">
        <v>2535</v>
      </c>
    </row>
    <row r="4502" ht="25.5" spans="1:5">
      <c r="A4502" s="76" t="s">
        <v>3565</v>
      </c>
      <c r="B4502" s="77" t="s">
        <v>494</v>
      </c>
      <c r="C4502" s="78">
        <v>6.388e-5</v>
      </c>
      <c r="D4502" s="78">
        <v>29585.59</v>
      </c>
      <c r="E4502" s="78">
        <f>TRUNC(C4502*D4502,2)</f>
        <v>1.88</v>
      </c>
    </row>
    <row r="4503" spans="1:5">
      <c r="A4503" s="76" t="s">
        <v>122</v>
      </c>
      <c r="B4503" s="77"/>
      <c r="C4503" s="78"/>
      <c r="D4503" s="78"/>
      <c r="E4503" s="78">
        <f>SUM(E4502:E4502)</f>
        <v>1.88</v>
      </c>
    </row>
    <row r="4504" spans="1:5">
      <c r="A4504" s="76"/>
      <c r="B4504" s="77"/>
      <c r="C4504" s="78"/>
      <c r="D4504" s="78"/>
      <c r="E4504" s="78"/>
    </row>
    <row r="4505" spans="1:5">
      <c r="A4505" s="76" t="s">
        <v>2538</v>
      </c>
      <c r="B4505" s="77"/>
      <c r="C4505" s="78"/>
      <c r="D4505" s="78"/>
      <c r="E4505" s="78">
        <f>E4503</f>
        <v>1.88</v>
      </c>
    </row>
    <row r="4506" spans="1:5">
      <c r="A4506" s="76" t="s">
        <v>2539</v>
      </c>
      <c r="B4506" s="77"/>
      <c r="C4506" s="78"/>
      <c r="D4506" s="78">
        <v>0</v>
      </c>
      <c r="E4506" s="78">
        <f>TRUNC(D4506*E4505/100,2)</f>
        <v>0</v>
      </c>
    </row>
    <row r="4507" spans="1:5">
      <c r="A4507" s="76" t="s">
        <v>2540</v>
      </c>
      <c r="B4507" s="77"/>
      <c r="C4507" s="78"/>
      <c r="D4507" s="78"/>
      <c r="E4507" s="78">
        <f>E4505+E4506</f>
        <v>1.88</v>
      </c>
    </row>
    <row r="4508" spans="1:5">
      <c r="A4508" s="76"/>
      <c r="B4508" s="77"/>
      <c r="C4508" s="78"/>
      <c r="D4508" s="78"/>
      <c r="E4508" s="78"/>
    </row>
    <row r="4509" spans="1:5">
      <c r="A4509" s="76" t="s">
        <v>3092</v>
      </c>
      <c r="B4509" s="77" t="s">
        <v>3566</v>
      </c>
      <c r="C4509" s="78"/>
      <c r="D4509" s="78"/>
      <c r="E4509" s="78"/>
    </row>
    <row r="4510" ht="25.5" spans="1:5">
      <c r="A4510" s="76" t="s">
        <v>3567</v>
      </c>
      <c r="B4510" s="77"/>
      <c r="C4510" s="78"/>
      <c r="D4510" s="78"/>
      <c r="E4510" s="78"/>
    </row>
    <row r="4511" spans="1:5">
      <c r="A4511" s="76" t="s">
        <v>2764</v>
      </c>
      <c r="B4511" s="77"/>
      <c r="C4511" s="78"/>
      <c r="D4511" s="78"/>
      <c r="E4511" s="78"/>
    </row>
    <row r="4512" spans="1:5">
      <c r="A4512" s="76"/>
      <c r="B4512" s="77"/>
      <c r="C4512" s="78"/>
      <c r="D4512" s="78"/>
      <c r="E4512" s="78"/>
    </row>
    <row r="4513" spans="1:5">
      <c r="A4513" s="76" t="s">
        <v>2543</v>
      </c>
      <c r="B4513" s="77" t="s">
        <v>135</v>
      </c>
      <c r="C4513" s="78" t="s">
        <v>136</v>
      </c>
      <c r="D4513" s="78" t="s">
        <v>2534</v>
      </c>
      <c r="E4513" s="78" t="s">
        <v>2535</v>
      </c>
    </row>
    <row r="4514" ht="25.5" spans="1:5">
      <c r="A4514" s="76" t="s">
        <v>3565</v>
      </c>
      <c r="B4514" s="77" t="s">
        <v>494</v>
      </c>
      <c r="C4514" s="78">
        <v>1.453e-5</v>
      </c>
      <c r="D4514" s="78">
        <v>29585.59</v>
      </c>
      <c r="E4514" s="78">
        <f>TRUNC(C4514*D4514,2)</f>
        <v>0.42</v>
      </c>
    </row>
    <row r="4515" spans="1:5">
      <c r="A4515" s="76" t="s">
        <v>122</v>
      </c>
      <c r="B4515" s="77"/>
      <c r="C4515" s="78"/>
      <c r="D4515" s="78"/>
      <c r="E4515" s="78">
        <f>SUM(E4514:E4514)</f>
        <v>0.42</v>
      </c>
    </row>
    <row r="4516" spans="1:5">
      <c r="A4516" s="76"/>
      <c r="B4516" s="77"/>
      <c r="C4516" s="78"/>
      <c r="D4516" s="78"/>
      <c r="E4516" s="78"/>
    </row>
    <row r="4517" spans="1:5">
      <c r="A4517" s="76" t="s">
        <v>2538</v>
      </c>
      <c r="B4517" s="77"/>
      <c r="C4517" s="78"/>
      <c r="D4517" s="78"/>
      <c r="E4517" s="78">
        <f>E4515</f>
        <v>0.42</v>
      </c>
    </row>
    <row r="4518" spans="1:5">
      <c r="A4518" s="76" t="s">
        <v>2539</v>
      </c>
      <c r="B4518" s="77"/>
      <c r="C4518" s="78"/>
      <c r="D4518" s="78">
        <v>0</v>
      </c>
      <c r="E4518" s="78">
        <f>TRUNC(D4518*E4517/100,2)</f>
        <v>0</v>
      </c>
    </row>
    <row r="4519" spans="1:5">
      <c r="A4519" s="76" t="s">
        <v>2540</v>
      </c>
      <c r="B4519" s="77"/>
      <c r="C4519" s="78"/>
      <c r="D4519" s="78"/>
      <c r="E4519" s="78">
        <f>E4517+E4518</f>
        <v>0.42</v>
      </c>
    </row>
    <row r="4520" spans="1:5">
      <c r="A4520" s="76"/>
      <c r="B4520" s="77"/>
      <c r="C4520" s="78"/>
      <c r="D4520" s="78"/>
      <c r="E4520" s="78"/>
    </row>
    <row r="4521" spans="1:5">
      <c r="A4521" s="76" t="s">
        <v>3092</v>
      </c>
      <c r="B4521" s="77" t="s">
        <v>3568</v>
      </c>
      <c r="C4521" s="78"/>
      <c r="D4521" s="78"/>
      <c r="E4521" s="78"/>
    </row>
    <row r="4522" ht="25.5" spans="1:5">
      <c r="A4522" s="76" t="s">
        <v>3569</v>
      </c>
      <c r="B4522" s="77"/>
      <c r="C4522" s="78"/>
      <c r="D4522" s="78"/>
      <c r="E4522" s="78"/>
    </row>
    <row r="4523" spans="1:5">
      <c r="A4523" s="76" t="s">
        <v>2764</v>
      </c>
      <c r="B4523" s="77"/>
      <c r="C4523" s="78"/>
      <c r="D4523" s="78"/>
      <c r="E4523" s="78"/>
    </row>
    <row r="4524" spans="1:5">
      <c r="A4524" s="76"/>
      <c r="B4524" s="77"/>
      <c r="C4524" s="78"/>
      <c r="D4524" s="78"/>
      <c r="E4524" s="78"/>
    </row>
    <row r="4525" spans="1:5">
      <c r="A4525" s="76" t="s">
        <v>2543</v>
      </c>
      <c r="B4525" s="77" t="s">
        <v>135</v>
      </c>
      <c r="C4525" s="78" t="s">
        <v>136</v>
      </c>
      <c r="D4525" s="78" t="s">
        <v>2534</v>
      </c>
      <c r="E4525" s="78" t="s">
        <v>2535</v>
      </c>
    </row>
    <row r="4526" ht="25.5" spans="1:5">
      <c r="A4526" s="76" t="s">
        <v>3565</v>
      </c>
      <c r="B4526" s="77" t="s">
        <v>494</v>
      </c>
      <c r="C4526" s="78">
        <v>7.976e-5</v>
      </c>
      <c r="D4526" s="78">
        <v>29585.59</v>
      </c>
      <c r="E4526" s="78">
        <f>TRUNC(C4526*D4526,2)</f>
        <v>2.35</v>
      </c>
    </row>
    <row r="4527" spans="1:5">
      <c r="A4527" s="76" t="s">
        <v>122</v>
      </c>
      <c r="B4527" s="77"/>
      <c r="C4527" s="78"/>
      <c r="D4527" s="78"/>
      <c r="E4527" s="78">
        <f>SUM(E4526:E4526)</f>
        <v>2.35</v>
      </c>
    </row>
    <row r="4528" spans="1:5">
      <c r="A4528" s="76"/>
      <c r="B4528" s="77"/>
      <c r="C4528" s="78"/>
      <c r="D4528" s="78"/>
      <c r="E4528" s="78"/>
    </row>
    <row r="4529" spans="1:5">
      <c r="A4529" s="76" t="s">
        <v>2538</v>
      </c>
      <c r="B4529" s="77"/>
      <c r="C4529" s="78"/>
      <c r="D4529" s="78"/>
      <c r="E4529" s="78">
        <f>E4527</f>
        <v>2.35</v>
      </c>
    </row>
    <row r="4530" spans="1:5">
      <c r="A4530" s="76" t="s">
        <v>2539</v>
      </c>
      <c r="B4530" s="77"/>
      <c r="C4530" s="78"/>
      <c r="D4530" s="78">
        <v>0</v>
      </c>
      <c r="E4530" s="78">
        <f>TRUNC(D4530*E4529/100,2)</f>
        <v>0</v>
      </c>
    </row>
    <row r="4531" spans="1:5">
      <c r="A4531" s="76" t="s">
        <v>2540</v>
      </c>
      <c r="B4531" s="77"/>
      <c r="C4531" s="78"/>
      <c r="D4531" s="78"/>
      <c r="E4531" s="78">
        <f>E4529+E4530</f>
        <v>2.35</v>
      </c>
    </row>
    <row r="4532" spans="1:5">
      <c r="A4532" s="76"/>
      <c r="B4532" s="77"/>
      <c r="C4532" s="78"/>
      <c r="D4532" s="78"/>
      <c r="E4532" s="78"/>
    </row>
    <row r="4533" spans="1:5">
      <c r="A4533" s="76" t="s">
        <v>3092</v>
      </c>
      <c r="B4533" s="77" t="s">
        <v>3570</v>
      </c>
      <c r="C4533" s="78"/>
      <c r="D4533" s="78"/>
      <c r="E4533" s="78"/>
    </row>
    <row r="4534" spans="1:5">
      <c r="A4534" s="76" t="s">
        <v>3571</v>
      </c>
      <c r="B4534" s="77"/>
      <c r="C4534" s="78"/>
      <c r="D4534" s="78"/>
      <c r="E4534" s="78"/>
    </row>
    <row r="4535" spans="1:5">
      <c r="A4535" s="76" t="s">
        <v>3085</v>
      </c>
      <c r="B4535" s="77"/>
      <c r="C4535" s="78"/>
      <c r="D4535" s="78"/>
      <c r="E4535" s="78"/>
    </row>
    <row r="4536" spans="1:5">
      <c r="A4536" s="76"/>
      <c r="B4536" s="77"/>
      <c r="C4536" s="78"/>
      <c r="D4536" s="78"/>
      <c r="E4536" s="78"/>
    </row>
    <row r="4537" spans="1:5">
      <c r="A4537" s="76" t="s">
        <v>2543</v>
      </c>
      <c r="B4537" s="77" t="s">
        <v>135</v>
      </c>
      <c r="C4537" s="78" t="s">
        <v>136</v>
      </c>
      <c r="D4537" s="78" t="s">
        <v>2534</v>
      </c>
      <c r="E4537" s="78" t="s">
        <v>2535</v>
      </c>
    </row>
    <row r="4538" ht="25.5" spans="1:5">
      <c r="A4538" s="76" t="s">
        <v>3572</v>
      </c>
      <c r="B4538" s="77" t="s">
        <v>839</v>
      </c>
      <c r="C4538" s="78">
        <v>1</v>
      </c>
      <c r="D4538" s="78">
        <v>17.88</v>
      </c>
      <c r="E4538" s="78">
        <f>TRUNC(C4538*D4538,2)</f>
        <v>17.88</v>
      </c>
    </row>
    <row r="4539" spans="1:5">
      <c r="A4539" s="76" t="s">
        <v>3573</v>
      </c>
      <c r="B4539" s="77" t="s">
        <v>839</v>
      </c>
      <c r="C4539" s="78">
        <v>1</v>
      </c>
      <c r="D4539" s="78">
        <v>4.82</v>
      </c>
      <c r="E4539" s="78">
        <f>TRUNC(C4539*D4539,2)</f>
        <v>4.82</v>
      </c>
    </row>
    <row r="4540" ht="25.5" spans="1:5">
      <c r="A4540" s="76" t="s">
        <v>3574</v>
      </c>
      <c r="B4540" s="77" t="s">
        <v>839</v>
      </c>
      <c r="C4540" s="78">
        <v>1</v>
      </c>
      <c r="D4540" s="78">
        <v>82.16</v>
      </c>
      <c r="E4540" s="78">
        <f>TRUNC(C4540*D4540,2)</f>
        <v>82.16</v>
      </c>
    </row>
    <row r="4541" ht="25.5" spans="1:5">
      <c r="A4541" s="76" t="s">
        <v>3575</v>
      </c>
      <c r="B4541" s="77" t="s">
        <v>839</v>
      </c>
      <c r="C4541" s="78">
        <v>1</v>
      </c>
      <c r="D4541" s="78">
        <v>22.35</v>
      </c>
      <c r="E4541" s="78">
        <f>TRUNC(C4541*D4541,2)</f>
        <v>22.35</v>
      </c>
    </row>
    <row r="4542" spans="1:5">
      <c r="A4542" s="76" t="s">
        <v>122</v>
      </c>
      <c r="B4542" s="77"/>
      <c r="C4542" s="78"/>
      <c r="D4542" s="78"/>
      <c r="E4542" s="78">
        <f>SUM(E4538:E4541)</f>
        <v>127.21</v>
      </c>
    </row>
    <row r="4543" spans="1:5">
      <c r="A4543" s="76"/>
      <c r="B4543" s="77"/>
      <c r="C4543" s="78"/>
      <c r="D4543" s="78"/>
      <c r="E4543" s="78"/>
    </row>
    <row r="4544" spans="1:5">
      <c r="A4544" s="76" t="s">
        <v>2538</v>
      </c>
      <c r="B4544" s="77"/>
      <c r="C4544" s="78"/>
      <c r="D4544" s="78"/>
      <c r="E4544" s="78">
        <f>E4542</f>
        <v>127.21</v>
      </c>
    </row>
    <row r="4545" spans="1:5">
      <c r="A4545" s="76" t="s">
        <v>2539</v>
      </c>
      <c r="B4545" s="77"/>
      <c r="C4545" s="78"/>
      <c r="D4545" s="78">
        <v>0</v>
      </c>
      <c r="E4545" s="78">
        <f>TRUNC(D4545*E4544/100,2)</f>
        <v>0</v>
      </c>
    </row>
    <row r="4546" spans="1:5">
      <c r="A4546" s="76" t="s">
        <v>2540</v>
      </c>
      <c r="B4546" s="77"/>
      <c r="C4546" s="78"/>
      <c r="D4546" s="78"/>
      <c r="E4546" s="78">
        <f>E4544+E4545</f>
        <v>127.21</v>
      </c>
    </row>
    <row r="4547" spans="1:5">
      <c r="A4547" s="76"/>
      <c r="B4547" s="77"/>
      <c r="C4547" s="78"/>
      <c r="D4547" s="78"/>
      <c r="E4547" s="78"/>
    </row>
    <row r="4548" spans="1:5">
      <c r="A4548" s="76" t="s">
        <v>3092</v>
      </c>
      <c r="B4548" s="77" t="s">
        <v>3576</v>
      </c>
      <c r="C4548" s="78"/>
      <c r="D4548" s="78"/>
      <c r="E4548" s="78"/>
    </row>
    <row r="4549" spans="1:5">
      <c r="A4549" s="76" t="s">
        <v>3577</v>
      </c>
      <c r="B4549" s="77"/>
      <c r="C4549" s="78"/>
      <c r="D4549" s="78"/>
      <c r="E4549" s="78"/>
    </row>
    <row r="4550" spans="1:5">
      <c r="A4550" s="76" t="s">
        <v>2764</v>
      </c>
      <c r="B4550" s="77"/>
      <c r="C4550" s="78"/>
      <c r="D4550" s="78"/>
      <c r="E4550" s="78"/>
    </row>
    <row r="4551" spans="1:5">
      <c r="A4551" s="76"/>
      <c r="B4551" s="77"/>
      <c r="C4551" s="78"/>
      <c r="D4551" s="78"/>
      <c r="E4551" s="78"/>
    </row>
    <row r="4552" spans="1:5">
      <c r="A4552" s="76" t="s">
        <v>2543</v>
      </c>
      <c r="B4552" s="77" t="s">
        <v>135</v>
      </c>
      <c r="C4552" s="78" t="s">
        <v>136</v>
      </c>
      <c r="D4552" s="78" t="s">
        <v>2534</v>
      </c>
      <c r="E4552" s="78" t="s">
        <v>2535</v>
      </c>
    </row>
    <row r="4553" spans="1:5">
      <c r="A4553" s="76" t="s">
        <v>3578</v>
      </c>
      <c r="B4553" s="77" t="s">
        <v>494</v>
      </c>
      <c r="C4553" s="78">
        <v>5.331e-5</v>
      </c>
      <c r="D4553" s="78">
        <v>335529.82</v>
      </c>
      <c r="E4553" s="78">
        <f>TRUNC(C4553*D4553,2)</f>
        <v>17.88</v>
      </c>
    </row>
    <row r="4554" spans="1:5">
      <c r="A4554" s="76" t="s">
        <v>122</v>
      </c>
      <c r="B4554" s="77"/>
      <c r="C4554" s="78"/>
      <c r="D4554" s="78"/>
      <c r="E4554" s="78">
        <f>SUM(E4553:E4553)</f>
        <v>17.88</v>
      </c>
    </row>
    <row r="4555" spans="1:5">
      <c r="A4555" s="76"/>
      <c r="B4555" s="77"/>
      <c r="C4555" s="78"/>
      <c r="D4555" s="78"/>
      <c r="E4555" s="78"/>
    </row>
    <row r="4556" spans="1:5">
      <c r="A4556" s="76" t="s">
        <v>2538</v>
      </c>
      <c r="B4556" s="77"/>
      <c r="C4556" s="78"/>
      <c r="D4556" s="78"/>
      <c r="E4556" s="78">
        <f>E4554</f>
        <v>17.88</v>
      </c>
    </row>
    <row r="4557" spans="1:5">
      <c r="A4557" s="76" t="s">
        <v>2539</v>
      </c>
      <c r="B4557" s="77"/>
      <c r="C4557" s="78"/>
      <c r="D4557" s="78">
        <v>0</v>
      </c>
      <c r="E4557" s="78">
        <f>TRUNC(D4557*E4556/100,2)</f>
        <v>0</v>
      </c>
    </row>
    <row r="4558" spans="1:5">
      <c r="A4558" s="76" t="s">
        <v>2540</v>
      </c>
      <c r="B4558" s="77"/>
      <c r="C4558" s="78"/>
      <c r="D4558" s="78"/>
      <c r="E4558" s="78">
        <f>E4556+E4557</f>
        <v>17.88</v>
      </c>
    </row>
    <row r="4559" spans="1:5">
      <c r="A4559" s="76"/>
      <c r="B4559" s="77"/>
      <c r="C4559" s="78"/>
      <c r="D4559" s="78"/>
      <c r="E4559" s="78"/>
    </row>
    <row r="4560" spans="1:5">
      <c r="A4560" s="76" t="s">
        <v>3092</v>
      </c>
      <c r="B4560" s="77" t="s">
        <v>3579</v>
      </c>
      <c r="C4560" s="78"/>
      <c r="D4560" s="78"/>
      <c r="E4560" s="78"/>
    </row>
    <row r="4561" spans="1:5">
      <c r="A4561" s="76" t="s">
        <v>3580</v>
      </c>
      <c r="B4561" s="77"/>
      <c r="C4561" s="78"/>
      <c r="D4561" s="78"/>
      <c r="E4561" s="78"/>
    </row>
    <row r="4562" spans="1:5">
      <c r="A4562" s="76" t="s">
        <v>2764</v>
      </c>
      <c r="B4562" s="77"/>
      <c r="C4562" s="78"/>
      <c r="D4562" s="78"/>
      <c r="E4562" s="78"/>
    </row>
    <row r="4563" spans="1:5">
      <c r="A4563" s="76"/>
      <c r="B4563" s="77"/>
      <c r="C4563" s="78"/>
      <c r="D4563" s="78"/>
      <c r="E4563" s="78"/>
    </row>
    <row r="4564" spans="1:5">
      <c r="A4564" s="76" t="s">
        <v>2543</v>
      </c>
      <c r="B4564" s="77" t="s">
        <v>135</v>
      </c>
      <c r="C4564" s="78" t="s">
        <v>136</v>
      </c>
      <c r="D4564" s="78" t="s">
        <v>2534</v>
      </c>
      <c r="E4564" s="78" t="s">
        <v>2535</v>
      </c>
    </row>
    <row r="4565" spans="1:5">
      <c r="A4565" s="76" t="s">
        <v>3578</v>
      </c>
      <c r="B4565" s="77" t="s">
        <v>494</v>
      </c>
      <c r="C4565" s="78">
        <v>1.439e-5</v>
      </c>
      <c r="D4565" s="78">
        <v>335529.82</v>
      </c>
      <c r="E4565" s="78">
        <f>TRUNC(C4565*D4565,2)</f>
        <v>4.82</v>
      </c>
    </row>
    <row r="4566" spans="1:5">
      <c r="A4566" s="76" t="s">
        <v>122</v>
      </c>
      <c r="B4566" s="77"/>
      <c r="C4566" s="78"/>
      <c r="D4566" s="78"/>
      <c r="E4566" s="78">
        <f>SUM(E4565:E4565)</f>
        <v>4.82</v>
      </c>
    </row>
    <row r="4567" spans="1:5">
      <c r="A4567" s="76"/>
      <c r="B4567" s="77"/>
      <c r="C4567" s="78"/>
      <c r="D4567" s="78"/>
      <c r="E4567" s="78"/>
    </row>
    <row r="4568" spans="1:5">
      <c r="A4568" s="76" t="s">
        <v>2538</v>
      </c>
      <c r="B4568" s="77"/>
      <c r="C4568" s="78"/>
      <c r="D4568" s="78"/>
      <c r="E4568" s="78">
        <f>E4566</f>
        <v>4.82</v>
      </c>
    </row>
    <row r="4569" spans="1:5">
      <c r="A4569" s="76" t="s">
        <v>2539</v>
      </c>
      <c r="B4569" s="77"/>
      <c r="C4569" s="78"/>
      <c r="D4569" s="78">
        <v>0</v>
      </c>
      <c r="E4569" s="78">
        <f>TRUNC(D4569*E4568/100,2)</f>
        <v>0</v>
      </c>
    </row>
    <row r="4570" spans="1:5">
      <c r="A4570" s="76" t="s">
        <v>2540</v>
      </c>
      <c r="B4570" s="77"/>
      <c r="C4570" s="78"/>
      <c r="D4570" s="78"/>
      <c r="E4570" s="78">
        <f>E4568+E4569</f>
        <v>4.82</v>
      </c>
    </row>
    <row r="4571" spans="1:5">
      <c r="A4571" s="76"/>
      <c r="B4571" s="77"/>
      <c r="C4571" s="78"/>
      <c r="D4571" s="78"/>
      <c r="E4571" s="78"/>
    </row>
    <row r="4572" spans="1:5">
      <c r="A4572" s="76" t="s">
        <v>3092</v>
      </c>
      <c r="B4572" s="77" t="s">
        <v>3581</v>
      </c>
      <c r="C4572" s="78"/>
      <c r="D4572" s="78"/>
      <c r="E4572" s="78"/>
    </row>
    <row r="4573" ht="25.5" spans="1:5">
      <c r="A4573" s="76" t="s">
        <v>3582</v>
      </c>
      <c r="B4573" s="77"/>
      <c r="C4573" s="78"/>
      <c r="D4573" s="78"/>
      <c r="E4573" s="78"/>
    </row>
    <row r="4574" spans="1:5">
      <c r="A4574" s="76" t="s">
        <v>2764</v>
      </c>
      <c r="B4574" s="77"/>
      <c r="C4574" s="78"/>
      <c r="D4574" s="78"/>
      <c r="E4574" s="78"/>
    </row>
    <row r="4575" spans="1:5">
      <c r="A4575" s="76"/>
      <c r="B4575" s="77"/>
      <c r="C4575" s="78"/>
      <c r="D4575" s="78"/>
      <c r="E4575" s="78"/>
    </row>
    <row r="4576" spans="1:5">
      <c r="A4576" s="76" t="s">
        <v>2543</v>
      </c>
      <c r="B4576" s="77" t="s">
        <v>135</v>
      </c>
      <c r="C4576" s="78" t="s">
        <v>136</v>
      </c>
      <c r="D4576" s="78" t="s">
        <v>2534</v>
      </c>
      <c r="E4576" s="78" t="s">
        <v>2535</v>
      </c>
    </row>
    <row r="4577" spans="1:5">
      <c r="A4577" s="76" t="s">
        <v>3202</v>
      </c>
      <c r="B4577" s="77" t="s">
        <v>215</v>
      </c>
      <c r="C4577" s="78">
        <v>13.855</v>
      </c>
      <c r="D4577" s="78">
        <v>5.93</v>
      </c>
      <c r="E4577" s="78">
        <f>TRUNC(C4577*D4577,2)</f>
        <v>82.16</v>
      </c>
    </row>
    <row r="4578" spans="1:5">
      <c r="A4578" s="76" t="s">
        <v>122</v>
      </c>
      <c r="B4578" s="77"/>
      <c r="C4578" s="78"/>
      <c r="D4578" s="78"/>
      <c r="E4578" s="78">
        <f>SUM(E4577:E4577)</f>
        <v>82.16</v>
      </c>
    </row>
    <row r="4579" spans="1:5">
      <c r="A4579" s="76"/>
      <c r="B4579" s="77"/>
      <c r="C4579" s="78"/>
      <c r="D4579" s="78"/>
      <c r="E4579" s="78"/>
    </row>
    <row r="4580" spans="1:5">
      <c r="A4580" s="76" t="s">
        <v>2538</v>
      </c>
      <c r="B4580" s="77"/>
      <c r="C4580" s="78"/>
      <c r="D4580" s="78"/>
      <c r="E4580" s="78">
        <f>E4578</f>
        <v>82.16</v>
      </c>
    </row>
    <row r="4581" spans="1:5">
      <c r="A4581" s="76" t="s">
        <v>2539</v>
      </c>
      <c r="B4581" s="77"/>
      <c r="C4581" s="78"/>
      <c r="D4581" s="78">
        <v>0</v>
      </c>
      <c r="E4581" s="78">
        <f>TRUNC(D4581*E4580/100,2)</f>
        <v>0</v>
      </c>
    </row>
    <row r="4582" spans="1:5">
      <c r="A4582" s="76" t="s">
        <v>2540</v>
      </c>
      <c r="B4582" s="77"/>
      <c r="C4582" s="78"/>
      <c r="D4582" s="78"/>
      <c r="E4582" s="78">
        <f>E4580+E4581</f>
        <v>82.16</v>
      </c>
    </row>
    <row r="4583" spans="1:5">
      <c r="A4583" s="76"/>
      <c r="B4583" s="77"/>
      <c r="C4583" s="78"/>
      <c r="D4583" s="78"/>
      <c r="E4583" s="78"/>
    </row>
    <row r="4584" spans="1:5">
      <c r="A4584" s="76" t="s">
        <v>3092</v>
      </c>
      <c r="B4584" s="77" t="s">
        <v>3583</v>
      </c>
      <c r="C4584" s="78"/>
      <c r="D4584" s="78"/>
      <c r="E4584" s="78"/>
    </row>
    <row r="4585" spans="1:5">
      <c r="A4585" s="76" t="s">
        <v>3584</v>
      </c>
      <c r="B4585" s="77"/>
      <c r="C4585" s="78"/>
      <c r="D4585" s="78"/>
      <c r="E4585" s="78"/>
    </row>
    <row r="4586" spans="1:5">
      <c r="A4586" s="76" t="s">
        <v>2764</v>
      </c>
      <c r="B4586" s="77"/>
      <c r="C4586" s="78"/>
      <c r="D4586" s="78"/>
      <c r="E4586" s="78"/>
    </row>
    <row r="4587" spans="1:5">
      <c r="A4587" s="76"/>
      <c r="B4587" s="77"/>
      <c r="C4587" s="78"/>
      <c r="D4587" s="78"/>
      <c r="E4587" s="78"/>
    </row>
    <row r="4588" spans="1:5">
      <c r="A4588" s="76" t="s">
        <v>2543</v>
      </c>
      <c r="B4588" s="77" t="s">
        <v>135</v>
      </c>
      <c r="C4588" s="78" t="s">
        <v>136</v>
      </c>
      <c r="D4588" s="78" t="s">
        <v>2534</v>
      </c>
      <c r="E4588" s="78" t="s">
        <v>2535</v>
      </c>
    </row>
    <row r="4589" spans="1:5">
      <c r="A4589" s="76" t="s">
        <v>3578</v>
      </c>
      <c r="B4589" s="77" t="s">
        <v>494</v>
      </c>
      <c r="C4589" s="78">
        <v>6.664e-5</v>
      </c>
      <c r="D4589" s="78">
        <v>335529.82</v>
      </c>
      <c r="E4589" s="78">
        <f>TRUNC(C4589*D4589,2)</f>
        <v>22.35</v>
      </c>
    </row>
    <row r="4590" spans="1:5">
      <c r="A4590" s="76" t="s">
        <v>122</v>
      </c>
      <c r="B4590" s="77"/>
      <c r="C4590" s="78"/>
      <c r="D4590" s="78"/>
      <c r="E4590" s="78">
        <f>SUM(E4589:E4589)</f>
        <v>22.35</v>
      </c>
    </row>
    <row r="4591" spans="1:5">
      <c r="A4591" s="76"/>
      <c r="B4591" s="77"/>
      <c r="C4591" s="78"/>
      <c r="D4591" s="78"/>
      <c r="E4591" s="78"/>
    </row>
    <row r="4592" spans="1:5">
      <c r="A4592" s="76" t="s">
        <v>2538</v>
      </c>
      <c r="B4592" s="77"/>
      <c r="C4592" s="78"/>
      <c r="D4592" s="78"/>
      <c r="E4592" s="78">
        <f>E4590</f>
        <v>22.35</v>
      </c>
    </row>
    <row r="4593" spans="1:5">
      <c r="A4593" s="76" t="s">
        <v>2539</v>
      </c>
      <c r="B4593" s="77"/>
      <c r="C4593" s="78"/>
      <c r="D4593" s="78">
        <v>0</v>
      </c>
      <c r="E4593" s="78">
        <f>TRUNC(D4593*E4592/100,2)</f>
        <v>0</v>
      </c>
    </row>
    <row r="4594" spans="1:5">
      <c r="A4594" s="76" t="s">
        <v>2540</v>
      </c>
      <c r="B4594" s="77"/>
      <c r="C4594" s="78"/>
      <c r="D4594" s="78"/>
      <c r="E4594" s="78">
        <f>E4592+E4593</f>
        <v>22.35</v>
      </c>
    </row>
    <row r="4595" spans="1:5">
      <c r="A4595" s="76"/>
      <c r="B4595" s="77"/>
      <c r="C4595" s="78"/>
      <c r="D4595" s="78"/>
      <c r="E4595" s="78"/>
    </row>
    <row r="4596" spans="1:5">
      <c r="A4596" s="76" t="s">
        <v>3092</v>
      </c>
      <c r="B4596" s="77" t="s">
        <v>3585</v>
      </c>
      <c r="C4596" s="78"/>
      <c r="D4596" s="78"/>
      <c r="E4596" s="78"/>
    </row>
    <row r="4597" spans="1:5">
      <c r="A4597" s="76" t="s">
        <v>3586</v>
      </c>
      <c r="B4597" s="77"/>
      <c r="C4597" s="78"/>
      <c r="D4597" s="78"/>
      <c r="E4597" s="78"/>
    </row>
    <row r="4598" spans="1:5">
      <c r="A4598" s="76" t="s">
        <v>3587</v>
      </c>
      <c r="B4598" s="77"/>
      <c r="C4598" s="78"/>
      <c r="D4598" s="78"/>
      <c r="E4598" s="78"/>
    </row>
    <row r="4599" spans="1:5">
      <c r="A4599" s="76"/>
      <c r="B4599" s="77"/>
      <c r="C4599" s="78"/>
      <c r="D4599" s="78"/>
      <c r="E4599" s="78"/>
    </row>
    <row r="4600" spans="1:5">
      <c r="A4600" s="76" t="s">
        <v>2543</v>
      </c>
      <c r="B4600" s="77" t="s">
        <v>135</v>
      </c>
      <c r="C4600" s="78" t="s">
        <v>136</v>
      </c>
      <c r="D4600" s="78" t="s">
        <v>2534</v>
      </c>
      <c r="E4600" s="78" t="s">
        <v>2535</v>
      </c>
    </row>
    <row r="4601" spans="1:5">
      <c r="A4601" s="76" t="s">
        <v>3588</v>
      </c>
      <c r="B4601" s="77" t="s">
        <v>463</v>
      </c>
      <c r="C4601" s="78">
        <v>0.00079</v>
      </c>
      <c r="D4601" s="78">
        <v>84.6</v>
      </c>
      <c r="E4601" s="78">
        <f>TRUNC(C4601*D4601,2)</f>
        <v>0.06</v>
      </c>
    </row>
    <row r="4602" spans="1:5">
      <c r="A4602" s="76" t="s">
        <v>3589</v>
      </c>
      <c r="B4602" s="77" t="s">
        <v>476</v>
      </c>
      <c r="C4602" s="78">
        <v>0.00473</v>
      </c>
      <c r="D4602" s="78">
        <v>16.62</v>
      </c>
      <c r="E4602" s="78">
        <f>TRUNC(C4602*D4602,2)</f>
        <v>0.07</v>
      </c>
    </row>
    <row r="4603" spans="1:5">
      <c r="A4603" s="76" t="s">
        <v>3590</v>
      </c>
      <c r="B4603" s="77" t="s">
        <v>839</v>
      </c>
      <c r="C4603" s="78">
        <v>0.00200803</v>
      </c>
      <c r="D4603" s="78">
        <v>32.07</v>
      </c>
      <c r="E4603" s="78">
        <f>TRUNC(C4603*D4603,2)</f>
        <v>0.06</v>
      </c>
    </row>
    <row r="4604" spans="1:5">
      <c r="A4604" s="76" t="s">
        <v>3591</v>
      </c>
      <c r="B4604" s="77" t="s">
        <v>977</v>
      </c>
      <c r="C4604" s="78">
        <v>0.00200803</v>
      </c>
      <c r="D4604" s="78">
        <v>0.42</v>
      </c>
      <c r="E4604" s="78">
        <f>TRUNC(C4604*D4604,2)</f>
        <v>0</v>
      </c>
    </row>
    <row r="4605" spans="1:5">
      <c r="A4605" s="76" t="s">
        <v>122</v>
      </c>
      <c r="B4605" s="77"/>
      <c r="C4605" s="78"/>
      <c r="D4605" s="78"/>
      <c r="E4605" s="78">
        <f>SUM(E4601:E4604)</f>
        <v>0.19</v>
      </c>
    </row>
    <row r="4606" spans="1:5">
      <c r="A4606" s="76"/>
      <c r="B4606" s="77"/>
      <c r="C4606" s="78"/>
      <c r="D4606" s="78"/>
      <c r="E4606" s="78"/>
    </row>
    <row r="4607" spans="1:5">
      <c r="A4607" s="76" t="s">
        <v>2538</v>
      </c>
      <c r="B4607" s="77"/>
      <c r="C4607" s="78"/>
      <c r="D4607" s="78"/>
      <c r="E4607" s="78">
        <f>E4605</f>
        <v>0.19</v>
      </c>
    </row>
    <row r="4608" spans="1:5">
      <c r="A4608" s="76" t="s">
        <v>2539</v>
      </c>
      <c r="B4608" s="77"/>
      <c r="C4608" s="78"/>
      <c r="D4608" s="78">
        <v>0</v>
      </c>
      <c r="E4608" s="78">
        <f>TRUNC(D4608*E4607/100,2)</f>
        <v>0</v>
      </c>
    </row>
    <row r="4609" spans="1:5">
      <c r="A4609" s="76" t="s">
        <v>2540</v>
      </c>
      <c r="B4609" s="77"/>
      <c r="C4609" s="78"/>
      <c r="D4609" s="78"/>
      <c r="E4609" s="78">
        <f>E4607+E4608</f>
        <v>0.19</v>
      </c>
    </row>
    <row r="4610" spans="1:5">
      <c r="A4610" s="76"/>
      <c r="B4610" s="77"/>
      <c r="C4610" s="78"/>
      <c r="D4610" s="78"/>
      <c r="E4610" s="78"/>
    </row>
    <row r="4611" spans="1:5">
      <c r="A4611" s="76" t="s">
        <v>3092</v>
      </c>
      <c r="B4611" s="77" t="s">
        <v>3592</v>
      </c>
      <c r="C4611" s="78"/>
      <c r="D4611" s="78"/>
      <c r="E4611" s="78"/>
    </row>
    <row r="4612" spans="1:5">
      <c r="A4612" s="76" t="s">
        <v>3593</v>
      </c>
      <c r="B4612" s="77"/>
      <c r="C4612" s="78"/>
      <c r="D4612" s="78"/>
      <c r="E4612" s="78"/>
    </row>
    <row r="4613" spans="1:5">
      <c r="A4613" s="76" t="s">
        <v>2764</v>
      </c>
      <c r="B4613" s="77"/>
      <c r="C4613" s="78"/>
      <c r="D4613" s="78"/>
      <c r="E4613" s="78"/>
    </row>
    <row r="4614" spans="1:5">
      <c r="A4614" s="76"/>
      <c r="B4614" s="77"/>
      <c r="C4614" s="78"/>
      <c r="D4614" s="78"/>
      <c r="E4614" s="78"/>
    </row>
    <row r="4615" spans="1:5">
      <c r="A4615" s="76" t="s">
        <v>279</v>
      </c>
      <c r="B4615" s="77" t="s">
        <v>135</v>
      </c>
      <c r="C4615" s="78" t="s">
        <v>136</v>
      </c>
      <c r="D4615" s="78" t="s">
        <v>2534</v>
      </c>
      <c r="E4615" s="78" t="s">
        <v>2535</v>
      </c>
    </row>
    <row r="4616" ht="25.5" spans="1:5">
      <c r="A4616" s="76" t="s">
        <v>3111</v>
      </c>
      <c r="B4616" s="77" t="s">
        <v>839</v>
      </c>
      <c r="C4616" s="78">
        <v>1</v>
      </c>
      <c r="D4616" s="78">
        <v>1.5</v>
      </c>
      <c r="E4616" s="78">
        <f>TRUNC(C4616*D4616,2)</f>
        <v>1.5</v>
      </c>
    </row>
    <row r="4617" spans="1:5">
      <c r="A4617" s="76" t="s">
        <v>122</v>
      </c>
      <c r="B4617" s="77"/>
      <c r="C4617" s="78"/>
      <c r="D4617" s="78"/>
      <c r="E4617" s="78">
        <f>SUM(E4616:E4616)</f>
        <v>1.5</v>
      </c>
    </row>
    <row r="4618" spans="1:5">
      <c r="A4618" s="76"/>
      <c r="B4618" s="77"/>
      <c r="C4618" s="78"/>
      <c r="D4618" s="78"/>
      <c r="E4618" s="78"/>
    </row>
    <row r="4619" spans="1:5">
      <c r="A4619" s="76" t="s">
        <v>280</v>
      </c>
      <c r="B4619" s="77" t="s">
        <v>135</v>
      </c>
      <c r="C4619" s="78" t="s">
        <v>136</v>
      </c>
      <c r="D4619" s="78" t="s">
        <v>2534</v>
      </c>
      <c r="E4619" s="78" t="s">
        <v>2535</v>
      </c>
    </row>
    <row r="4620" ht="25.5" spans="1:5">
      <c r="A4620" s="76" t="s">
        <v>3112</v>
      </c>
      <c r="B4620" s="77" t="s">
        <v>839</v>
      </c>
      <c r="C4620" s="78">
        <v>1</v>
      </c>
      <c r="D4620" s="78">
        <v>3.95</v>
      </c>
      <c r="E4620" s="78">
        <f>TRUNC(C4620*D4620,2)</f>
        <v>3.95</v>
      </c>
    </row>
    <row r="4621" ht="25.5" spans="1:5">
      <c r="A4621" s="76" t="s">
        <v>3113</v>
      </c>
      <c r="B4621" s="77" t="s">
        <v>839</v>
      </c>
      <c r="C4621" s="78">
        <v>1</v>
      </c>
      <c r="D4621" s="78">
        <v>0.08</v>
      </c>
      <c r="E4621" s="78">
        <f>TRUNC(C4621*D4621,2)</f>
        <v>0.08</v>
      </c>
    </row>
    <row r="4622" spans="1:5">
      <c r="A4622" s="76" t="s">
        <v>3594</v>
      </c>
      <c r="B4622" s="77" t="s">
        <v>839</v>
      </c>
      <c r="C4622" s="78">
        <v>1</v>
      </c>
      <c r="D4622" s="78">
        <v>21.83</v>
      </c>
      <c r="E4622" s="78">
        <f>TRUNC(C4622*D4622,2)</f>
        <v>21.83</v>
      </c>
    </row>
    <row r="4623" spans="1:5">
      <c r="A4623" s="76" t="s">
        <v>122</v>
      </c>
      <c r="B4623" s="77"/>
      <c r="C4623" s="78"/>
      <c r="D4623" s="78"/>
      <c r="E4623" s="78">
        <f>SUM(E4620:E4622)</f>
        <v>25.86</v>
      </c>
    </row>
    <row r="4624" spans="1:5">
      <c r="A4624" s="76" t="s">
        <v>117</v>
      </c>
      <c r="B4624" s="77"/>
      <c r="C4624" s="78"/>
      <c r="D4624" s="78"/>
      <c r="E4624" s="78" t="str">
        <f>"0"</f>
        <v>0</v>
      </c>
    </row>
    <row r="4625" spans="1:5">
      <c r="A4625" s="76" t="s">
        <v>2537</v>
      </c>
      <c r="B4625" s="77"/>
      <c r="C4625" s="78"/>
      <c r="D4625" s="78"/>
      <c r="E4625" s="78">
        <f>E4623+E4624</f>
        <v>25.86</v>
      </c>
    </row>
    <row r="4626" spans="1:5">
      <c r="A4626" s="76"/>
      <c r="B4626" s="77"/>
      <c r="C4626" s="78"/>
      <c r="D4626" s="78"/>
      <c r="E4626" s="78"/>
    </row>
    <row r="4627" spans="1:5">
      <c r="A4627" s="76" t="s">
        <v>2543</v>
      </c>
      <c r="B4627" s="77" t="s">
        <v>135</v>
      </c>
      <c r="C4627" s="78" t="s">
        <v>136</v>
      </c>
      <c r="D4627" s="78" t="s">
        <v>2534</v>
      </c>
      <c r="E4627" s="78" t="s">
        <v>2535</v>
      </c>
    </row>
    <row r="4628" ht="25.5" spans="1:5">
      <c r="A4628" s="76" t="s">
        <v>3595</v>
      </c>
      <c r="B4628" s="77" t="s">
        <v>839</v>
      </c>
      <c r="C4628" s="78">
        <v>1</v>
      </c>
      <c r="D4628" s="78">
        <v>1.82</v>
      </c>
      <c r="E4628" s="78">
        <f>TRUNC(C4628*D4628,2)</f>
        <v>1.82</v>
      </c>
    </row>
    <row r="4629" spans="1:5">
      <c r="A4629" s="76" t="s">
        <v>3116</v>
      </c>
      <c r="B4629" s="77" t="s">
        <v>839</v>
      </c>
      <c r="C4629" s="78">
        <v>1</v>
      </c>
      <c r="D4629" s="78">
        <v>1.43</v>
      </c>
      <c r="E4629" s="78">
        <f>TRUNC(C4629*D4629,2)</f>
        <v>1.43</v>
      </c>
    </row>
    <row r="4630" ht="25.5" spans="1:5">
      <c r="A4630" s="76" t="s">
        <v>3596</v>
      </c>
      <c r="B4630" s="77" t="s">
        <v>839</v>
      </c>
      <c r="C4630" s="78">
        <v>1</v>
      </c>
      <c r="D4630" s="78">
        <v>1.21</v>
      </c>
      <c r="E4630" s="78">
        <f>TRUNC(C4630*D4630,2)</f>
        <v>1.21</v>
      </c>
    </row>
    <row r="4631" ht="25.5" spans="1:5">
      <c r="A4631" s="76" t="s">
        <v>3597</v>
      </c>
      <c r="B4631" s="77" t="s">
        <v>839</v>
      </c>
      <c r="C4631" s="78">
        <v>1</v>
      </c>
      <c r="D4631" s="78">
        <v>0.25</v>
      </c>
      <c r="E4631" s="78">
        <f>TRUNC(C4631*D4631,2)</f>
        <v>0.25</v>
      </c>
    </row>
    <row r="4632" spans="1:5">
      <c r="A4632" s="76" t="s">
        <v>122</v>
      </c>
      <c r="B4632" s="77"/>
      <c r="C4632" s="78"/>
      <c r="D4632" s="78"/>
      <c r="E4632" s="78">
        <f>SUM(E4628:E4631)</f>
        <v>4.71</v>
      </c>
    </row>
    <row r="4633" spans="1:5">
      <c r="A4633" s="76"/>
      <c r="B4633" s="77"/>
      <c r="C4633" s="78"/>
      <c r="D4633" s="78"/>
      <c r="E4633" s="78"/>
    </row>
    <row r="4634" spans="1:5">
      <c r="A4634" s="76" t="s">
        <v>2538</v>
      </c>
      <c r="B4634" s="77"/>
      <c r="C4634" s="78"/>
      <c r="D4634" s="78"/>
      <c r="E4634" s="78">
        <f>E4617+E4625+E4632</f>
        <v>32.07</v>
      </c>
    </row>
    <row r="4635" spans="1:5">
      <c r="A4635" s="76" t="s">
        <v>2539</v>
      </c>
      <c r="B4635" s="77"/>
      <c r="C4635" s="78"/>
      <c r="D4635" s="78">
        <v>0</v>
      </c>
      <c r="E4635" s="78">
        <f>TRUNC(D4635*E4634/100,2)</f>
        <v>0</v>
      </c>
    </row>
    <row r="4636" spans="1:5">
      <c r="A4636" s="76" t="s">
        <v>2540</v>
      </c>
      <c r="B4636" s="77"/>
      <c r="C4636" s="78"/>
      <c r="D4636" s="78"/>
      <c r="E4636" s="78">
        <f>E4634+E4635</f>
        <v>32.07</v>
      </c>
    </row>
    <row r="4637" spans="1:5">
      <c r="A4637" s="76"/>
      <c r="B4637" s="77"/>
      <c r="C4637" s="78"/>
      <c r="D4637" s="78"/>
      <c r="E4637" s="78"/>
    </row>
    <row r="4638" spans="1:5">
      <c r="A4638" s="76" t="s">
        <v>3092</v>
      </c>
      <c r="B4638" s="77" t="s">
        <v>3598</v>
      </c>
      <c r="C4638" s="78"/>
      <c r="D4638" s="78"/>
      <c r="E4638" s="78"/>
    </row>
    <row r="4639" ht="25.5" spans="1:5">
      <c r="A4639" s="76" t="s">
        <v>3599</v>
      </c>
      <c r="B4639" s="77"/>
      <c r="C4639" s="78"/>
      <c r="D4639" s="78"/>
      <c r="E4639" s="78"/>
    </row>
    <row r="4640" spans="1:5">
      <c r="A4640" s="76" t="s">
        <v>2764</v>
      </c>
      <c r="B4640" s="77"/>
      <c r="C4640" s="78"/>
      <c r="D4640" s="78"/>
      <c r="E4640" s="78"/>
    </row>
    <row r="4641" spans="1:5">
      <c r="A4641" s="76"/>
      <c r="B4641" s="77"/>
      <c r="C4641" s="78"/>
      <c r="D4641" s="78"/>
      <c r="E4641" s="78"/>
    </row>
    <row r="4642" spans="1:5">
      <c r="A4642" s="76" t="s">
        <v>280</v>
      </c>
      <c r="B4642" s="77" t="s">
        <v>135</v>
      </c>
      <c r="C4642" s="78" t="s">
        <v>136</v>
      </c>
      <c r="D4642" s="78" t="s">
        <v>2534</v>
      </c>
      <c r="E4642" s="78" t="s">
        <v>2535</v>
      </c>
    </row>
    <row r="4643" spans="1:5">
      <c r="A4643" s="76" t="s">
        <v>3594</v>
      </c>
      <c r="B4643" s="77" t="s">
        <v>839</v>
      </c>
      <c r="C4643" s="78">
        <v>0.01154</v>
      </c>
      <c r="D4643" s="78">
        <v>21.83</v>
      </c>
      <c r="E4643" s="78">
        <f>TRUNC(C4643*D4643,2)</f>
        <v>0.25</v>
      </c>
    </row>
    <row r="4644" spans="1:5">
      <c r="A4644" s="76" t="s">
        <v>122</v>
      </c>
      <c r="B4644" s="77"/>
      <c r="C4644" s="78"/>
      <c r="D4644" s="78"/>
      <c r="E4644" s="78">
        <f>SUM(E4643:E4643)</f>
        <v>0.25</v>
      </c>
    </row>
    <row r="4645" spans="1:5">
      <c r="A4645" s="76" t="s">
        <v>117</v>
      </c>
      <c r="B4645" s="77"/>
      <c r="C4645" s="78"/>
      <c r="D4645" s="78"/>
      <c r="E4645" s="78" t="str">
        <f>"0"</f>
        <v>0</v>
      </c>
    </row>
    <row r="4646" spans="1:5">
      <c r="A4646" s="76" t="s">
        <v>2537</v>
      </c>
      <c r="B4646" s="77"/>
      <c r="C4646" s="78"/>
      <c r="D4646" s="78"/>
      <c r="E4646" s="78">
        <f>E4644+E4645</f>
        <v>0.25</v>
      </c>
    </row>
    <row r="4647" spans="1:5">
      <c r="A4647" s="76"/>
      <c r="B4647" s="77"/>
      <c r="C4647" s="78"/>
      <c r="D4647" s="78"/>
      <c r="E4647" s="78"/>
    </row>
    <row r="4648" spans="1:5">
      <c r="A4648" s="76" t="s">
        <v>2538</v>
      </c>
      <c r="B4648" s="77"/>
      <c r="C4648" s="78"/>
      <c r="D4648" s="78"/>
      <c r="E4648" s="78">
        <f>E4646</f>
        <v>0.25</v>
      </c>
    </row>
    <row r="4649" spans="1:5">
      <c r="A4649" s="76" t="s">
        <v>2539</v>
      </c>
      <c r="B4649" s="77"/>
      <c r="C4649" s="78"/>
      <c r="D4649" s="78">
        <v>0</v>
      </c>
      <c r="E4649" s="78">
        <f>TRUNC(D4649*E4648/100,2)</f>
        <v>0</v>
      </c>
    </row>
    <row r="4650" spans="1:5">
      <c r="A4650" s="76" t="s">
        <v>2540</v>
      </c>
      <c r="B4650" s="77"/>
      <c r="C4650" s="78"/>
      <c r="D4650" s="78"/>
      <c r="E4650" s="78">
        <f>E4648+E4649</f>
        <v>0.25</v>
      </c>
    </row>
    <row r="4651" spans="1:5">
      <c r="A4651" s="76"/>
      <c r="B4651" s="77"/>
      <c r="C4651" s="78"/>
      <c r="D4651" s="78"/>
      <c r="E4651" s="78"/>
    </row>
    <row r="4652" spans="1:5">
      <c r="A4652" s="76" t="s">
        <v>3092</v>
      </c>
      <c r="B4652" s="77" t="s">
        <v>3600</v>
      </c>
      <c r="C4652" s="78"/>
      <c r="D4652" s="78"/>
      <c r="E4652" s="78"/>
    </row>
    <row r="4653" spans="1:5">
      <c r="A4653" s="76" t="s">
        <v>3601</v>
      </c>
      <c r="B4653" s="77"/>
      <c r="C4653" s="78"/>
      <c r="D4653" s="78"/>
      <c r="E4653" s="78"/>
    </row>
    <row r="4654" spans="1:5">
      <c r="A4654" s="76" t="s">
        <v>3085</v>
      </c>
      <c r="B4654" s="77"/>
      <c r="C4654" s="78"/>
      <c r="D4654" s="78"/>
      <c r="E4654" s="78"/>
    </row>
    <row r="4655" spans="1:5">
      <c r="A4655" s="76"/>
      <c r="B4655" s="77"/>
      <c r="C4655" s="78"/>
      <c r="D4655" s="78"/>
      <c r="E4655" s="78"/>
    </row>
    <row r="4656" spans="1:5">
      <c r="A4656" s="76" t="s">
        <v>2543</v>
      </c>
      <c r="B4656" s="77" t="s">
        <v>135</v>
      </c>
      <c r="C4656" s="78" t="s">
        <v>136</v>
      </c>
      <c r="D4656" s="78" t="s">
        <v>2534</v>
      </c>
      <c r="E4656" s="78" t="s">
        <v>2535</v>
      </c>
    </row>
    <row r="4657" spans="1:5">
      <c r="A4657" s="76" t="s">
        <v>3602</v>
      </c>
      <c r="B4657" s="77" t="s">
        <v>839</v>
      </c>
      <c r="C4657" s="78">
        <v>1</v>
      </c>
      <c r="D4657" s="78">
        <v>0.17</v>
      </c>
      <c r="E4657" s="78">
        <f>TRUNC(C4657*D4657,2)</f>
        <v>0.17</v>
      </c>
    </row>
    <row r="4658" spans="1:5">
      <c r="A4658" s="76" t="s">
        <v>3603</v>
      </c>
      <c r="B4658" s="77" t="s">
        <v>839</v>
      </c>
      <c r="C4658" s="78">
        <v>1</v>
      </c>
      <c r="D4658" s="78">
        <v>0.03</v>
      </c>
      <c r="E4658" s="78">
        <f>TRUNC(C4658*D4658,2)</f>
        <v>0.03</v>
      </c>
    </row>
    <row r="4659" spans="1:5">
      <c r="A4659" s="76" t="s">
        <v>3604</v>
      </c>
      <c r="B4659" s="77" t="s">
        <v>839</v>
      </c>
      <c r="C4659" s="78">
        <v>1</v>
      </c>
      <c r="D4659" s="78">
        <v>0.22</v>
      </c>
      <c r="E4659" s="78">
        <f>TRUNC(C4659*D4659,2)</f>
        <v>0.22</v>
      </c>
    </row>
    <row r="4660" spans="1:5">
      <c r="A4660" s="76" t="s">
        <v>122</v>
      </c>
      <c r="B4660" s="77"/>
      <c r="C4660" s="78"/>
      <c r="D4660" s="78"/>
      <c r="E4660" s="78">
        <f>SUM(E4657:E4659)</f>
        <v>0.42</v>
      </c>
    </row>
    <row r="4661" spans="1:5">
      <c r="A4661" s="76"/>
      <c r="B4661" s="77"/>
      <c r="C4661" s="78"/>
      <c r="D4661" s="78"/>
      <c r="E4661" s="78"/>
    </row>
    <row r="4662" spans="1:5">
      <c r="A4662" s="76" t="s">
        <v>2538</v>
      </c>
      <c r="B4662" s="77"/>
      <c r="C4662" s="78"/>
      <c r="D4662" s="78"/>
      <c r="E4662" s="78">
        <f>E4660</f>
        <v>0.42</v>
      </c>
    </row>
    <row r="4663" spans="1:5">
      <c r="A4663" s="76" t="s">
        <v>2539</v>
      </c>
      <c r="B4663" s="77"/>
      <c r="C4663" s="78"/>
      <c r="D4663" s="78">
        <v>0</v>
      </c>
      <c r="E4663" s="78">
        <f>TRUNC(D4663*E4662/100,2)</f>
        <v>0</v>
      </c>
    </row>
    <row r="4664" spans="1:5">
      <c r="A4664" s="76" t="s">
        <v>2540</v>
      </c>
      <c r="B4664" s="77"/>
      <c r="C4664" s="78"/>
      <c r="D4664" s="78"/>
      <c r="E4664" s="78">
        <f>E4662+E4663</f>
        <v>0.42</v>
      </c>
    </row>
    <row r="4665" spans="1:5">
      <c r="A4665" s="76"/>
      <c r="B4665" s="77"/>
      <c r="C4665" s="78"/>
      <c r="D4665" s="78"/>
      <c r="E4665" s="78"/>
    </row>
    <row r="4666" spans="1:5">
      <c r="A4666" s="76" t="s">
        <v>3092</v>
      </c>
      <c r="B4666" s="77" t="s">
        <v>3605</v>
      </c>
      <c r="C4666" s="78"/>
      <c r="D4666" s="78"/>
      <c r="E4666" s="78"/>
    </row>
    <row r="4667" spans="1:5">
      <c r="A4667" s="76" t="s">
        <v>3606</v>
      </c>
      <c r="B4667" s="77"/>
      <c r="C4667" s="78"/>
      <c r="D4667" s="78"/>
      <c r="E4667" s="78"/>
    </row>
    <row r="4668" spans="1:5">
      <c r="A4668" s="76" t="s">
        <v>2764</v>
      </c>
      <c r="B4668" s="77"/>
      <c r="C4668" s="78"/>
      <c r="D4668" s="78"/>
      <c r="E4668" s="78"/>
    </row>
    <row r="4669" spans="1:5">
      <c r="A4669" s="76"/>
      <c r="B4669" s="77"/>
      <c r="C4669" s="78"/>
      <c r="D4669" s="78"/>
      <c r="E4669" s="78"/>
    </row>
    <row r="4670" spans="1:5">
      <c r="A4670" s="76" t="s">
        <v>279</v>
      </c>
      <c r="B4670" s="77" t="s">
        <v>135</v>
      </c>
      <c r="C4670" s="78" t="s">
        <v>136</v>
      </c>
      <c r="D4670" s="78" t="s">
        <v>2534</v>
      </c>
      <c r="E4670" s="78" t="s">
        <v>2535</v>
      </c>
    </row>
    <row r="4671" spans="1:5">
      <c r="A4671" s="76" t="s">
        <v>3607</v>
      </c>
      <c r="B4671" s="77" t="s">
        <v>494</v>
      </c>
      <c r="C4671" s="78">
        <v>6.234e-5</v>
      </c>
      <c r="D4671" s="78">
        <v>2887.29</v>
      </c>
      <c r="E4671" s="78">
        <f>TRUNC(C4671*D4671,2)</f>
        <v>0.17</v>
      </c>
    </row>
    <row r="4672" spans="1:5">
      <c r="A4672" s="76" t="s">
        <v>122</v>
      </c>
      <c r="B4672" s="77"/>
      <c r="C4672" s="78"/>
      <c r="D4672" s="78"/>
      <c r="E4672" s="78">
        <f>SUM(E4671:E4671)</f>
        <v>0.17</v>
      </c>
    </row>
    <row r="4673" spans="1:5">
      <c r="A4673" s="76"/>
      <c r="B4673" s="77"/>
      <c r="C4673" s="78"/>
      <c r="D4673" s="78"/>
      <c r="E4673" s="78"/>
    </row>
    <row r="4674" spans="1:5">
      <c r="A4674" s="76" t="s">
        <v>2538</v>
      </c>
      <c r="B4674" s="77"/>
      <c r="C4674" s="78"/>
      <c r="D4674" s="78"/>
      <c r="E4674" s="78">
        <f>E4672</f>
        <v>0.17</v>
      </c>
    </row>
    <row r="4675" spans="1:5">
      <c r="A4675" s="76" t="s">
        <v>2539</v>
      </c>
      <c r="B4675" s="77"/>
      <c r="C4675" s="78"/>
      <c r="D4675" s="78">
        <v>0</v>
      </c>
      <c r="E4675" s="78">
        <f>TRUNC(D4675*E4674/100,2)</f>
        <v>0</v>
      </c>
    </row>
    <row r="4676" spans="1:5">
      <c r="A4676" s="76" t="s">
        <v>2540</v>
      </c>
      <c r="B4676" s="77"/>
      <c r="C4676" s="78"/>
      <c r="D4676" s="78"/>
      <c r="E4676" s="78">
        <f>E4674+E4675</f>
        <v>0.17</v>
      </c>
    </row>
    <row r="4677" spans="1:5">
      <c r="A4677" s="76"/>
      <c r="B4677" s="77"/>
      <c r="C4677" s="78"/>
      <c r="D4677" s="78"/>
      <c r="E4677" s="78"/>
    </row>
    <row r="4678" spans="1:5">
      <c r="A4678" s="76" t="s">
        <v>3092</v>
      </c>
      <c r="B4678" s="77" t="s">
        <v>3608</v>
      </c>
      <c r="C4678" s="78"/>
      <c r="D4678" s="78"/>
      <c r="E4678" s="78"/>
    </row>
    <row r="4679" spans="1:5">
      <c r="A4679" s="76" t="s">
        <v>3609</v>
      </c>
      <c r="B4679" s="77"/>
      <c r="C4679" s="78"/>
      <c r="D4679" s="78"/>
      <c r="E4679" s="78"/>
    </row>
    <row r="4680" spans="1:5">
      <c r="A4680" s="76" t="s">
        <v>2764</v>
      </c>
      <c r="B4680" s="77"/>
      <c r="C4680" s="78"/>
      <c r="D4680" s="78"/>
      <c r="E4680" s="78"/>
    </row>
    <row r="4681" spans="1:5">
      <c r="A4681" s="76"/>
      <c r="B4681" s="77"/>
      <c r="C4681" s="78"/>
      <c r="D4681" s="78"/>
      <c r="E4681" s="78"/>
    </row>
    <row r="4682" spans="1:5">
      <c r="A4682" s="76" t="s">
        <v>279</v>
      </c>
      <c r="B4682" s="77" t="s">
        <v>135</v>
      </c>
      <c r="C4682" s="78" t="s">
        <v>136</v>
      </c>
      <c r="D4682" s="78" t="s">
        <v>2534</v>
      </c>
      <c r="E4682" s="78" t="s">
        <v>2535</v>
      </c>
    </row>
    <row r="4683" spans="1:5">
      <c r="A4683" s="76" t="s">
        <v>3607</v>
      </c>
      <c r="B4683" s="77" t="s">
        <v>494</v>
      </c>
      <c r="C4683" s="78">
        <v>1.385e-5</v>
      </c>
      <c r="D4683" s="78">
        <v>2887.29</v>
      </c>
      <c r="E4683" s="78">
        <f>TRUNC(C4683*D4683,2)</f>
        <v>0.03</v>
      </c>
    </row>
    <row r="4684" spans="1:5">
      <c r="A4684" s="76" t="s">
        <v>122</v>
      </c>
      <c r="B4684" s="77"/>
      <c r="C4684" s="78"/>
      <c r="D4684" s="78"/>
      <c r="E4684" s="78">
        <f>SUM(E4683:E4683)</f>
        <v>0.03</v>
      </c>
    </row>
    <row r="4685" spans="1:5">
      <c r="A4685" s="76"/>
      <c r="B4685" s="77"/>
      <c r="C4685" s="78"/>
      <c r="D4685" s="78"/>
      <c r="E4685" s="78"/>
    </row>
    <row r="4686" spans="1:5">
      <c r="A4686" s="76" t="s">
        <v>2538</v>
      </c>
      <c r="B4686" s="77"/>
      <c r="C4686" s="78"/>
      <c r="D4686" s="78"/>
      <c r="E4686" s="78">
        <f>E4684</f>
        <v>0.03</v>
      </c>
    </row>
    <row r="4687" spans="1:5">
      <c r="A4687" s="76" t="s">
        <v>2539</v>
      </c>
      <c r="B4687" s="77"/>
      <c r="C4687" s="78"/>
      <c r="D4687" s="78">
        <v>0</v>
      </c>
      <c r="E4687" s="78">
        <f>TRUNC(D4687*E4686/100,2)</f>
        <v>0</v>
      </c>
    </row>
    <row r="4688" spans="1:5">
      <c r="A4688" s="76" t="s">
        <v>2540</v>
      </c>
      <c r="B4688" s="77"/>
      <c r="C4688" s="78"/>
      <c r="D4688" s="78"/>
      <c r="E4688" s="78">
        <f>E4686+E4687</f>
        <v>0.03</v>
      </c>
    </row>
    <row r="4689" spans="1:5">
      <c r="A4689" s="76"/>
      <c r="B4689" s="77"/>
      <c r="C4689" s="78"/>
      <c r="D4689" s="78"/>
      <c r="E4689" s="78"/>
    </row>
    <row r="4690" spans="1:5">
      <c r="A4690" s="76" t="s">
        <v>3092</v>
      </c>
      <c r="B4690" s="77" t="s">
        <v>3610</v>
      </c>
      <c r="C4690" s="78"/>
      <c r="D4690" s="78"/>
      <c r="E4690" s="78"/>
    </row>
    <row r="4691" spans="1:5">
      <c r="A4691" s="76" t="s">
        <v>3611</v>
      </c>
      <c r="B4691" s="77"/>
      <c r="C4691" s="78"/>
      <c r="D4691" s="78"/>
      <c r="E4691" s="78"/>
    </row>
    <row r="4692" spans="1:5">
      <c r="A4692" s="76" t="s">
        <v>2764</v>
      </c>
      <c r="B4692" s="77"/>
      <c r="C4692" s="78"/>
      <c r="D4692" s="78"/>
      <c r="E4692" s="78"/>
    </row>
    <row r="4693" spans="1:5">
      <c r="A4693" s="76"/>
      <c r="B4693" s="77"/>
      <c r="C4693" s="78"/>
      <c r="D4693" s="78"/>
      <c r="E4693" s="78"/>
    </row>
    <row r="4694" spans="1:5">
      <c r="A4694" s="76" t="s">
        <v>279</v>
      </c>
      <c r="B4694" s="77" t="s">
        <v>135</v>
      </c>
      <c r="C4694" s="78" t="s">
        <v>136</v>
      </c>
      <c r="D4694" s="78" t="s">
        <v>2534</v>
      </c>
      <c r="E4694" s="78" t="s">
        <v>2535</v>
      </c>
    </row>
    <row r="4695" spans="1:5">
      <c r="A4695" s="76" t="s">
        <v>3607</v>
      </c>
      <c r="B4695" s="77" t="s">
        <v>494</v>
      </c>
      <c r="C4695" s="78">
        <v>7.965e-5</v>
      </c>
      <c r="D4695" s="78">
        <v>2887.29</v>
      </c>
      <c r="E4695" s="78">
        <f>TRUNC(C4695*D4695,2)</f>
        <v>0.22</v>
      </c>
    </row>
    <row r="4696" spans="1:5">
      <c r="A4696" s="76" t="s">
        <v>122</v>
      </c>
      <c r="B4696" s="77"/>
      <c r="C4696" s="78"/>
      <c r="D4696" s="78"/>
      <c r="E4696" s="78">
        <f>SUM(E4695:E4695)</f>
        <v>0.22</v>
      </c>
    </row>
    <row r="4697" spans="1:5">
      <c r="A4697" s="76"/>
      <c r="B4697" s="77"/>
      <c r="C4697" s="78"/>
      <c r="D4697" s="78"/>
      <c r="E4697" s="78"/>
    </row>
    <row r="4698" spans="1:5">
      <c r="A4698" s="76" t="s">
        <v>2538</v>
      </c>
      <c r="B4698" s="77"/>
      <c r="C4698" s="78"/>
      <c r="D4698" s="78"/>
      <c r="E4698" s="78">
        <f>E4696</f>
        <v>0.22</v>
      </c>
    </row>
    <row r="4699" spans="1:5">
      <c r="A4699" s="76" t="s">
        <v>2539</v>
      </c>
      <c r="B4699" s="77"/>
      <c r="C4699" s="78"/>
      <c r="D4699" s="78">
        <v>0</v>
      </c>
      <c r="E4699" s="78">
        <f>TRUNC(D4699*E4698/100,2)</f>
        <v>0</v>
      </c>
    </row>
    <row r="4700" spans="1:5">
      <c r="A4700" s="76" t="s">
        <v>2540</v>
      </c>
      <c r="B4700" s="77"/>
      <c r="C4700" s="78"/>
      <c r="D4700" s="78"/>
      <c r="E4700" s="78">
        <f>E4698+E4699</f>
        <v>0.22</v>
      </c>
    </row>
    <row r="4701" spans="1:5">
      <c r="A4701" s="76"/>
      <c r="B4701" s="77"/>
      <c r="C4701" s="78"/>
      <c r="D4701" s="78"/>
      <c r="E4701" s="78"/>
    </row>
    <row r="4702" spans="1:5">
      <c r="A4702" s="76" t="s">
        <v>3092</v>
      </c>
      <c r="B4702" s="77" t="s">
        <v>3612</v>
      </c>
      <c r="C4702" s="78"/>
      <c r="D4702" s="78"/>
      <c r="E4702" s="78"/>
    </row>
    <row r="4703" ht="25.5" spans="1:5">
      <c r="A4703" s="76" t="s">
        <v>3613</v>
      </c>
      <c r="B4703" s="77"/>
      <c r="C4703" s="78"/>
      <c r="D4703" s="78"/>
      <c r="E4703" s="78"/>
    </row>
    <row r="4704" spans="1:5">
      <c r="A4704" s="76" t="s">
        <v>2655</v>
      </c>
      <c r="B4704" s="77"/>
      <c r="C4704" s="78"/>
      <c r="D4704" s="78"/>
      <c r="E4704" s="78"/>
    </row>
    <row r="4705" spans="1:5">
      <c r="A4705" s="76"/>
      <c r="B4705" s="77"/>
      <c r="C4705" s="78"/>
      <c r="D4705" s="78"/>
      <c r="E4705" s="78"/>
    </row>
    <row r="4706" spans="1:5">
      <c r="A4706" s="76" t="s">
        <v>2543</v>
      </c>
      <c r="B4706" s="77" t="s">
        <v>135</v>
      </c>
      <c r="C4706" s="78" t="s">
        <v>136</v>
      </c>
      <c r="D4706" s="78" t="s">
        <v>2534</v>
      </c>
      <c r="E4706" s="78" t="s">
        <v>2535</v>
      </c>
    </row>
    <row r="4707" spans="1:5">
      <c r="A4707" s="76" t="s">
        <v>2621</v>
      </c>
      <c r="B4707" s="77" t="s">
        <v>839</v>
      </c>
      <c r="C4707" s="78">
        <v>0.50977233</v>
      </c>
      <c r="D4707" s="78">
        <v>23.75</v>
      </c>
      <c r="E4707" s="78">
        <f>TRUNC(C4707*D4707,2)</f>
        <v>12.1</v>
      </c>
    </row>
    <row r="4708" spans="1:5">
      <c r="A4708" s="76" t="s">
        <v>3614</v>
      </c>
      <c r="B4708" s="77" t="s">
        <v>977</v>
      </c>
      <c r="C4708" s="78">
        <v>0.12744308</v>
      </c>
      <c r="D4708" s="78">
        <v>181.85</v>
      </c>
      <c r="E4708" s="78">
        <f>TRUNC(C4708*D4708,2)</f>
        <v>23.17</v>
      </c>
    </row>
    <row r="4709" spans="1:5">
      <c r="A4709" s="76" t="s">
        <v>122</v>
      </c>
      <c r="B4709" s="77"/>
      <c r="C4709" s="78"/>
      <c r="D4709" s="78"/>
      <c r="E4709" s="78">
        <f>SUM(E4707:E4708)</f>
        <v>35.27</v>
      </c>
    </row>
    <row r="4710" spans="1:5">
      <c r="A4710" s="76"/>
      <c r="B4710" s="77"/>
      <c r="C4710" s="78"/>
      <c r="D4710" s="78"/>
      <c r="E4710" s="78"/>
    </row>
    <row r="4711" spans="1:5">
      <c r="A4711" s="76" t="s">
        <v>2538</v>
      </c>
      <c r="B4711" s="77"/>
      <c r="C4711" s="78"/>
      <c r="D4711" s="78"/>
      <c r="E4711" s="78">
        <f>E4709</f>
        <v>35.27</v>
      </c>
    </row>
    <row r="4712" spans="1:5">
      <c r="A4712" s="76" t="s">
        <v>2539</v>
      </c>
      <c r="B4712" s="77"/>
      <c r="C4712" s="78"/>
      <c r="D4712" s="78">
        <v>0</v>
      </c>
      <c r="E4712" s="78">
        <f>TRUNC(D4712*E4711/100,2)</f>
        <v>0</v>
      </c>
    </row>
    <row r="4713" spans="1:5">
      <c r="A4713" s="76" t="s">
        <v>2540</v>
      </c>
      <c r="B4713" s="77"/>
      <c r="C4713" s="78"/>
      <c r="D4713" s="78"/>
      <c r="E4713" s="78">
        <f>E4711+E4712</f>
        <v>35.27</v>
      </c>
    </row>
    <row r="4714" spans="1:5">
      <c r="A4714" s="76"/>
      <c r="B4714" s="77"/>
      <c r="C4714" s="78"/>
      <c r="D4714" s="78"/>
      <c r="E4714" s="78"/>
    </row>
    <row r="4715" spans="1:5">
      <c r="A4715" s="76" t="s">
        <v>3092</v>
      </c>
      <c r="B4715" s="77" t="s">
        <v>3615</v>
      </c>
      <c r="C4715" s="78"/>
      <c r="D4715" s="78"/>
      <c r="E4715" s="78"/>
    </row>
    <row r="4716" spans="1:5">
      <c r="A4716" s="76" t="s">
        <v>3616</v>
      </c>
      <c r="B4716" s="77"/>
      <c r="C4716" s="78"/>
      <c r="D4716" s="78"/>
      <c r="E4716" s="78"/>
    </row>
    <row r="4717" spans="1:5">
      <c r="A4717" s="76" t="s">
        <v>3085</v>
      </c>
      <c r="B4717" s="77"/>
      <c r="C4717" s="78"/>
      <c r="D4717" s="78"/>
      <c r="E4717" s="78"/>
    </row>
    <row r="4718" spans="1:5">
      <c r="A4718" s="76"/>
      <c r="B4718" s="77"/>
      <c r="C4718" s="78"/>
      <c r="D4718" s="78"/>
      <c r="E4718" s="78"/>
    </row>
    <row r="4719" spans="1:5">
      <c r="A4719" s="76" t="s">
        <v>2543</v>
      </c>
      <c r="B4719" s="77" t="s">
        <v>135</v>
      </c>
      <c r="C4719" s="78" t="s">
        <v>136</v>
      </c>
      <c r="D4719" s="78" t="s">
        <v>2534</v>
      </c>
      <c r="E4719" s="78" t="s">
        <v>2535</v>
      </c>
    </row>
    <row r="4720" spans="1:5">
      <c r="A4720" s="76" t="s">
        <v>3183</v>
      </c>
      <c r="B4720" s="77" t="s">
        <v>839</v>
      </c>
      <c r="C4720" s="78">
        <v>1</v>
      </c>
      <c r="D4720" s="78">
        <v>29.8</v>
      </c>
      <c r="E4720" s="78">
        <f t="shared" ref="E4720:E4728" si="47">TRUNC(C4720*D4720,2)</f>
        <v>29.8</v>
      </c>
    </row>
    <row r="4721" ht="25.5" spans="1:5">
      <c r="A4721" s="76" t="s">
        <v>3617</v>
      </c>
      <c r="B4721" s="77" t="s">
        <v>839</v>
      </c>
      <c r="C4721" s="78">
        <v>1</v>
      </c>
      <c r="D4721" s="78">
        <v>80.64</v>
      </c>
      <c r="E4721" s="78">
        <f t="shared" si="47"/>
        <v>80.64</v>
      </c>
    </row>
    <row r="4722" ht="25.5" spans="1:5">
      <c r="A4722" s="76" t="s">
        <v>3618</v>
      </c>
      <c r="B4722" s="77" t="s">
        <v>839</v>
      </c>
      <c r="C4722" s="78">
        <v>1</v>
      </c>
      <c r="D4722" s="78">
        <v>2.88</v>
      </c>
      <c r="E4722" s="78">
        <f t="shared" si="47"/>
        <v>2.88</v>
      </c>
    </row>
    <row r="4723" ht="25.5" spans="1:5">
      <c r="A4723" s="76" t="s">
        <v>3619</v>
      </c>
      <c r="B4723" s="77" t="s">
        <v>839</v>
      </c>
      <c r="C4723" s="78">
        <v>1</v>
      </c>
      <c r="D4723" s="78">
        <v>17.36</v>
      </c>
      <c r="E4723" s="78">
        <f t="shared" si="47"/>
        <v>17.36</v>
      </c>
    </row>
    <row r="4724" ht="25.5" spans="1:5">
      <c r="A4724" s="76" t="s">
        <v>3620</v>
      </c>
      <c r="B4724" s="77" t="s">
        <v>839</v>
      </c>
      <c r="C4724" s="78">
        <v>1</v>
      </c>
      <c r="D4724" s="78">
        <v>7.13</v>
      </c>
      <c r="E4724" s="78">
        <f t="shared" si="47"/>
        <v>7.13</v>
      </c>
    </row>
    <row r="4725" ht="25.5" spans="1:5">
      <c r="A4725" s="76" t="s">
        <v>3621</v>
      </c>
      <c r="B4725" s="77" t="s">
        <v>839</v>
      </c>
      <c r="C4725" s="78">
        <v>1</v>
      </c>
      <c r="D4725" s="78">
        <v>32.57</v>
      </c>
      <c r="E4725" s="78">
        <f t="shared" si="47"/>
        <v>32.57</v>
      </c>
    </row>
    <row r="4726" spans="1:5">
      <c r="A4726" s="76" t="s">
        <v>3622</v>
      </c>
      <c r="B4726" s="77" t="s">
        <v>839</v>
      </c>
      <c r="C4726" s="78">
        <v>1</v>
      </c>
      <c r="D4726" s="78">
        <v>4.33</v>
      </c>
      <c r="E4726" s="78">
        <f t="shared" si="47"/>
        <v>4.33</v>
      </c>
    </row>
    <row r="4727" spans="1:5">
      <c r="A4727" s="76" t="s">
        <v>3623</v>
      </c>
      <c r="B4727" s="77" t="s">
        <v>839</v>
      </c>
      <c r="C4727" s="78">
        <v>1</v>
      </c>
      <c r="D4727" s="78">
        <v>1.04</v>
      </c>
      <c r="E4727" s="78">
        <f t="shared" si="47"/>
        <v>1.04</v>
      </c>
    </row>
    <row r="4728" spans="1:5">
      <c r="A4728" s="76" t="s">
        <v>3624</v>
      </c>
      <c r="B4728" s="77" t="s">
        <v>839</v>
      </c>
      <c r="C4728" s="78">
        <v>1</v>
      </c>
      <c r="D4728" s="78">
        <v>6.1</v>
      </c>
      <c r="E4728" s="78">
        <f t="shared" si="47"/>
        <v>6.1</v>
      </c>
    </row>
    <row r="4729" spans="1:5">
      <c r="A4729" s="76" t="s">
        <v>122</v>
      </c>
      <c r="B4729" s="77"/>
      <c r="C4729" s="78"/>
      <c r="D4729" s="78"/>
      <c r="E4729" s="78">
        <f>SUM(E4720:E4728)</f>
        <v>181.85</v>
      </c>
    </row>
    <row r="4730" spans="1:5">
      <c r="A4730" s="76"/>
      <c r="B4730" s="77"/>
      <c r="C4730" s="78"/>
      <c r="D4730" s="78"/>
      <c r="E4730" s="78"/>
    </row>
    <row r="4731" spans="1:5">
      <c r="A4731" s="76" t="s">
        <v>2538</v>
      </c>
      <c r="B4731" s="77"/>
      <c r="C4731" s="78"/>
      <c r="D4731" s="78"/>
      <c r="E4731" s="78">
        <f>E4729</f>
        <v>181.85</v>
      </c>
    </row>
    <row r="4732" spans="1:5">
      <c r="A4732" s="76" t="s">
        <v>2539</v>
      </c>
      <c r="B4732" s="77"/>
      <c r="C4732" s="78"/>
      <c r="D4732" s="78">
        <v>0</v>
      </c>
      <c r="E4732" s="78">
        <f>TRUNC(D4732*E4731/100,2)</f>
        <v>0</v>
      </c>
    </row>
    <row r="4733" spans="1:5">
      <c r="A4733" s="76" t="s">
        <v>2540</v>
      </c>
      <c r="B4733" s="77"/>
      <c r="C4733" s="78"/>
      <c r="D4733" s="78"/>
      <c r="E4733" s="78">
        <f>E4731+E4732</f>
        <v>181.85</v>
      </c>
    </row>
    <row r="4734" spans="1:5">
      <c r="A4734" s="76"/>
      <c r="B4734" s="77"/>
      <c r="C4734" s="78"/>
      <c r="D4734" s="78"/>
      <c r="E4734" s="78"/>
    </row>
    <row r="4735" spans="1:5">
      <c r="A4735" s="76" t="s">
        <v>3092</v>
      </c>
      <c r="B4735" s="77" t="s">
        <v>3625</v>
      </c>
      <c r="C4735" s="78"/>
      <c r="D4735" s="78"/>
      <c r="E4735" s="78"/>
    </row>
    <row r="4736" ht="25.5" spans="1:5">
      <c r="A4736" s="76" t="s">
        <v>3626</v>
      </c>
      <c r="B4736" s="77"/>
      <c r="C4736" s="78"/>
      <c r="D4736" s="78"/>
      <c r="E4736" s="78"/>
    </row>
    <row r="4737" spans="1:5">
      <c r="A4737" s="76" t="s">
        <v>2764</v>
      </c>
      <c r="B4737" s="77"/>
      <c r="C4737" s="78"/>
      <c r="D4737" s="78"/>
      <c r="E4737" s="78"/>
    </row>
    <row r="4738" spans="1:5">
      <c r="A4738" s="76"/>
      <c r="B4738" s="77"/>
      <c r="C4738" s="78"/>
      <c r="D4738" s="78"/>
      <c r="E4738" s="78"/>
    </row>
    <row r="4739" spans="1:5">
      <c r="A4739" s="76" t="s">
        <v>2543</v>
      </c>
      <c r="B4739" s="77" t="s">
        <v>135</v>
      </c>
      <c r="C4739" s="78" t="s">
        <v>136</v>
      </c>
      <c r="D4739" s="78" t="s">
        <v>2534</v>
      </c>
      <c r="E4739" s="78" t="s">
        <v>2535</v>
      </c>
    </row>
    <row r="4740" spans="1:5">
      <c r="A4740" s="76" t="s">
        <v>3202</v>
      </c>
      <c r="B4740" s="77" t="s">
        <v>215</v>
      </c>
      <c r="C4740" s="78">
        <v>13.6</v>
      </c>
      <c r="D4740" s="78">
        <v>5.93</v>
      </c>
      <c r="E4740" s="78">
        <f>TRUNC(C4740*D4740,2)</f>
        <v>80.64</v>
      </c>
    </row>
    <row r="4741" spans="1:5">
      <c r="A4741" s="76" t="s">
        <v>122</v>
      </c>
      <c r="B4741" s="77"/>
      <c r="C4741" s="78"/>
      <c r="D4741" s="78"/>
      <c r="E4741" s="78">
        <f>SUM(E4740:E4740)</f>
        <v>80.64</v>
      </c>
    </row>
    <row r="4742" spans="1:5">
      <c r="A4742" s="76"/>
      <c r="B4742" s="77"/>
      <c r="C4742" s="78"/>
      <c r="D4742" s="78"/>
      <c r="E4742" s="78"/>
    </row>
    <row r="4743" spans="1:5">
      <c r="A4743" s="76" t="s">
        <v>2538</v>
      </c>
      <c r="B4743" s="77"/>
      <c r="C4743" s="78"/>
      <c r="D4743" s="78"/>
      <c r="E4743" s="78">
        <f>E4741</f>
        <v>80.64</v>
      </c>
    </row>
    <row r="4744" spans="1:5">
      <c r="A4744" s="76" t="s">
        <v>2539</v>
      </c>
      <c r="B4744" s="77"/>
      <c r="C4744" s="78"/>
      <c r="D4744" s="78">
        <v>0</v>
      </c>
      <c r="E4744" s="78">
        <f>TRUNC(D4744*E4743/100,2)</f>
        <v>0</v>
      </c>
    </row>
    <row r="4745" spans="1:5">
      <c r="A4745" s="76" t="s">
        <v>2540</v>
      </c>
      <c r="B4745" s="77"/>
      <c r="C4745" s="78"/>
      <c r="D4745" s="78"/>
      <c r="E4745" s="78">
        <f>E4743+E4744</f>
        <v>80.64</v>
      </c>
    </row>
    <row r="4746" spans="1:5">
      <c r="A4746" s="76"/>
      <c r="B4746" s="77"/>
      <c r="C4746" s="78"/>
      <c r="D4746" s="78"/>
      <c r="E4746" s="78"/>
    </row>
    <row r="4747" spans="1:5">
      <c r="A4747" s="76" t="s">
        <v>3092</v>
      </c>
      <c r="B4747" s="77" t="s">
        <v>3627</v>
      </c>
      <c r="C4747" s="78"/>
      <c r="D4747" s="78"/>
      <c r="E4747" s="78"/>
    </row>
    <row r="4748" ht="25.5" spans="1:5">
      <c r="A4748" s="76" t="s">
        <v>3628</v>
      </c>
      <c r="B4748" s="77"/>
      <c r="C4748" s="78"/>
      <c r="D4748" s="78"/>
      <c r="E4748" s="78"/>
    </row>
    <row r="4749" spans="1:5">
      <c r="A4749" s="76" t="s">
        <v>2764</v>
      </c>
      <c r="B4749" s="77"/>
      <c r="C4749" s="78"/>
      <c r="D4749" s="78"/>
      <c r="E4749" s="78"/>
    </row>
    <row r="4750" spans="1:5">
      <c r="A4750" s="76"/>
      <c r="B4750" s="77"/>
      <c r="C4750" s="78"/>
      <c r="D4750" s="78"/>
      <c r="E4750" s="78"/>
    </row>
    <row r="4751" spans="1:5">
      <c r="A4751" s="76" t="s">
        <v>279</v>
      </c>
      <c r="B4751" s="77" t="s">
        <v>135</v>
      </c>
      <c r="C4751" s="78" t="s">
        <v>136</v>
      </c>
      <c r="D4751" s="78" t="s">
        <v>2534</v>
      </c>
      <c r="E4751" s="78" t="s">
        <v>2535</v>
      </c>
    </row>
    <row r="4752" ht="25.5" spans="1:5">
      <c r="A4752" s="76" t="s">
        <v>3629</v>
      </c>
      <c r="B4752" s="77" t="s">
        <v>494</v>
      </c>
      <c r="C4752" s="78">
        <v>5.7e-6</v>
      </c>
      <c r="D4752" s="78">
        <v>506818.4</v>
      </c>
      <c r="E4752" s="78">
        <f>TRUNC(C4752*D4752,2)</f>
        <v>2.88</v>
      </c>
    </row>
    <row r="4753" spans="1:5">
      <c r="A4753" s="76" t="s">
        <v>122</v>
      </c>
      <c r="B4753" s="77"/>
      <c r="C4753" s="78"/>
      <c r="D4753" s="78"/>
      <c r="E4753" s="78">
        <f>SUM(E4752:E4752)</f>
        <v>2.88</v>
      </c>
    </row>
    <row r="4754" spans="1:5">
      <c r="A4754" s="76"/>
      <c r="B4754" s="77"/>
      <c r="C4754" s="78"/>
      <c r="D4754" s="78"/>
      <c r="E4754" s="78"/>
    </row>
    <row r="4755" spans="1:5">
      <c r="A4755" s="76" t="s">
        <v>2538</v>
      </c>
      <c r="B4755" s="77"/>
      <c r="C4755" s="78"/>
      <c r="D4755" s="78"/>
      <c r="E4755" s="78">
        <f>E4753</f>
        <v>2.88</v>
      </c>
    </row>
    <row r="4756" spans="1:5">
      <c r="A4756" s="76" t="s">
        <v>2539</v>
      </c>
      <c r="B4756" s="77"/>
      <c r="C4756" s="78"/>
      <c r="D4756" s="78">
        <v>0</v>
      </c>
      <c r="E4756" s="78">
        <f>TRUNC(D4756*E4755/100,2)</f>
        <v>0</v>
      </c>
    </row>
    <row r="4757" spans="1:5">
      <c r="A4757" s="76" t="s">
        <v>2540</v>
      </c>
      <c r="B4757" s="77"/>
      <c r="C4757" s="78"/>
      <c r="D4757" s="78"/>
      <c r="E4757" s="78">
        <f>E4755+E4756</f>
        <v>2.88</v>
      </c>
    </row>
    <row r="4758" spans="1:5">
      <c r="A4758" s="76"/>
      <c r="B4758" s="77"/>
      <c r="C4758" s="78"/>
      <c r="D4758" s="78"/>
      <c r="E4758" s="78"/>
    </row>
    <row r="4759" spans="1:5">
      <c r="A4759" s="76" t="s">
        <v>3092</v>
      </c>
      <c r="B4759" s="77" t="s">
        <v>3630</v>
      </c>
      <c r="C4759" s="78"/>
      <c r="D4759" s="78"/>
      <c r="E4759" s="78"/>
    </row>
    <row r="4760" ht="25.5" spans="1:5">
      <c r="A4760" s="76" t="s">
        <v>3631</v>
      </c>
      <c r="B4760" s="77"/>
      <c r="C4760" s="78"/>
      <c r="D4760" s="78"/>
      <c r="E4760" s="78"/>
    </row>
    <row r="4761" spans="1:5">
      <c r="A4761" s="76" t="s">
        <v>2764</v>
      </c>
      <c r="B4761" s="77"/>
      <c r="C4761" s="78"/>
      <c r="D4761" s="78"/>
      <c r="E4761" s="78"/>
    </row>
    <row r="4762" spans="1:5">
      <c r="A4762" s="76"/>
      <c r="B4762" s="77"/>
      <c r="C4762" s="78"/>
      <c r="D4762" s="78"/>
      <c r="E4762" s="78"/>
    </row>
    <row r="4763" spans="1:5">
      <c r="A4763" s="76" t="s">
        <v>279</v>
      </c>
      <c r="B4763" s="77" t="s">
        <v>135</v>
      </c>
      <c r="C4763" s="78" t="s">
        <v>136</v>
      </c>
      <c r="D4763" s="78" t="s">
        <v>2534</v>
      </c>
      <c r="E4763" s="78" t="s">
        <v>2535</v>
      </c>
    </row>
    <row r="4764" ht="25.5" spans="1:5">
      <c r="A4764" s="76" t="s">
        <v>3629</v>
      </c>
      <c r="B4764" s="77" t="s">
        <v>494</v>
      </c>
      <c r="C4764" s="78">
        <v>3.427e-5</v>
      </c>
      <c r="D4764" s="78">
        <v>506818.4</v>
      </c>
      <c r="E4764" s="78">
        <f>TRUNC(C4764*D4764,2)</f>
        <v>17.36</v>
      </c>
    </row>
    <row r="4765" spans="1:5">
      <c r="A4765" s="76" t="s">
        <v>122</v>
      </c>
      <c r="B4765" s="77"/>
      <c r="C4765" s="78"/>
      <c r="D4765" s="78"/>
      <c r="E4765" s="78">
        <f>SUM(E4764:E4764)</f>
        <v>17.36</v>
      </c>
    </row>
    <row r="4766" spans="1:5">
      <c r="A4766" s="76"/>
      <c r="B4766" s="77"/>
      <c r="C4766" s="78"/>
      <c r="D4766" s="78"/>
      <c r="E4766" s="78"/>
    </row>
    <row r="4767" spans="1:5">
      <c r="A4767" s="76" t="s">
        <v>2538</v>
      </c>
      <c r="B4767" s="77"/>
      <c r="C4767" s="78"/>
      <c r="D4767" s="78"/>
      <c r="E4767" s="78">
        <f>E4765</f>
        <v>17.36</v>
      </c>
    </row>
    <row r="4768" spans="1:5">
      <c r="A4768" s="76" t="s">
        <v>2539</v>
      </c>
      <c r="B4768" s="77"/>
      <c r="C4768" s="78"/>
      <c r="D4768" s="78">
        <v>0</v>
      </c>
      <c r="E4768" s="78">
        <f>TRUNC(D4768*E4767/100,2)</f>
        <v>0</v>
      </c>
    </row>
    <row r="4769" spans="1:5">
      <c r="A4769" s="76" t="s">
        <v>2540</v>
      </c>
      <c r="B4769" s="77"/>
      <c r="C4769" s="78"/>
      <c r="D4769" s="78"/>
      <c r="E4769" s="78">
        <f>E4767+E4768</f>
        <v>17.36</v>
      </c>
    </row>
    <row r="4770" spans="1:5">
      <c r="A4770" s="76"/>
      <c r="B4770" s="77"/>
      <c r="C4770" s="78"/>
      <c r="D4770" s="78"/>
      <c r="E4770" s="78"/>
    </row>
    <row r="4771" spans="1:5">
      <c r="A4771" s="76" t="s">
        <v>3092</v>
      </c>
      <c r="B4771" s="77" t="s">
        <v>3632</v>
      </c>
      <c r="C4771" s="78"/>
      <c r="D4771" s="78"/>
      <c r="E4771" s="78"/>
    </row>
    <row r="4772" ht="25.5" spans="1:5">
      <c r="A4772" s="76" t="s">
        <v>3633</v>
      </c>
      <c r="B4772" s="77"/>
      <c r="C4772" s="78"/>
      <c r="D4772" s="78"/>
      <c r="E4772" s="78"/>
    </row>
    <row r="4773" spans="1:5">
      <c r="A4773" s="76" t="s">
        <v>2764</v>
      </c>
      <c r="B4773" s="77"/>
      <c r="C4773" s="78"/>
      <c r="D4773" s="78"/>
      <c r="E4773" s="78"/>
    </row>
    <row r="4774" spans="1:5">
      <c r="A4774" s="76"/>
      <c r="B4774" s="77"/>
      <c r="C4774" s="78"/>
      <c r="D4774" s="78"/>
      <c r="E4774" s="78"/>
    </row>
    <row r="4775" spans="1:5">
      <c r="A4775" s="76" t="s">
        <v>279</v>
      </c>
      <c r="B4775" s="77" t="s">
        <v>135</v>
      </c>
      <c r="C4775" s="78" t="s">
        <v>136</v>
      </c>
      <c r="D4775" s="78" t="s">
        <v>2534</v>
      </c>
      <c r="E4775" s="78" t="s">
        <v>2535</v>
      </c>
    </row>
    <row r="4776" ht="25.5" spans="1:5">
      <c r="A4776" s="76" t="s">
        <v>3629</v>
      </c>
      <c r="B4776" s="77" t="s">
        <v>494</v>
      </c>
      <c r="C4776" s="78">
        <v>1.408e-5</v>
      </c>
      <c r="D4776" s="78">
        <v>506818.4</v>
      </c>
      <c r="E4776" s="78">
        <f>TRUNC(C4776*D4776,2)</f>
        <v>7.13</v>
      </c>
    </row>
    <row r="4777" spans="1:5">
      <c r="A4777" s="76" t="s">
        <v>122</v>
      </c>
      <c r="B4777" s="77"/>
      <c r="C4777" s="78"/>
      <c r="D4777" s="78"/>
      <c r="E4777" s="78">
        <f>SUM(E4776:E4776)</f>
        <v>7.13</v>
      </c>
    </row>
    <row r="4778" spans="1:5">
      <c r="A4778" s="76"/>
      <c r="B4778" s="77"/>
      <c r="C4778" s="78"/>
      <c r="D4778" s="78"/>
      <c r="E4778" s="78"/>
    </row>
    <row r="4779" spans="1:5">
      <c r="A4779" s="76" t="s">
        <v>2538</v>
      </c>
      <c r="B4779" s="77"/>
      <c r="C4779" s="78"/>
      <c r="D4779" s="78"/>
      <c r="E4779" s="78">
        <f>E4777</f>
        <v>7.13</v>
      </c>
    </row>
    <row r="4780" spans="1:5">
      <c r="A4780" s="76" t="s">
        <v>2539</v>
      </c>
      <c r="B4780" s="77"/>
      <c r="C4780" s="78"/>
      <c r="D4780" s="78">
        <v>0</v>
      </c>
      <c r="E4780" s="78">
        <f>TRUNC(D4780*E4779/100,2)</f>
        <v>0</v>
      </c>
    </row>
    <row r="4781" spans="1:5">
      <c r="A4781" s="76" t="s">
        <v>2540</v>
      </c>
      <c r="B4781" s="77"/>
      <c r="C4781" s="78"/>
      <c r="D4781" s="78"/>
      <c r="E4781" s="78">
        <f>E4779+E4780</f>
        <v>7.13</v>
      </c>
    </row>
    <row r="4782" spans="1:5">
      <c r="A4782" s="76"/>
      <c r="B4782" s="77"/>
      <c r="C4782" s="78"/>
      <c r="D4782" s="78"/>
      <c r="E4782" s="78"/>
    </row>
    <row r="4783" spans="1:5">
      <c r="A4783" s="76" t="s">
        <v>3092</v>
      </c>
      <c r="B4783" s="77" t="s">
        <v>3634</v>
      </c>
      <c r="C4783" s="78"/>
      <c r="D4783" s="78"/>
      <c r="E4783" s="78"/>
    </row>
    <row r="4784" ht="25.5" spans="1:5">
      <c r="A4784" s="76" t="s">
        <v>3635</v>
      </c>
      <c r="B4784" s="77"/>
      <c r="C4784" s="78"/>
      <c r="D4784" s="78"/>
      <c r="E4784" s="78"/>
    </row>
    <row r="4785" spans="1:5">
      <c r="A4785" s="76" t="s">
        <v>2764</v>
      </c>
      <c r="B4785" s="77"/>
      <c r="C4785" s="78"/>
      <c r="D4785" s="78"/>
      <c r="E4785" s="78"/>
    </row>
    <row r="4786" spans="1:5">
      <c r="A4786" s="76"/>
      <c r="B4786" s="77"/>
      <c r="C4786" s="78"/>
      <c r="D4786" s="78"/>
      <c r="E4786" s="78"/>
    </row>
    <row r="4787" spans="1:5">
      <c r="A4787" s="76" t="s">
        <v>279</v>
      </c>
      <c r="B4787" s="77" t="s">
        <v>135</v>
      </c>
      <c r="C4787" s="78" t="s">
        <v>136</v>
      </c>
      <c r="D4787" s="78" t="s">
        <v>2534</v>
      </c>
      <c r="E4787" s="78" t="s">
        <v>2535</v>
      </c>
    </row>
    <row r="4788" ht="25.5" spans="1:5">
      <c r="A4788" s="76" t="s">
        <v>3629</v>
      </c>
      <c r="B4788" s="77" t="s">
        <v>494</v>
      </c>
      <c r="C4788" s="78">
        <v>6.428e-5</v>
      </c>
      <c r="D4788" s="78">
        <v>506818.4</v>
      </c>
      <c r="E4788" s="78">
        <f>TRUNC(C4788*D4788,2)</f>
        <v>32.57</v>
      </c>
    </row>
    <row r="4789" spans="1:5">
      <c r="A4789" s="76" t="s">
        <v>122</v>
      </c>
      <c r="B4789" s="77"/>
      <c r="C4789" s="78"/>
      <c r="D4789" s="78"/>
      <c r="E4789" s="78">
        <f>SUM(E4788:E4788)</f>
        <v>32.57</v>
      </c>
    </row>
    <row r="4790" spans="1:5">
      <c r="A4790" s="76"/>
      <c r="B4790" s="77"/>
      <c r="C4790" s="78"/>
      <c r="D4790" s="78"/>
      <c r="E4790" s="78"/>
    </row>
    <row r="4791" spans="1:5">
      <c r="A4791" s="76" t="s">
        <v>2538</v>
      </c>
      <c r="B4791" s="77"/>
      <c r="C4791" s="78"/>
      <c r="D4791" s="78"/>
      <c r="E4791" s="78">
        <f>E4789</f>
        <v>32.57</v>
      </c>
    </row>
    <row r="4792" spans="1:5">
      <c r="A4792" s="76" t="s">
        <v>2539</v>
      </c>
      <c r="B4792" s="77"/>
      <c r="C4792" s="78"/>
      <c r="D4792" s="78">
        <v>0</v>
      </c>
      <c r="E4792" s="78">
        <f>TRUNC(D4792*E4791/100,2)</f>
        <v>0</v>
      </c>
    </row>
    <row r="4793" spans="1:5">
      <c r="A4793" s="76" t="s">
        <v>2540</v>
      </c>
      <c r="B4793" s="77"/>
      <c r="C4793" s="78"/>
      <c r="D4793" s="78"/>
      <c r="E4793" s="78">
        <f>E4791+E4792</f>
        <v>32.57</v>
      </c>
    </row>
    <row r="4794" spans="1:5">
      <c r="A4794" s="76"/>
      <c r="B4794" s="77"/>
      <c r="C4794" s="78"/>
      <c r="D4794" s="78"/>
      <c r="E4794" s="78"/>
    </row>
    <row r="4795" spans="1:5">
      <c r="A4795" s="76" t="s">
        <v>3092</v>
      </c>
      <c r="B4795" s="77" t="s">
        <v>3636</v>
      </c>
      <c r="C4795" s="78"/>
      <c r="D4795" s="78"/>
      <c r="E4795" s="78"/>
    </row>
    <row r="4796" spans="1:5">
      <c r="A4796" s="76" t="s">
        <v>3637</v>
      </c>
      <c r="B4796" s="77"/>
      <c r="C4796" s="78"/>
      <c r="D4796" s="78"/>
      <c r="E4796" s="78"/>
    </row>
    <row r="4797" spans="1:5">
      <c r="A4797" s="76" t="s">
        <v>2764</v>
      </c>
      <c r="B4797" s="77"/>
      <c r="C4797" s="78"/>
      <c r="D4797" s="78"/>
      <c r="E4797" s="78"/>
    </row>
    <row r="4798" spans="1:5">
      <c r="A4798" s="76"/>
      <c r="B4798" s="77"/>
      <c r="C4798" s="78"/>
      <c r="D4798" s="78"/>
      <c r="E4798" s="78"/>
    </row>
    <row r="4799" spans="1:5">
      <c r="A4799" s="76" t="s">
        <v>2543</v>
      </c>
      <c r="B4799" s="77" t="s">
        <v>135</v>
      </c>
      <c r="C4799" s="78" t="s">
        <v>136</v>
      </c>
      <c r="D4799" s="78" t="s">
        <v>2534</v>
      </c>
      <c r="E4799" s="78" t="s">
        <v>2535</v>
      </c>
    </row>
    <row r="4800" spans="1:5">
      <c r="A4800" s="76" t="s">
        <v>3638</v>
      </c>
      <c r="B4800" s="77" t="s">
        <v>494</v>
      </c>
      <c r="C4800" s="78">
        <v>6.024e-5</v>
      </c>
      <c r="D4800" s="78">
        <v>72035.46</v>
      </c>
      <c r="E4800" s="78">
        <f>TRUNC(C4800*D4800,2)</f>
        <v>4.33</v>
      </c>
    </row>
    <row r="4801" spans="1:5">
      <c r="A4801" s="76" t="s">
        <v>122</v>
      </c>
      <c r="B4801" s="77"/>
      <c r="C4801" s="78"/>
      <c r="D4801" s="78"/>
      <c r="E4801" s="78">
        <f>SUM(E4800:E4800)</f>
        <v>4.33</v>
      </c>
    </row>
    <row r="4802" spans="1:5">
      <c r="A4802" s="76"/>
      <c r="B4802" s="77"/>
      <c r="C4802" s="78"/>
      <c r="D4802" s="78"/>
      <c r="E4802" s="78"/>
    </row>
    <row r="4803" spans="1:5">
      <c r="A4803" s="76" t="s">
        <v>2538</v>
      </c>
      <c r="B4803" s="77"/>
      <c r="C4803" s="78"/>
      <c r="D4803" s="78"/>
      <c r="E4803" s="78">
        <f>E4801</f>
        <v>4.33</v>
      </c>
    </row>
    <row r="4804" spans="1:5">
      <c r="A4804" s="76" t="s">
        <v>2539</v>
      </c>
      <c r="B4804" s="77"/>
      <c r="C4804" s="78"/>
      <c r="D4804" s="78">
        <v>0</v>
      </c>
      <c r="E4804" s="78">
        <f>TRUNC(D4804*E4803/100,2)</f>
        <v>0</v>
      </c>
    </row>
    <row r="4805" spans="1:5">
      <c r="A4805" s="76" t="s">
        <v>2540</v>
      </c>
      <c r="B4805" s="77"/>
      <c r="C4805" s="78"/>
      <c r="D4805" s="78"/>
      <c r="E4805" s="78">
        <f>E4803+E4804</f>
        <v>4.33</v>
      </c>
    </row>
    <row r="4806" spans="1:5">
      <c r="A4806" s="76"/>
      <c r="B4806" s="77"/>
      <c r="C4806" s="78"/>
      <c r="D4806" s="78"/>
      <c r="E4806" s="78"/>
    </row>
    <row r="4807" spans="1:5">
      <c r="A4807" s="76" t="s">
        <v>3092</v>
      </c>
      <c r="B4807" s="77" t="s">
        <v>3639</v>
      </c>
      <c r="C4807" s="78"/>
      <c r="D4807" s="78"/>
      <c r="E4807" s="78"/>
    </row>
    <row r="4808" spans="1:5">
      <c r="A4808" s="76" t="s">
        <v>3640</v>
      </c>
      <c r="B4808" s="77"/>
      <c r="C4808" s="78"/>
      <c r="D4808" s="78"/>
      <c r="E4808" s="78"/>
    </row>
    <row r="4809" spans="1:5">
      <c r="A4809" s="76" t="s">
        <v>2764</v>
      </c>
      <c r="B4809" s="77"/>
      <c r="C4809" s="78"/>
      <c r="D4809" s="78"/>
      <c r="E4809" s="78"/>
    </row>
    <row r="4810" spans="1:5">
      <c r="A4810" s="76"/>
      <c r="B4810" s="77"/>
      <c r="C4810" s="78"/>
      <c r="D4810" s="78"/>
      <c r="E4810" s="78"/>
    </row>
    <row r="4811" spans="1:5">
      <c r="A4811" s="76" t="s">
        <v>2543</v>
      </c>
      <c r="B4811" s="77" t="s">
        <v>135</v>
      </c>
      <c r="C4811" s="78" t="s">
        <v>136</v>
      </c>
      <c r="D4811" s="78" t="s">
        <v>2534</v>
      </c>
      <c r="E4811" s="78" t="s">
        <v>2535</v>
      </c>
    </row>
    <row r="4812" spans="1:5">
      <c r="A4812" s="76" t="s">
        <v>3638</v>
      </c>
      <c r="B4812" s="77" t="s">
        <v>494</v>
      </c>
      <c r="C4812" s="78">
        <v>1.457e-5</v>
      </c>
      <c r="D4812" s="78">
        <v>72035.46</v>
      </c>
      <c r="E4812" s="78">
        <f>TRUNC(C4812*D4812,2)</f>
        <v>1.04</v>
      </c>
    </row>
    <row r="4813" spans="1:5">
      <c r="A4813" s="76" t="s">
        <v>122</v>
      </c>
      <c r="B4813" s="77"/>
      <c r="C4813" s="78"/>
      <c r="D4813" s="78"/>
      <c r="E4813" s="78">
        <f>SUM(E4812:E4812)</f>
        <v>1.04</v>
      </c>
    </row>
    <row r="4814" spans="1:5">
      <c r="A4814" s="76"/>
      <c r="B4814" s="77"/>
      <c r="C4814" s="78"/>
      <c r="D4814" s="78"/>
      <c r="E4814" s="78"/>
    </row>
    <row r="4815" spans="1:5">
      <c r="A4815" s="76" t="s">
        <v>2538</v>
      </c>
      <c r="B4815" s="77"/>
      <c r="C4815" s="78"/>
      <c r="D4815" s="78"/>
      <c r="E4815" s="78">
        <f>E4813</f>
        <v>1.04</v>
      </c>
    </row>
    <row r="4816" spans="1:5">
      <c r="A4816" s="76" t="s">
        <v>2539</v>
      </c>
      <c r="B4816" s="77"/>
      <c r="C4816" s="78"/>
      <c r="D4816" s="78">
        <v>0</v>
      </c>
      <c r="E4816" s="78">
        <f>TRUNC(D4816*E4815/100,2)</f>
        <v>0</v>
      </c>
    </row>
    <row r="4817" spans="1:5">
      <c r="A4817" s="76" t="s">
        <v>2540</v>
      </c>
      <c r="B4817" s="77"/>
      <c r="C4817" s="78"/>
      <c r="D4817" s="78"/>
      <c r="E4817" s="78">
        <f>E4815+E4816</f>
        <v>1.04</v>
      </c>
    </row>
    <row r="4818" spans="1:5">
      <c r="A4818" s="76"/>
      <c r="B4818" s="77"/>
      <c r="C4818" s="78"/>
      <c r="D4818" s="78"/>
      <c r="E4818" s="78"/>
    </row>
    <row r="4819" spans="1:5">
      <c r="A4819" s="76" t="s">
        <v>3092</v>
      </c>
      <c r="B4819" s="77" t="s">
        <v>3641</v>
      </c>
      <c r="C4819" s="78"/>
      <c r="D4819" s="78"/>
      <c r="E4819" s="78"/>
    </row>
    <row r="4820" spans="1:5">
      <c r="A4820" s="76" t="s">
        <v>3642</v>
      </c>
      <c r="B4820" s="77"/>
      <c r="C4820" s="78"/>
      <c r="D4820" s="78"/>
      <c r="E4820" s="78"/>
    </row>
    <row r="4821" spans="1:5">
      <c r="A4821" s="76" t="s">
        <v>2764</v>
      </c>
      <c r="B4821" s="77"/>
      <c r="C4821" s="78"/>
      <c r="D4821" s="78"/>
      <c r="E4821" s="78"/>
    </row>
    <row r="4822" spans="1:5">
      <c r="A4822" s="76"/>
      <c r="B4822" s="77"/>
      <c r="C4822" s="78"/>
      <c r="D4822" s="78"/>
      <c r="E4822" s="78"/>
    </row>
    <row r="4823" spans="1:5">
      <c r="A4823" s="76" t="s">
        <v>2543</v>
      </c>
      <c r="B4823" s="77" t="s">
        <v>135</v>
      </c>
      <c r="C4823" s="78" t="s">
        <v>136</v>
      </c>
      <c r="D4823" s="78" t="s">
        <v>2534</v>
      </c>
      <c r="E4823" s="78" t="s">
        <v>2535</v>
      </c>
    </row>
    <row r="4824" spans="1:5">
      <c r="A4824" s="76" t="s">
        <v>3638</v>
      </c>
      <c r="B4824" s="77" t="s">
        <v>494</v>
      </c>
      <c r="C4824" s="78">
        <v>8.481e-5</v>
      </c>
      <c r="D4824" s="78">
        <v>72035.46</v>
      </c>
      <c r="E4824" s="78">
        <f>TRUNC(C4824*D4824,2)</f>
        <v>6.1</v>
      </c>
    </row>
    <row r="4825" spans="1:5">
      <c r="A4825" s="76" t="s">
        <v>122</v>
      </c>
      <c r="B4825" s="77"/>
      <c r="C4825" s="78"/>
      <c r="D4825" s="78"/>
      <c r="E4825" s="78">
        <f>SUM(E4824:E4824)</f>
        <v>6.1</v>
      </c>
    </row>
    <row r="4826" spans="1:5">
      <c r="A4826" s="76"/>
      <c r="B4826" s="77"/>
      <c r="C4826" s="78"/>
      <c r="D4826" s="78"/>
      <c r="E4826" s="78"/>
    </row>
    <row r="4827" spans="1:5">
      <c r="A4827" s="76" t="s">
        <v>2538</v>
      </c>
      <c r="B4827" s="77"/>
      <c r="C4827" s="78"/>
      <c r="D4827" s="78"/>
      <c r="E4827" s="78">
        <f>E4825</f>
        <v>6.1</v>
      </c>
    </row>
    <row r="4828" spans="1:5">
      <c r="A4828" s="76" t="s">
        <v>2539</v>
      </c>
      <c r="B4828" s="77"/>
      <c r="C4828" s="78"/>
      <c r="D4828" s="78">
        <v>0</v>
      </c>
      <c r="E4828" s="78">
        <f>TRUNC(D4828*E4827/100,2)</f>
        <v>0</v>
      </c>
    </row>
    <row r="4829" spans="1:5">
      <c r="A4829" s="76" t="s">
        <v>2540</v>
      </c>
      <c r="B4829" s="77"/>
      <c r="C4829" s="78"/>
      <c r="D4829" s="78"/>
      <c r="E4829" s="78">
        <f>E4827+E4828</f>
        <v>6.1</v>
      </c>
    </row>
    <row r="4830" spans="1:5">
      <c r="A4830" s="76"/>
      <c r="B4830" s="77"/>
      <c r="C4830" s="78"/>
      <c r="D4830" s="78"/>
      <c r="E4830" s="78"/>
    </row>
    <row r="4831" spans="1:5">
      <c r="A4831" s="76" t="s">
        <v>3092</v>
      </c>
      <c r="B4831" s="77" t="s">
        <v>3643</v>
      </c>
      <c r="C4831" s="78"/>
      <c r="D4831" s="78"/>
      <c r="E4831" s="78"/>
    </row>
    <row r="4832" ht="25.5" spans="1:5">
      <c r="A4832" s="76" t="s">
        <v>3644</v>
      </c>
      <c r="B4832" s="77"/>
      <c r="C4832" s="78"/>
      <c r="D4832" s="78"/>
      <c r="E4832" s="78"/>
    </row>
    <row r="4833" spans="1:5">
      <c r="A4833" s="76" t="s">
        <v>3085</v>
      </c>
      <c r="B4833" s="77"/>
      <c r="C4833" s="78"/>
      <c r="D4833" s="78"/>
      <c r="E4833" s="78"/>
    </row>
    <row r="4834" spans="1:5">
      <c r="A4834" s="76"/>
      <c r="B4834" s="77"/>
      <c r="C4834" s="78"/>
      <c r="D4834" s="78"/>
      <c r="E4834" s="78"/>
    </row>
    <row r="4835" spans="1:5">
      <c r="A4835" s="76" t="s">
        <v>2543</v>
      </c>
      <c r="B4835" s="77" t="s">
        <v>135</v>
      </c>
      <c r="C4835" s="78" t="s">
        <v>136</v>
      </c>
      <c r="D4835" s="78" t="s">
        <v>2534</v>
      </c>
      <c r="E4835" s="78" t="s">
        <v>2535</v>
      </c>
    </row>
    <row r="4836" spans="1:5">
      <c r="A4836" s="76" t="s">
        <v>3645</v>
      </c>
      <c r="B4836" s="77" t="s">
        <v>839</v>
      </c>
      <c r="C4836" s="78">
        <v>1</v>
      </c>
      <c r="D4836" s="78">
        <v>29.94</v>
      </c>
      <c r="E4836" s="78">
        <f>TRUNC(C4836*D4836,2)</f>
        <v>29.94</v>
      </c>
    </row>
    <row r="4837" ht="25.5" spans="1:5">
      <c r="A4837" s="76" t="s">
        <v>3646</v>
      </c>
      <c r="B4837" s="77" t="s">
        <v>839</v>
      </c>
      <c r="C4837" s="78">
        <v>1</v>
      </c>
      <c r="D4837" s="78">
        <v>47.6</v>
      </c>
      <c r="E4837" s="78">
        <f>TRUNC(C4837*D4837,2)</f>
        <v>47.6</v>
      </c>
    </row>
    <row r="4838" ht="25.5" spans="1:5">
      <c r="A4838" s="76" t="s">
        <v>3647</v>
      </c>
      <c r="B4838" s="77" t="s">
        <v>839</v>
      </c>
      <c r="C4838" s="78">
        <v>1</v>
      </c>
      <c r="D4838" s="78">
        <v>12.58</v>
      </c>
      <c r="E4838" s="78">
        <f>TRUNC(C4838*D4838,2)</f>
        <v>12.58</v>
      </c>
    </row>
    <row r="4839" ht="25.5" spans="1:5">
      <c r="A4839" s="76" t="s">
        <v>3648</v>
      </c>
      <c r="B4839" s="77" t="s">
        <v>839</v>
      </c>
      <c r="C4839" s="78">
        <v>1</v>
      </c>
      <c r="D4839" s="78">
        <v>59.5</v>
      </c>
      <c r="E4839" s="78">
        <f>TRUNC(C4839*D4839,2)</f>
        <v>59.5</v>
      </c>
    </row>
    <row r="4840" ht="38.25" spans="1:5">
      <c r="A4840" s="76" t="s">
        <v>3649</v>
      </c>
      <c r="B4840" s="77" t="s">
        <v>839</v>
      </c>
      <c r="C4840" s="78">
        <v>1</v>
      </c>
      <c r="D4840" s="78">
        <v>63.86</v>
      </c>
      <c r="E4840" s="78">
        <f>TRUNC(C4840*D4840,2)</f>
        <v>63.86</v>
      </c>
    </row>
    <row r="4841" spans="1:5">
      <c r="A4841" s="76" t="s">
        <v>122</v>
      </c>
      <c r="B4841" s="77"/>
      <c r="C4841" s="78"/>
      <c r="D4841" s="78"/>
      <c r="E4841" s="78">
        <f>SUM(E4836:E4840)</f>
        <v>213.48</v>
      </c>
    </row>
    <row r="4842" spans="1:5">
      <c r="A4842" s="76"/>
      <c r="B4842" s="77"/>
      <c r="C4842" s="78"/>
      <c r="D4842" s="78"/>
      <c r="E4842" s="78"/>
    </row>
    <row r="4843" spans="1:5">
      <c r="A4843" s="76" t="s">
        <v>2538</v>
      </c>
      <c r="B4843" s="77"/>
      <c r="C4843" s="78"/>
      <c r="D4843" s="78"/>
      <c r="E4843" s="78">
        <f>E4841</f>
        <v>213.48</v>
      </c>
    </row>
    <row r="4844" spans="1:5">
      <c r="A4844" s="76" t="s">
        <v>2539</v>
      </c>
      <c r="B4844" s="77"/>
      <c r="C4844" s="78"/>
      <c r="D4844" s="78">
        <v>0</v>
      </c>
      <c r="E4844" s="78">
        <f>TRUNC(D4844*E4843/100,2)</f>
        <v>0</v>
      </c>
    </row>
    <row r="4845" spans="1:5">
      <c r="A4845" s="76" t="s">
        <v>2540</v>
      </c>
      <c r="B4845" s="77"/>
      <c r="C4845" s="78"/>
      <c r="D4845" s="78"/>
      <c r="E4845" s="78">
        <f>E4843+E4844</f>
        <v>213.48</v>
      </c>
    </row>
    <row r="4846" spans="1:5">
      <c r="A4846" s="76"/>
      <c r="B4846" s="77"/>
      <c r="C4846" s="78"/>
      <c r="D4846" s="78"/>
      <c r="E4846" s="78"/>
    </row>
    <row r="4847" spans="1:5">
      <c r="A4847" s="76" t="s">
        <v>3092</v>
      </c>
      <c r="B4847" s="77" t="s">
        <v>3650</v>
      </c>
      <c r="C4847" s="78"/>
      <c r="D4847" s="78"/>
      <c r="E4847" s="78"/>
    </row>
    <row r="4848" spans="1:5">
      <c r="A4848" s="76" t="s">
        <v>3651</v>
      </c>
      <c r="B4848" s="77"/>
      <c r="C4848" s="78"/>
      <c r="D4848" s="78"/>
      <c r="E4848" s="78"/>
    </row>
    <row r="4849" spans="1:5">
      <c r="A4849" s="76" t="s">
        <v>2764</v>
      </c>
      <c r="B4849" s="77"/>
      <c r="C4849" s="78"/>
      <c r="D4849" s="78"/>
      <c r="E4849" s="78"/>
    </row>
    <row r="4850" spans="1:5">
      <c r="A4850" s="76"/>
      <c r="B4850" s="77"/>
      <c r="C4850" s="78"/>
      <c r="D4850" s="78"/>
      <c r="E4850" s="78"/>
    </row>
    <row r="4851" spans="1:5">
      <c r="A4851" s="76" t="s">
        <v>279</v>
      </c>
      <c r="B4851" s="77" t="s">
        <v>135</v>
      </c>
      <c r="C4851" s="78" t="s">
        <v>136</v>
      </c>
      <c r="D4851" s="78" t="s">
        <v>2534</v>
      </c>
      <c r="E4851" s="78" t="s">
        <v>2535</v>
      </c>
    </row>
    <row r="4852" ht="25.5" spans="1:5">
      <c r="A4852" s="76" t="s">
        <v>3111</v>
      </c>
      <c r="B4852" s="77" t="s">
        <v>839</v>
      </c>
      <c r="C4852" s="78">
        <v>1</v>
      </c>
      <c r="D4852" s="78">
        <v>1.5</v>
      </c>
      <c r="E4852" s="78">
        <f>TRUNC(C4852*D4852,2)</f>
        <v>1.5</v>
      </c>
    </row>
    <row r="4853" spans="1:5">
      <c r="A4853" s="76" t="s">
        <v>122</v>
      </c>
      <c r="B4853" s="77"/>
      <c r="C4853" s="78"/>
      <c r="D4853" s="78"/>
      <c r="E4853" s="78">
        <f>SUM(E4852:E4852)</f>
        <v>1.5</v>
      </c>
    </row>
    <row r="4854" spans="1:5">
      <c r="A4854" s="76"/>
      <c r="B4854" s="77"/>
      <c r="C4854" s="78"/>
      <c r="D4854" s="78"/>
      <c r="E4854" s="78"/>
    </row>
    <row r="4855" spans="1:5">
      <c r="A4855" s="76" t="s">
        <v>280</v>
      </c>
      <c r="B4855" s="77" t="s">
        <v>135</v>
      </c>
      <c r="C4855" s="78" t="s">
        <v>136</v>
      </c>
      <c r="D4855" s="78" t="s">
        <v>2534</v>
      </c>
      <c r="E4855" s="78" t="s">
        <v>2535</v>
      </c>
    </row>
    <row r="4856" ht="25.5" spans="1:5">
      <c r="A4856" s="76" t="s">
        <v>3112</v>
      </c>
      <c r="B4856" s="77" t="s">
        <v>839</v>
      </c>
      <c r="C4856" s="78">
        <v>1</v>
      </c>
      <c r="D4856" s="78">
        <v>3.95</v>
      </c>
      <c r="E4856" s="78">
        <f>TRUNC(C4856*D4856,2)</f>
        <v>3.95</v>
      </c>
    </row>
    <row r="4857" spans="1:5">
      <c r="A4857" s="76" t="s">
        <v>3652</v>
      </c>
      <c r="B4857" s="77" t="s">
        <v>839</v>
      </c>
      <c r="C4857" s="78">
        <v>1</v>
      </c>
      <c r="D4857" s="78">
        <v>21.83</v>
      </c>
      <c r="E4857" s="78">
        <f>TRUNC(C4857*D4857,2)</f>
        <v>21.83</v>
      </c>
    </row>
    <row r="4858" ht="25.5" spans="1:5">
      <c r="A4858" s="76" t="s">
        <v>3113</v>
      </c>
      <c r="B4858" s="77" t="s">
        <v>839</v>
      </c>
      <c r="C4858" s="78">
        <v>1</v>
      </c>
      <c r="D4858" s="78">
        <v>0.08</v>
      </c>
      <c r="E4858" s="78">
        <f>TRUNC(C4858*D4858,2)</f>
        <v>0.08</v>
      </c>
    </row>
    <row r="4859" spans="1:5">
      <c r="A4859" s="76" t="s">
        <v>122</v>
      </c>
      <c r="B4859" s="77"/>
      <c r="C4859" s="78"/>
      <c r="D4859" s="78"/>
      <c r="E4859" s="78">
        <f>SUM(E4856:E4858)</f>
        <v>25.86</v>
      </c>
    </row>
    <row r="4860" spans="1:5">
      <c r="A4860" s="76" t="s">
        <v>117</v>
      </c>
      <c r="B4860" s="77"/>
      <c r="C4860" s="78"/>
      <c r="D4860" s="78"/>
      <c r="E4860" s="78" t="str">
        <f>"0"</f>
        <v>0</v>
      </c>
    </row>
    <row r="4861" spans="1:5">
      <c r="A4861" s="76" t="s">
        <v>2537</v>
      </c>
      <c r="B4861" s="77"/>
      <c r="C4861" s="78"/>
      <c r="D4861" s="78"/>
      <c r="E4861" s="78">
        <f>E4859+E4860</f>
        <v>25.86</v>
      </c>
    </row>
    <row r="4862" spans="1:5">
      <c r="A4862" s="76"/>
      <c r="B4862" s="77"/>
      <c r="C4862" s="78"/>
      <c r="D4862" s="78"/>
      <c r="E4862" s="78"/>
    </row>
    <row r="4863" spans="1:5">
      <c r="A4863" s="76" t="s">
        <v>2543</v>
      </c>
      <c r="B4863" s="77" t="s">
        <v>135</v>
      </c>
      <c r="C4863" s="78" t="s">
        <v>136</v>
      </c>
      <c r="D4863" s="78" t="s">
        <v>2534</v>
      </c>
      <c r="E4863" s="78" t="s">
        <v>2535</v>
      </c>
    </row>
    <row r="4864" ht="25.5" spans="1:5">
      <c r="A4864" s="76" t="s">
        <v>3195</v>
      </c>
      <c r="B4864" s="77" t="s">
        <v>839</v>
      </c>
      <c r="C4864" s="78">
        <v>1</v>
      </c>
      <c r="D4864" s="78">
        <v>0.89</v>
      </c>
      <c r="E4864" s="78">
        <f>TRUNC(C4864*D4864,2)</f>
        <v>0.89</v>
      </c>
    </row>
    <row r="4865" spans="1:5">
      <c r="A4865" s="76" t="s">
        <v>3116</v>
      </c>
      <c r="B4865" s="77" t="s">
        <v>839</v>
      </c>
      <c r="C4865" s="78">
        <v>1</v>
      </c>
      <c r="D4865" s="78">
        <v>1.43</v>
      </c>
      <c r="E4865" s="78">
        <f>TRUNC(C4865*D4865,2)</f>
        <v>1.43</v>
      </c>
    </row>
    <row r="4866" ht="25.5" spans="1:5">
      <c r="A4866" s="76" t="s">
        <v>3196</v>
      </c>
      <c r="B4866" s="77" t="s">
        <v>839</v>
      </c>
      <c r="C4866" s="78">
        <v>1</v>
      </c>
      <c r="D4866" s="78">
        <v>0.01</v>
      </c>
      <c r="E4866" s="78">
        <f>TRUNC(C4866*D4866,2)</f>
        <v>0.01</v>
      </c>
    </row>
    <row r="4867" ht="25.5" spans="1:5">
      <c r="A4867" s="76" t="s">
        <v>3653</v>
      </c>
      <c r="B4867" s="77" t="s">
        <v>839</v>
      </c>
      <c r="C4867" s="78">
        <v>1</v>
      </c>
      <c r="D4867" s="78">
        <v>0.25</v>
      </c>
      <c r="E4867" s="78">
        <f>TRUNC(C4867*D4867,2)</f>
        <v>0.25</v>
      </c>
    </row>
    <row r="4868" spans="1:5">
      <c r="A4868" s="76" t="s">
        <v>122</v>
      </c>
      <c r="B4868" s="77"/>
      <c r="C4868" s="78"/>
      <c r="D4868" s="78"/>
      <c r="E4868" s="78">
        <f>SUM(E4864:E4867)</f>
        <v>2.58</v>
      </c>
    </row>
    <row r="4869" spans="1:5">
      <c r="A4869" s="76"/>
      <c r="B4869" s="77"/>
      <c r="C4869" s="78"/>
      <c r="D4869" s="78"/>
      <c r="E4869" s="78"/>
    </row>
    <row r="4870" spans="1:5">
      <c r="A4870" s="76" t="s">
        <v>2538</v>
      </c>
      <c r="B4870" s="77"/>
      <c r="C4870" s="78"/>
      <c r="D4870" s="78"/>
      <c r="E4870" s="78">
        <f>E4853+E4861+E4868</f>
        <v>29.94</v>
      </c>
    </row>
    <row r="4871" spans="1:5">
      <c r="A4871" s="76" t="s">
        <v>2539</v>
      </c>
      <c r="B4871" s="77"/>
      <c r="C4871" s="78"/>
      <c r="D4871" s="78">
        <v>0</v>
      </c>
      <c r="E4871" s="78">
        <f>TRUNC(D4871*E4870/100,2)</f>
        <v>0</v>
      </c>
    </row>
    <row r="4872" spans="1:5">
      <c r="A4872" s="76" t="s">
        <v>2540</v>
      </c>
      <c r="B4872" s="77"/>
      <c r="C4872" s="78"/>
      <c r="D4872" s="78"/>
      <c r="E4872" s="78">
        <f>E4870+E4871</f>
        <v>29.94</v>
      </c>
    </row>
    <row r="4873" spans="1:5">
      <c r="A4873" s="76"/>
      <c r="B4873" s="77"/>
      <c r="C4873" s="78"/>
      <c r="D4873" s="78"/>
      <c r="E4873" s="78"/>
    </row>
    <row r="4874" spans="1:5">
      <c r="A4874" s="76" t="s">
        <v>3092</v>
      </c>
      <c r="B4874" s="77" t="s">
        <v>3654</v>
      </c>
      <c r="C4874" s="78"/>
      <c r="D4874" s="78"/>
      <c r="E4874" s="78"/>
    </row>
    <row r="4875" ht="25.5" spans="1:5">
      <c r="A4875" s="76" t="s">
        <v>3655</v>
      </c>
      <c r="B4875" s="77"/>
      <c r="C4875" s="78"/>
      <c r="D4875" s="78"/>
      <c r="E4875" s="78"/>
    </row>
    <row r="4876" spans="1:5">
      <c r="A4876" s="76" t="s">
        <v>2764</v>
      </c>
      <c r="B4876" s="77"/>
      <c r="C4876" s="78"/>
      <c r="D4876" s="78"/>
      <c r="E4876" s="78"/>
    </row>
    <row r="4877" spans="1:5">
      <c r="A4877" s="76"/>
      <c r="B4877" s="77"/>
      <c r="C4877" s="78"/>
      <c r="D4877" s="78"/>
      <c r="E4877" s="78"/>
    </row>
    <row r="4878" spans="1:5">
      <c r="A4878" s="76" t="s">
        <v>280</v>
      </c>
      <c r="B4878" s="77" t="s">
        <v>135</v>
      </c>
      <c r="C4878" s="78" t="s">
        <v>136</v>
      </c>
      <c r="D4878" s="78" t="s">
        <v>2534</v>
      </c>
      <c r="E4878" s="78" t="s">
        <v>2535</v>
      </c>
    </row>
    <row r="4879" spans="1:5">
      <c r="A4879" s="76" t="s">
        <v>3652</v>
      </c>
      <c r="B4879" s="77" t="s">
        <v>839</v>
      </c>
      <c r="C4879" s="78">
        <v>0.01154</v>
      </c>
      <c r="D4879" s="78">
        <v>21.83</v>
      </c>
      <c r="E4879" s="78">
        <f>TRUNC(C4879*D4879,2)</f>
        <v>0.25</v>
      </c>
    </row>
    <row r="4880" spans="1:5">
      <c r="A4880" s="76" t="s">
        <v>122</v>
      </c>
      <c r="B4880" s="77"/>
      <c r="C4880" s="78"/>
      <c r="D4880" s="78"/>
      <c r="E4880" s="78">
        <f>SUM(E4879:E4879)</f>
        <v>0.25</v>
      </c>
    </row>
    <row r="4881" spans="1:5">
      <c r="A4881" s="76" t="s">
        <v>117</v>
      </c>
      <c r="B4881" s="77"/>
      <c r="C4881" s="78"/>
      <c r="D4881" s="78"/>
      <c r="E4881" s="78" t="str">
        <f>"0"</f>
        <v>0</v>
      </c>
    </row>
    <row r="4882" spans="1:5">
      <c r="A4882" s="76" t="s">
        <v>2537</v>
      </c>
      <c r="B4882" s="77"/>
      <c r="C4882" s="78"/>
      <c r="D4882" s="78"/>
      <c r="E4882" s="78">
        <f>E4880+E4881</f>
        <v>0.25</v>
      </c>
    </row>
    <row r="4883" spans="1:5">
      <c r="A4883" s="76"/>
      <c r="B4883" s="77"/>
      <c r="C4883" s="78"/>
      <c r="D4883" s="78"/>
      <c r="E4883" s="78"/>
    </row>
    <row r="4884" spans="1:5">
      <c r="A4884" s="76" t="s">
        <v>2538</v>
      </c>
      <c r="B4884" s="77"/>
      <c r="C4884" s="78"/>
      <c r="D4884" s="78"/>
      <c r="E4884" s="78">
        <f>E4882</f>
        <v>0.25</v>
      </c>
    </row>
    <row r="4885" spans="1:5">
      <c r="A4885" s="76" t="s">
        <v>2539</v>
      </c>
      <c r="B4885" s="77"/>
      <c r="C4885" s="78"/>
      <c r="D4885" s="78">
        <v>0</v>
      </c>
      <c r="E4885" s="78">
        <f>TRUNC(D4885*E4884/100,2)</f>
        <v>0</v>
      </c>
    </row>
    <row r="4886" spans="1:5">
      <c r="A4886" s="76" t="s">
        <v>2540</v>
      </c>
      <c r="B4886" s="77"/>
      <c r="C4886" s="78"/>
      <c r="D4886" s="78"/>
      <c r="E4886" s="78">
        <f>E4884+E4885</f>
        <v>0.25</v>
      </c>
    </row>
    <row r="4887" spans="1:5">
      <c r="A4887" s="76"/>
      <c r="B4887" s="77"/>
      <c r="C4887" s="78"/>
      <c r="D4887" s="78"/>
      <c r="E4887" s="78"/>
    </row>
    <row r="4888" spans="1:5">
      <c r="A4888" s="76" t="s">
        <v>3092</v>
      </c>
      <c r="B4888" s="77" t="s">
        <v>3656</v>
      </c>
      <c r="C4888" s="78"/>
      <c r="D4888" s="78"/>
      <c r="E4888" s="78"/>
    </row>
    <row r="4889" ht="25.5" spans="1:5">
      <c r="A4889" s="76" t="s">
        <v>3657</v>
      </c>
      <c r="B4889" s="77"/>
      <c r="C4889" s="78"/>
      <c r="D4889" s="78"/>
      <c r="E4889" s="78"/>
    </row>
    <row r="4890" spans="1:5">
      <c r="A4890" s="76" t="s">
        <v>2764</v>
      </c>
      <c r="B4890" s="77"/>
      <c r="C4890" s="78"/>
      <c r="D4890" s="78"/>
      <c r="E4890" s="78"/>
    </row>
    <row r="4891" spans="1:5">
      <c r="A4891" s="76"/>
      <c r="B4891" s="77"/>
      <c r="C4891" s="78"/>
      <c r="D4891" s="78"/>
      <c r="E4891" s="78"/>
    </row>
    <row r="4892" spans="1:5">
      <c r="A4892" s="76" t="s">
        <v>279</v>
      </c>
      <c r="B4892" s="77" t="s">
        <v>135</v>
      </c>
      <c r="C4892" s="78" t="s">
        <v>136</v>
      </c>
      <c r="D4892" s="78" t="s">
        <v>2534</v>
      </c>
      <c r="E4892" s="78" t="s">
        <v>2535</v>
      </c>
    </row>
    <row r="4893" ht="25.5" spans="1:5">
      <c r="A4893" s="76" t="s">
        <v>3658</v>
      </c>
      <c r="B4893" s="77" t="s">
        <v>494</v>
      </c>
      <c r="C4893" s="78">
        <v>5.6e-5</v>
      </c>
      <c r="D4893" s="78">
        <v>850000</v>
      </c>
      <c r="E4893" s="78">
        <f>TRUNC(C4893*D4893,2)</f>
        <v>47.6</v>
      </c>
    </row>
    <row r="4894" spans="1:5">
      <c r="A4894" s="76" t="s">
        <v>122</v>
      </c>
      <c r="B4894" s="77"/>
      <c r="C4894" s="78"/>
      <c r="D4894" s="78"/>
      <c r="E4894" s="78">
        <f>SUM(E4893:E4893)</f>
        <v>47.6</v>
      </c>
    </row>
    <row r="4895" spans="1:5">
      <c r="A4895" s="76"/>
      <c r="B4895" s="77"/>
      <c r="C4895" s="78"/>
      <c r="D4895" s="78"/>
      <c r="E4895" s="78"/>
    </row>
    <row r="4896" spans="1:5">
      <c r="A4896" s="76" t="s">
        <v>2538</v>
      </c>
      <c r="B4896" s="77"/>
      <c r="C4896" s="78"/>
      <c r="D4896" s="78"/>
      <c r="E4896" s="78">
        <f>E4894</f>
        <v>47.6</v>
      </c>
    </row>
    <row r="4897" spans="1:5">
      <c r="A4897" s="76" t="s">
        <v>2539</v>
      </c>
      <c r="B4897" s="77"/>
      <c r="C4897" s="78"/>
      <c r="D4897" s="78">
        <v>0</v>
      </c>
      <c r="E4897" s="78">
        <f>TRUNC(D4897*E4896/100,2)</f>
        <v>0</v>
      </c>
    </row>
    <row r="4898" spans="1:5">
      <c r="A4898" s="76" t="s">
        <v>2540</v>
      </c>
      <c r="B4898" s="77"/>
      <c r="C4898" s="78"/>
      <c r="D4898" s="78"/>
      <c r="E4898" s="78">
        <f>E4896+E4897</f>
        <v>47.6</v>
      </c>
    </row>
    <row r="4899" spans="1:5">
      <c r="A4899" s="76"/>
      <c r="B4899" s="77"/>
      <c r="C4899" s="78"/>
      <c r="D4899" s="78"/>
      <c r="E4899" s="78"/>
    </row>
    <row r="4900" spans="1:5">
      <c r="A4900" s="76" t="s">
        <v>3092</v>
      </c>
      <c r="B4900" s="77" t="s">
        <v>3659</v>
      </c>
      <c r="C4900" s="78"/>
      <c r="D4900" s="78"/>
      <c r="E4900" s="78"/>
    </row>
    <row r="4901" ht="25.5" spans="1:5">
      <c r="A4901" s="76" t="s">
        <v>3660</v>
      </c>
      <c r="B4901" s="77"/>
      <c r="C4901" s="78"/>
      <c r="D4901" s="78"/>
      <c r="E4901" s="78"/>
    </row>
    <row r="4902" spans="1:5">
      <c r="A4902" s="76" t="s">
        <v>2764</v>
      </c>
      <c r="B4902" s="77"/>
      <c r="C4902" s="78"/>
      <c r="D4902" s="78"/>
      <c r="E4902" s="78"/>
    </row>
    <row r="4903" spans="1:5">
      <c r="A4903" s="76"/>
      <c r="B4903" s="77"/>
      <c r="C4903" s="78"/>
      <c r="D4903" s="78"/>
      <c r="E4903" s="78"/>
    </row>
    <row r="4904" spans="1:5">
      <c r="A4904" s="76" t="s">
        <v>279</v>
      </c>
      <c r="B4904" s="77" t="s">
        <v>135</v>
      </c>
      <c r="C4904" s="78" t="s">
        <v>136</v>
      </c>
      <c r="D4904" s="78" t="s">
        <v>2534</v>
      </c>
      <c r="E4904" s="78" t="s">
        <v>2535</v>
      </c>
    </row>
    <row r="4905" ht="25.5" spans="1:5">
      <c r="A4905" s="76" t="s">
        <v>3658</v>
      </c>
      <c r="B4905" s="77" t="s">
        <v>494</v>
      </c>
      <c r="C4905" s="78">
        <v>1.48e-5</v>
      </c>
      <c r="D4905" s="78">
        <v>850000</v>
      </c>
      <c r="E4905" s="78">
        <f>TRUNC(C4905*D4905,2)</f>
        <v>12.58</v>
      </c>
    </row>
    <row r="4906" spans="1:5">
      <c r="A4906" s="76" t="s">
        <v>122</v>
      </c>
      <c r="B4906" s="77"/>
      <c r="C4906" s="78"/>
      <c r="D4906" s="78"/>
      <c r="E4906" s="78">
        <f>SUM(E4905:E4905)</f>
        <v>12.58</v>
      </c>
    </row>
    <row r="4907" spans="1:5">
      <c r="A4907" s="76"/>
      <c r="B4907" s="77"/>
      <c r="C4907" s="78"/>
      <c r="D4907" s="78"/>
      <c r="E4907" s="78"/>
    </row>
    <row r="4908" spans="1:5">
      <c r="A4908" s="76" t="s">
        <v>2538</v>
      </c>
      <c r="B4908" s="77"/>
      <c r="C4908" s="78"/>
      <c r="D4908" s="78"/>
      <c r="E4908" s="78">
        <f>E4906</f>
        <v>12.58</v>
      </c>
    </row>
    <row r="4909" spans="1:5">
      <c r="A4909" s="76" t="s">
        <v>2539</v>
      </c>
      <c r="B4909" s="77"/>
      <c r="C4909" s="78"/>
      <c r="D4909" s="78">
        <v>0</v>
      </c>
      <c r="E4909" s="78">
        <f>TRUNC(D4909*E4908/100,2)</f>
        <v>0</v>
      </c>
    </row>
    <row r="4910" spans="1:5">
      <c r="A4910" s="76" t="s">
        <v>2540</v>
      </c>
      <c r="B4910" s="77"/>
      <c r="C4910" s="78"/>
      <c r="D4910" s="78"/>
      <c r="E4910" s="78">
        <f>E4908+E4909</f>
        <v>12.58</v>
      </c>
    </row>
    <row r="4911" spans="1:5">
      <c r="A4911" s="76"/>
      <c r="B4911" s="77"/>
      <c r="C4911" s="78"/>
      <c r="D4911" s="78"/>
      <c r="E4911" s="78"/>
    </row>
    <row r="4912" spans="1:5">
      <c r="A4912" s="76" t="s">
        <v>3092</v>
      </c>
      <c r="B4912" s="77" t="s">
        <v>3661</v>
      </c>
      <c r="C4912" s="78"/>
      <c r="D4912" s="78"/>
      <c r="E4912" s="78"/>
    </row>
    <row r="4913" ht="25.5" spans="1:5">
      <c r="A4913" s="76" t="s">
        <v>3662</v>
      </c>
      <c r="B4913" s="77"/>
      <c r="C4913" s="78"/>
      <c r="D4913" s="78"/>
      <c r="E4913" s="78"/>
    </row>
    <row r="4914" spans="1:5">
      <c r="A4914" s="76" t="s">
        <v>2764</v>
      </c>
      <c r="B4914" s="77"/>
      <c r="C4914" s="78"/>
      <c r="D4914" s="78"/>
      <c r="E4914" s="78"/>
    </row>
    <row r="4915" spans="1:5">
      <c r="A4915" s="76"/>
      <c r="B4915" s="77"/>
      <c r="C4915" s="78"/>
      <c r="D4915" s="78"/>
      <c r="E4915" s="78"/>
    </row>
    <row r="4916" spans="1:5">
      <c r="A4916" s="76" t="s">
        <v>279</v>
      </c>
      <c r="B4916" s="77" t="s">
        <v>135</v>
      </c>
      <c r="C4916" s="78" t="s">
        <v>136</v>
      </c>
      <c r="D4916" s="78" t="s">
        <v>2534</v>
      </c>
      <c r="E4916" s="78" t="s">
        <v>2535</v>
      </c>
    </row>
    <row r="4917" ht="25.5" spans="1:5">
      <c r="A4917" s="76" t="s">
        <v>3658</v>
      </c>
      <c r="B4917" s="77" t="s">
        <v>494</v>
      </c>
      <c r="C4917" s="78">
        <v>7e-5</v>
      </c>
      <c r="D4917" s="78">
        <v>850000</v>
      </c>
      <c r="E4917" s="78">
        <f>TRUNC(C4917*D4917,2)</f>
        <v>59.5</v>
      </c>
    </row>
    <row r="4918" spans="1:5">
      <c r="A4918" s="76" t="s">
        <v>122</v>
      </c>
      <c r="B4918" s="77"/>
      <c r="C4918" s="78"/>
      <c r="D4918" s="78"/>
      <c r="E4918" s="78">
        <f>SUM(E4917:E4917)</f>
        <v>59.5</v>
      </c>
    </row>
    <row r="4919" spans="1:5">
      <c r="A4919" s="76"/>
      <c r="B4919" s="77"/>
      <c r="C4919" s="78"/>
      <c r="D4919" s="78"/>
      <c r="E4919" s="78"/>
    </row>
    <row r="4920" spans="1:5">
      <c r="A4920" s="76" t="s">
        <v>2538</v>
      </c>
      <c r="B4920" s="77"/>
      <c r="C4920" s="78"/>
      <c r="D4920" s="78"/>
      <c r="E4920" s="78">
        <f>E4918</f>
        <v>59.5</v>
      </c>
    </row>
    <row r="4921" spans="1:5">
      <c r="A4921" s="76" t="s">
        <v>2539</v>
      </c>
      <c r="B4921" s="77"/>
      <c r="C4921" s="78"/>
      <c r="D4921" s="78">
        <v>0</v>
      </c>
      <c r="E4921" s="78">
        <f>TRUNC(D4921*E4920/100,2)</f>
        <v>0</v>
      </c>
    </row>
    <row r="4922" spans="1:5">
      <c r="A4922" s="76" t="s">
        <v>2540</v>
      </c>
      <c r="B4922" s="77"/>
      <c r="C4922" s="78"/>
      <c r="D4922" s="78"/>
      <c r="E4922" s="78">
        <f>E4920+E4921</f>
        <v>59.5</v>
      </c>
    </row>
    <row r="4923" spans="1:5">
      <c r="A4923" s="76"/>
      <c r="B4923" s="77"/>
      <c r="C4923" s="78"/>
      <c r="D4923" s="78"/>
      <c r="E4923" s="78"/>
    </row>
    <row r="4924" spans="1:5">
      <c r="A4924" s="76" t="s">
        <v>3092</v>
      </c>
      <c r="B4924" s="77" t="s">
        <v>3663</v>
      </c>
      <c r="C4924" s="78"/>
      <c r="D4924" s="78"/>
      <c r="E4924" s="78"/>
    </row>
    <row r="4925" ht="25.5" spans="1:5">
      <c r="A4925" s="76" t="s">
        <v>3664</v>
      </c>
      <c r="B4925" s="77"/>
      <c r="C4925" s="78"/>
      <c r="D4925" s="78"/>
      <c r="E4925" s="78"/>
    </row>
    <row r="4926" spans="1:5">
      <c r="A4926" s="76" t="s">
        <v>2764</v>
      </c>
      <c r="B4926" s="77"/>
      <c r="C4926" s="78"/>
      <c r="D4926" s="78"/>
      <c r="E4926" s="78"/>
    </row>
    <row r="4927" spans="1:5">
      <c r="A4927" s="76"/>
      <c r="B4927" s="77"/>
      <c r="C4927" s="78"/>
      <c r="D4927" s="78"/>
      <c r="E4927" s="78"/>
    </row>
    <row r="4928" spans="1:5">
      <c r="A4928" s="76" t="s">
        <v>2543</v>
      </c>
      <c r="B4928" s="77" t="s">
        <v>135</v>
      </c>
      <c r="C4928" s="78" t="s">
        <v>136</v>
      </c>
      <c r="D4928" s="78" t="s">
        <v>2534</v>
      </c>
      <c r="E4928" s="78" t="s">
        <v>2535</v>
      </c>
    </row>
    <row r="4929" spans="1:5">
      <c r="A4929" s="76" t="s">
        <v>3202</v>
      </c>
      <c r="B4929" s="77" t="s">
        <v>215</v>
      </c>
      <c r="C4929" s="78">
        <v>10.77</v>
      </c>
      <c r="D4929" s="78">
        <v>5.93</v>
      </c>
      <c r="E4929" s="78">
        <f>TRUNC(C4929*D4929,2)</f>
        <v>63.86</v>
      </c>
    </row>
    <row r="4930" spans="1:5">
      <c r="A4930" s="76" t="s">
        <v>122</v>
      </c>
      <c r="B4930" s="77"/>
      <c r="C4930" s="78"/>
      <c r="D4930" s="78"/>
      <c r="E4930" s="78">
        <f>SUM(E4929:E4929)</f>
        <v>63.86</v>
      </c>
    </row>
    <row r="4931" spans="1:5">
      <c r="A4931" s="76"/>
      <c r="B4931" s="77"/>
      <c r="C4931" s="78"/>
      <c r="D4931" s="78"/>
      <c r="E4931" s="78"/>
    </row>
    <row r="4932" spans="1:5">
      <c r="A4932" s="76" t="s">
        <v>2538</v>
      </c>
      <c r="B4932" s="77"/>
      <c r="C4932" s="78"/>
      <c r="D4932" s="78"/>
      <c r="E4932" s="78">
        <f>E4930</f>
        <v>63.86</v>
      </c>
    </row>
    <row r="4933" spans="1:5">
      <c r="A4933" s="76" t="s">
        <v>2539</v>
      </c>
      <c r="B4933" s="77"/>
      <c r="C4933" s="78"/>
      <c r="D4933" s="78">
        <v>0</v>
      </c>
      <c r="E4933" s="78">
        <f>TRUNC(D4933*E4932/100,2)</f>
        <v>0</v>
      </c>
    </row>
    <row r="4934" spans="1:5">
      <c r="A4934" s="76" t="s">
        <v>2540</v>
      </c>
      <c r="B4934" s="77"/>
      <c r="C4934" s="78"/>
      <c r="D4934" s="78"/>
      <c r="E4934" s="78">
        <f>E4932+E4933</f>
        <v>63.86</v>
      </c>
    </row>
    <row r="4935" spans="1:5">
      <c r="A4935" s="76"/>
      <c r="B4935" s="77"/>
      <c r="C4935" s="78"/>
      <c r="D4935" s="78"/>
      <c r="E4935" s="78"/>
    </row>
    <row r="4936" spans="1:5">
      <c r="A4936" s="76" t="s">
        <v>3092</v>
      </c>
      <c r="B4936" s="77" t="s">
        <v>3665</v>
      </c>
      <c r="C4936" s="78"/>
      <c r="D4936" s="78"/>
      <c r="E4936" s="78"/>
    </row>
    <row r="4937" ht="38.25" spans="1:5">
      <c r="A4937" s="76" t="s">
        <v>3666</v>
      </c>
      <c r="B4937" s="77"/>
      <c r="C4937" s="78"/>
      <c r="D4937" s="78"/>
      <c r="E4937" s="78"/>
    </row>
    <row r="4938" spans="1:5">
      <c r="A4938" s="76" t="s">
        <v>3085</v>
      </c>
      <c r="B4938" s="77"/>
      <c r="C4938" s="78"/>
      <c r="D4938" s="78"/>
      <c r="E4938" s="78"/>
    </row>
    <row r="4939" spans="1:5">
      <c r="A4939" s="76"/>
      <c r="B4939" s="77"/>
      <c r="C4939" s="78"/>
      <c r="D4939" s="78"/>
      <c r="E4939" s="78"/>
    </row>
    <row r="4940" spans="1:5">
      <c r="A4940" s="76" t="s">
        <v>2543</v>
      </c>
      <c r="B4940" s="77" t="s">
        <v>135</v>
      </c>
      <c r="C4940" s="78" t="s">
        <v>136</v>
      </c>
      <c r="D4940" s="78" t="s">
        <v>2534</v>
      </c>
      <c r="E4940" s="78" t="s">
        <v>2535</v>
      </c>
    </row>
    <row r="4941" spans="1:5">
      <c r="A4941" s="76" t="s">
        <v>3183</v>
      </c>
      <c r="B4941" s="77" t="s">
        <v>839</v>
      </c>
      <c r="C4941" s="78">
        <v>1</v>
      </c>
      <c r="D4941" s="78">
        <v>29.8</v>
      </c>
      <c r="E4941" s="78">
        <f t="shared" ref="E4941:E4946" si="48">TRUNC(C4941*D4941,2)</f>
        <v>29.8</v>
      </c>
    </row>
    <row r="4942" ht="51" spans="1:5">
      <c r="A4942" s="76" t="s">
        <v>3667</v>
      </c>
      <c r="B4942" s="77" t="s">
        <v>839</v>
      </c>
      <c r="C4942" s="78">
        <v>1</v>
      </c>
      <c r="D4942" s="78">
        <v>190.7</v>
      </c>
      <c r="E4942" s="78">
        <f t="shared" si="48"/>
        <v>190.7</v>
      </c>
    </row>
    <row r="4943" ht="38.25" spans="1:5">
      <c r="A4943" s="76" t="s">
        <v>3668</v>
      </c>
      <c r="B4943" s="77" t="s">
        <v>839</v>
      </c>
      <c r="C4943" s="78">
        <v>1</v>
      </c>
      <c r="D4943" s="78">
        <v>52.07</v>
      </c>
      <c r="E4943" s="78">
        <f t="shared" si="48"/>
        <v>52.07</v>
      </c>
    </row>
    <row r="4944" ht="38.25" spans="1:5">
      <c r="A4944" s="76" t="s">
        <v>3669</v>
      </c>
      <c r="B4944" s="77" t="s">
        <v>839</v>
      </c>
      <c r="C4944" s="78">
        <v>1</v>
      </c>
      <c r="D4944" s="78">
        <v>29.35</v>
      </c>
      <c r="E4944" s="78">
        <f t="shared" si="48"/>
        <v>29.35</v>
      </c>
    </row>
    <row r="4945" ht="51" spans="1:5">
      <c r="A4945" s="76" t="s">
        <v>3670</v>
      </c>
      <c r="B4945" s="77" t="s">
        <v>839</v>
      </c>
      <c r="C4945" s="78">
        <v>1</v>
      </c>
      <c r="D4945" s="78">
        <v>4.58</v>
      </c>
      <c r="E4945" s="78">
        <f t="shared" si="48"/>
        <v>4.58</v>
      </c>
    </row>
    <row r="4946" ht="38.25" spans="1:5">
      <c r="A4946" s="76" t="s">
        <v>3671</v>
      </c>
      <c r="B4946" s="77" t="s">
        <v>839</v>
      </c>
      <c r="C4946" s="78">
        <v>1</v>
      </c>
      <c r="D4946" s="78">
        <v>11.35</v>
      </c>
      <c r="E4946" s="78">
        <f t="shared" si="48"/>
        <v>11.35</v>
      </c>
    </row>
    <row r="4947" spans="1:5">
      <c r="A4947" s="76" t="s">
        <v>122</v>
      </c>
      <c r="B4947" s="77"/>
      <c r="C4947" s="78"/>
      <c r="D4947" s="78"/>
      <c r="E4947" s="78">
        <f>SUM(E4941:E4946)</f>
        <v>317.85</v>
      </c>
    </row>
    <row r="4948" spans="1:5">
      <c r="A4948" s="76"/>
      <c r="B4948" s="77"/>
      <c r="C4948" s="78"/>
      <c r="D4948" s="78"/>
      <c r="E4948" s="78"/>
    </row>
    <row r="4949" spans="1:5">
      <c r="A4949" s="76" t="s">
        <v>2538</v>
      </c>
      <c r="B4949" s="77"/>
      <c r="C4949" s="78"/>
      <c r="D4949" s="78"/>
      <c r="E4949" s="78">
        <f>E4947</f>
        <v>317.85</v>
      </c>
    </row>
    <row r="4950" spans="1:5">
      <c r="A4950" s="76" t="s">
        <v>2539</v>
      </c>
      <c r="B4950" s="77"/>
      <c r="C4950" s="78"/>
      <c r="D4950" s="78">
        <v>0</v>
      </c>
      <c r="E4950" s="78">
        <f>TRUNC(D4950*E4949/100,2)</f>
        <v>0</v>
      </c>
    </row>
    <row r="4951" spans="1:5">
      <c r="A4951" s="76" t="s">
        <v>2540</v>
      </c>
      <c r="B4951" s="77"/>
      <c r="C4951" s="78"/>
      <c r="D4951" s="78"/>
      <c r="E4951" s="78">
        <f>E4949+E4950</f>
        <v>317.85</v>
      </c>
    </row>
    <row r="4952" spans="1:5">
      <c r="A4952" s="76"/>
      <c r="B4952" s="77"/>
      <c r="C4952" s="78"/>
      <c r="D4952" s="78"/>
      <c r="E4952" s="78"/>
    </row>
    <row r="4953" spans="1:5">
      <c r="A4953" s="76" t="s">
        <v>3092</v>
      </c>
      <c r="B4953" s="77" t="s">
        <v>3672</v>
      </c>
      <c r="C4953" s="78"/>
      <c r="D4953" s="78"/>
      <c r="E4953" s="78"/>
    </row>
    <row r="4954" ht="38.25" spans="1:5">
      <c r="A4954" s="76" t="s">
        <v>3673</v>
      </c>
      <c r="B4954" s="77"/>
      <c r="C4954" s="78"/>
      <c r="D4954" s="78"/>
      <c r="E4954" s="78"/>
    </row>
    <row r="4955" spans="1:5">
      <c r="A4955" s="76" t="s">
        <v>2764</v>
      </c>
      <c r="B4955" s="77"/>
      <c r="C4955" s="78"/>
      <c r="D4955" s="78"/>
      <c r="E4955" s="78"/>
    </row>
    <row r="4956" spans="1:5">
      <c r="A4956" s="76"/>
      <c r="B4956" s="77"/>
      <c r="C4956" s="78"/>
      <c r="D4956" s="78"/>
      <c r="E4956" s="78"/>
    </row>
    <row r="4957" spans="1:5">
      <c r="A4957" s="76" t="s">
        <v>2543</v>
      </c>
      <c r="B4957" s="77" t="s">
        <v>135</v>
      </c>
      <c r="C4957" s="78" t="s">
        <v>136</v>
      </c>
      <c r="D4957" s="78" t="s">
        <v>2534</v>
      </c>
      <c r="E4957" s="78" t="s">
        <v>2535</v>
      </c>
    </row>
    <row r="4958" spans="1:5">
      <c r="A4958" s="76" t="s">
        <v>3202</v>
      </c>
      <c r="B4958" s="77" t="s">
        <v>215</v>
      </c>
      <c r="C4958" s="78">
        <v>32.16</v>
      </c>
      <c r="D4958" s="78">
        <v>5.93</v>
      </c>
      <c r="E4958" s="78">
        <f>TRUNC(C4958*D4958,2)</f>
        <v>190.7</v>
      </c>
    </row>
    <row r="4959" spans="1:5">
      <c r="A4959" s="76" t="s">
        <v>122</v>
      </c>
      <c r="B4959" s="77"/>
      <c r="C4959" s="78"/>
      <c r="D4959" s="78"/>
      <c r="E4959" s="78">
        <f>SUM(E4958:E4958)</f>
        <v>190.7</v>
      </c>
    </row>
    <row r="4960" spans="1:5">
      <c r="A4960" s="76"/>
      <c r="B4960" s="77"/>
      <c r="C4960" s="78"/>
      <c r="D4960" s="78"/>
      <c r="E4960" s="78"/>
    </row>
    <row r="4961" spans="1:5">
      <c r="A4961" s="76" t="s">
        <v>2538</v>
      </c>
      <c r="B4961" s="77"/>
      <c r="C4961" s="78"/>
      <c r="D4961" s="78"/>
      <c r="E4961" s="78">
        <f>E4959</f>
        <v>190.7</v>
      </c>
    </row>
    <row r="4962" spans="1:5">
      <c r="A4962" s="76" t="s">
        <v>2539</v>
      </c>
      <c r="B4962" s="77"/>
      <c r="C4962" s="78"/>
      <c r="D4962" s="78">
        <v>0</v>
      </c>
      <c r="E4962" s="78">
        <f>TRUNC(D4962*E4961/100,2)</f>
        <v>0</v>
      </c>
    </row>
    <row r="4963" spans="1:5">
      <c r="A4963" s="76" t="s">
        <v>2540</v>
      </c>
      <c r="B4963" s="77"/>
      <c r="C4963" s="78"/>
      <c r="D4963" s="78"/>
      <c r="E4963" s="78">
        <f>E4961+E4962</f>
        <v>190.7</v>
      </c>
    </row>
    <row r="4964" spans="1:5">
      <c r="A4964" s="76"/>
      <c r="B4964" s="77"/>
      <c r="C4964" s="78"/>
      <c r="D4964" s="78"/>
      <c r="E4964" s="78"/>
    </row>
    <row r="4965" spans="1:5">
      <c r="A4965" s="76" t="s">
        <v>3092</v>
      </c>
      <c r="B4965" s="77" t="s">
        <v>3674</v>
      </c>
      <c r="C4965" s="78"/>
      <c r="D4965" s="78"/>
      <c r="E4965" s="78"/>
    </row>
    <row r="4966" ht="38.25" spans="1:5">
      <c r="A4966" s="76" t="s">
        <v>3675</v>
      </c>
      <c r="B4966" s="77"/>
      <c r="C4966" s="78"/>
      <c r="D4966" s="78"/>
      <c r="E4966" s="78"/>
    </row>
    <row r="4967" spans="1:5">
      <c r="A4967" s="76" t="s">
        <v>2764</v>
      </c>
      <c r="B4967" s="77"/>
      <c r="C4967" s="78"/>
      <c r="D4967" s="78"/>
      <c r="E4967" s="78"/>
    </row>
    <row r="4968" spans="1:5">
      <c r="A4968" s="76"/>
      <c r="B4968" s="77"/>
      <c r="C4968" s="78"/>
      <c r="D4968" s="78"/>
      <c r="E4968" s="78"/>
    </row>
    <row r="4969" spans="1:5">
      <c r="A4969" s="76" t="s">
        <v>279</v>
      </c>
      <c r="B4969" s="77" t="s">
        <v>135</v>
      </c>
      <c r="C4969" s="78" t="s">
        <v>136</v>
      </c>
      <c r="D4969" s="78" t="s">
        <v>2534</v>
      </c>
      <c r="E4969" s="78" t="s">
        <v>2535</v>
      </c>
    </row>
    <row r="4970" ht="38.25" spans="1:5">
      <c r="A4970" s="76" t="s">
        <v>3676</v>
      </c>
      <c r="B4970" s="77" t="s">
        <v>494</v>
      </c>
      <c r="C4970" s="78">
        <v>6.43e-5</v>
      </c>
      <c r="D4970" s="78">
        <v>717852.52</v>
      </c>
      <c r="E4970" s="78">
        <f>TRUNC(C4970*D4970,2)</f>
        <v>46.15</v>
      </c>
    </row>
    <row r="4971" spans="1:5">
      <c r="A4971" s="76" t="s">
        <v>122</v>
      </c>
      <c r="B4971" s="77"/>
      <c r="C4971" s="78"/>
      <c r="D4971" s="78"/>
      <c r="E4971" s="78">
        <f>SUM(E4970:E4970)</f>
        <v>46.15</v>
      </c>
    </row>
    <row r="4972" spans="1:5">
      <c r="A4972" s="76"/>
      <c r="B4972" s="77"/>
      <c r="C4972" s="78"/>
      <c r="D4972" s="78"/>
      <c r="E4972" s="78"/>
    </row>
    <row r="4973" spans="1:5">
      <c r="A4973" s="76" t="s">
        <v>2543</v>
      </c>
      <c r="B4973" s="77" t="s">
        <v>135</v>
      </c>
      <c r="C4973" s="78" t="s">
        <v>136</v>
      </c>
      <c r="D4973" s="78" t="s">
        <v>2534</v>
      </c>
      <c r="E4973" s="78" t="s">
        <v>2535</v>
      </c>
    </row>
    <row r="4974" ht="38.25" spans="1:5">
      <c r="A4974" s="76" t="s">
        <v>3677</v>
      </c>
      <c r="B4974" s="77" t="s">
        <v>494</v>
      </c>
      <c r="C4974" s="78">
        <v>6.89e-5</v>
      </c>
      <c r="D4974" s="78">
        <v>85950</v>
      </c>
      <c r="E4974" s="78">
        <f>TRUNC(C4974*D4974,2)</f>
        <v>5.92</v>
      </c>
    </row>
    <row r="4975" spans="1:5">
      <c r="A4975" s="76" t="s">
        <v>122</v>
      </c>
      <c r="B4975" s="77"/>
      <c r="C4975" s="78"/>
      <c r="D4975" s="78"/>
      <c r="E4975" s="78">
        <f>SUM(E4974:E4974)</f>
        <v>5.92</v>
      </c>
    </row>
    <row r="4976" spans="1:5">
      <c r="A4976" s="76"/>
      <c r="B4976" s="77"/>
      <c r="C4976" s="78"/>
      <c r="D4976" s="78"/>
      <c r="E4976" s="78"/>
    </row>
    <row r="4977" spans="1:5">
      <c r="A4977" s="76" t="s">
        <v>2538</v>
      </c>
      <c r="B4977" s="77"/>
      <c r="C4977" s="78"/>
      <c r="D4977" s="78"/>
      <c r="E4977" s="78">
        <f>E4971+E4975</f>
        <v>52.07</v>
      </c>
    </row>
    <row r="4978" spans="1:5">
      <c r="A4978" s="76" t="s">
        <v>2539</v>
      </c>
      <c r="B4978" s="77"/>
      <c r="C4978" s="78"/>
      <c r="D4978" s="78">
        <v>0</v>
      </c>
      <c r="E4978" s="78">
        <f>TRUNC(D4978*E4977/100,2)</f>
        <v>0</v>
      </c>
    </row>
    <row r="4979" spans="1:5">
      <c r="A4979" s="76" t="s">
        <v>2540</v>
      </c>
      <c r="B4979" s="77"/>
      <c r="C4979" s="78"/>
      <c r="D4979" s="78"/>
      <c r="E4979" s="78">
        <f>E4977+E4978</f>
        <v>52.07</v>
      </c>
    </row>
    <row r="4980" spans="1:5">
      <c r="A4980" s="76"/>
      <c r="B4980" s="77"/>
      <c r="C4980" s="78"/>
      <c r="D4980" s="78"/>
      <c r="E4980" s="78"/>
    </row>
    <row r="4981" spans="1:5">
      <c r="A4981" s="76" t="s">
        <v>3092</v>
      </c>
      <c r="B4981" s="77" t="s">
        <v>3678</v>
      </c>
      <c r="C4981" s="78"/>
      <c r="D4981" s="78"/>
      <c r="E4981" s="78"/>
    </row>
    <row r="4982" ht="38.25" spans="1:5">
      <c r="A4982" s="76" t="s">
        <v>3679</v>
      </c>
      <c r="B4982" s="77"/>
      <c r="C4982" s="78"/>
      <c r="D4982" s="78"/>
      <c r="E4982" s="78"/>
    </row>
    <row r="4983" spans="1:5">
      <c r="A4983" s="76" t="s">
        <v>2764</v>
      </c>
      <c r="B4983" s="77"/>
      <c r="C4983" s="78"/>
      <c r="D4983" s="78"/>
      <c r="E4983" s="78"/>
    </row>
    <row r="4984" spans="1:5">
      <c r="A4984" s="76"/>
      <c r="B4984" s="77"/>
      <c r="C4984" s="78"/>
      <c r="D4984" s="78"/>
      <c r="E4984" s="78"/>
    </row>
    <row r="4985" spans="1:5">
      <c r="A4985" s="76" t="s">
        <v>279</v>
      </c>
      <c r="B4985" s="77" t="s">
        <v>135</v>
      </c>
      <c r="C4985" s="78" t="s">
        <v>136</v>
      </c>
      <c r="D4985" s="78" t="s">
        <v>2534</v>
      </c>
      <c r="E4985" s="78" t="s">
        <v>2535</v>
      </c>
    </row>
    <row r="4986" ht="38.25" spans="1:5">
      <c r="A4986" s="76" t="s">
        <v>3676</v>
      </c>
      <c r="B4986" s="77" t="s">
        <v>494</v>
      </c>
      <c r="C4986" s="78">
        <v>3.43e-5</v>
      </c>
      <c r="D4986" s="78">
        <v>717852.52</v>
      </c>
      <c r="E4986" s="78">
        <f>TRUNC(C4986*D4986,2)</f>
        <v>24.62</v>
      </c>
    </row>
    <row r="4987" spans="1:5">
      <c r="A4987" s="76" t="s">
        <v>122</v>
      </c>
      <c r="B4987" s="77"/>
      <c r="C4987" s="78"/>
      <c r="D4987" s="78"/>
      <c r="E4987" s="78">
        <f>SUM(E4986:E4986)</f>
        <v>24.62</v>
      </c>
    </row>
    <row r="4988" spans="1:5">
      <c r="A4988" s="76"/>
      <c r="B4988" s="77"/>
      <c r="C4988" s="78"/>
      <c r="D4988" s="78"/>
      <c r="E4988" s="78"/>
    </row>
    <row r="4989" spans="1:5">
      <c r="A4989" s="76" t="s">
        <v>2543</v>
      </c>
      <c r="B4989" s="77" t="s">
        <v>135</v>
      </c>
      <c r="C4989" s="78" t="s">
        <v>136</v>
      </c>
      <c r="D4989" s="78" t="s">
        <v>2534</v>
      </c>
      <c r="E4989" s="78" t="s">
        <v>2535</v>
      </c>
    </row>
    <row r="4990" ht="38.25" spans="1:5">
      <c r="A4990" s="76" t="s">
        <v>3677</v>
      </c>
      <c r="B4990" s="77" t="s">
        <v>494</v>
      </c>
      <c r="C4990" s="78">
        <v>5.51e-5</v>
      </c>
      <c r="D4990" s="78">
        <v>85950</v>
      </c>
      <c r="E4990" s="78">
        <f>TRUNC(C4990*D4990,2)</f>
        <v>4.73</v>
      </c>
    </row>
    <row r="4991" spans="1:5">
      <c r="A4991" s="76" t="s">
        <v>122</v>
      </c>
      <c r="B4991" s="77"/>
      <c r="C4991" s="78"/>
      <c r="D4991" s="78"/>
      <c r="E4991" s="78">
        <f>SUM(E4990:E4990)</f>
        <v>4.73</v>
      </c>
    </row>
    <row r="4992" spans="1:5">
      <c r="A4992" s="76"/>
      <c r="B4992" s="77"/>
      <c r="C4992" s="78"/>
      <c r="D4992" s="78"/>
      <c r="E4992" s="78"/>
    </row>
    <row r="4993" spans="1:5">
      <c r="A4993" s="76" t="s">
        <v>2538</v>
      </c>
      <c r="B4993" s="77"/>
      <c r="C4993" s="78"/>
      <c r="D4993" s="78"/>
      <c r="E4993" s="78">
        <f>E4987+E4991</f>
        <v>29.35</v>
      </c>
    </row>
    <row r="4994" spans="1:5">
      <c r="A4994" s="76" t="s">
        <v>2539</v>
      </c>
      <c r="B4994" s="77"/>
      <c r="C4994" s="78"/>
      <c r="D4994" s="78">
        <v>0</v>
      </c>
      <c r="E4994" s="78">
        <f>TRUNC(D4994*E4993/100,2)</f>
        <v>0</v>
      </c>
    </row>
    <row r="4995" spans="1:5">
      <c r="A4995" s="76" t="s">
        <v>2540</v>
      </c>
      <c r="B4995" s="77"/>
      <c r="C4995" s="78"/>
      <c r="D4995" s="78"/>
      <c r="E4995" s="78">
        <f>E4993+E4994</f>
        <v>29.35</v>
      </c>
    </row>
    <row r="4996" spans="1:5">
      <c r="A4996" s="76"/>
      <c r="B4996" s="77"/>
      <c r="C4996" s="78"/>
      <c r="D4996" s="78"/>
      <c r="E4996" s="78"/>
    </row>
    <row r="4997" spans="1:5">
      <c r="A4997" s="76" t="s">
        <v>3092</v>
      </c>
      <c r="B4997" s="77" t="s">
        <v>3680</v>
      </c>
      <c r="C4997" s="78"/>
      <c r="D4997" s="78"/>
      <c r="E4997" s="78"/>
    </row>
    <row r="4998" ht="38.25" spans="1:5">
      <c r="A4998" s="76" t="s">
        <v>3681</v>
      </c>
      <c r="B4998" s="77"/>
      <c r="C4998" s="78"/>
      <c r="D4998" s="78"/>
      <c r="E4998" s="78"/>
    </row>
    <row r="4999" spans="1:5">
      <c r="A4999" s="76" t="s">
        <v>2764</v>
      </c>
      <c r="B4999" s="77"/>
      <c r="C4999" s="78"/>
      <c r="D4999" s="78"/>
      <c r="E4999" s="78"/>
    </row>
    <row r="5000" spans="1:5">
      <c r="A5000" s="76"/>
      <c r="B5000" s="77"/>
      <c r="C5000" s="78"/>
      <c r="D5000" s="78"/>
      <c r="E5000" s="78"/>
    </row>
    <row r="5001" spans="1:5">
      <c r="A5001" s="76" t="s">
        <v>279</v>
      </c>
      <c r="B5001" s="77" t="s">
        <v>135</v>
      </c>
      <c r="C5001" s="78" t="s">
        <v>136</v>
      </c>
      <c r="D5001" s="78" t="s">
        <v>2534</v>
      </c>
      <c r="E5001" s="78" t="s">
        <v>2535</v>
      </c>
    </row>
    <row r="5002" ht="38.25" spans="1:5">
      <c r="A5002" s="76" t="s">
        <v>3676</v>
      </c>
      <c r="B5002" s="77" t="s">
        <v>494</v>
      </c>
      <c r="C5002" s="78">
        <v>5.7e-6</v>
      </c>
      <c r="D5002" s="78">
        <v>717852.52</v>
      </c>
      <c r="E5002" s="78">
        <f>TRUNC(C5002*D5002,2)</f>
        <v>4.09</v>
      </c>
    </row>
    <row r="5003" spans="1:5">
      <c r="A5003" s="76" t="s">
        <v>122</v>
      </c>
      <c r="B5003" s="77"/>
      <c r="C5003" s="78"/>
      <c r="D5003" s="78"/>
      <c r="E5003" s="78">
        <f>SUM(E5002:E5002)</f>
        <v>4.09</v>
      </c>
    </row>
    <row r="5004" spans="1:5">
      <c r="A5004" s="76"/>
      <c r="B5004" s="77"/>
      <c r="C5004" s="78"/>
      <c r="D5004" s="78"/>
      <c r="E5004" s="78"/>
    </row>
    <row r="5005" spans="1:5">
      <c r="A5005" s="76" t="s">
        <v>2543</v>
      </c>
      <c r="B5005" s="77" t="s">
        <v>135</v>
      </c>
      <c r="C5005" s="78" t="s">
        <v>136</v>
      </c>
      <c r="D5005" s="78" t="s">
        <v>2534</v>
      </c>
      <c r="E5005" s="78" t="s">
        <v>2535</v>
      </c>
    </row>
    <row r="5006" ht="38.25" spans="1:5">
      <c r="A5006" s="76" t="s">
        <v>3677</v>
      </c>
      <c r="B5006" s="77" t="s">
        <v>494</v>
      </c>
      <c r="C5006" s="78">
        <v>5.8e-6</v>
      </c>
      <c r="D5006" s="78">
        <v>85950</v>
      </c>
      <c r="E5006" s="78">
        <f>TRUNC(C5006*D5006,2)</f>
        <v>0.49</v>
      </c>
    </row>
    <row r="5007" spans="1:5">
      <c r="A5007" s="76" t="s">
        <v>122</v>
      </c>
      <c r="B5007" s="77"/>
      <c r="C5007" s="78"/>
      <c r="D5007" s="78"/>
      <c r="E5007" s="78">
        <f>SUM(E5006:E5006)</f>
        <v>0.49</v>
      </c>
    </row>
    <row r="5008" spans="1:5">
      <c r="A5008" s="76"/>
      <c r="B5008" s="77"/>
      <c r="C5008" s="78"/>
      <c r="D5008" s="78"/>
      <c r="E5008" s="78"/>
    </row>
    <row r="5009" spans="1:5">
      <c r="A5009" s="76" t="s">
        <v>2538</v>
      </c>
      <c r="B5009" s="77"/>
      <c r="C5009" s="78"/>
      <c r="D5009" s="78"/>
      <c r="E5009" s="78">
        <f>E5003+E5007</f>
        <v>4.58</v>
      </c>
    </row>
    <row r="5010" spans="1:5">
      <c r="A5010" s="76" t="s">
        <v>2539</v>
      </c>
      <c r="B5010" s="77"/>
      <c r="C5010" s="78"/>
      <c r="D5010" s="78">
        <v>0</v>
      </c>
      <c r="E5010" s="78">
        <f>TRUNC(D5010*E5009/100,2)</f>
        <v>0</v>
      </c>
    </row>
    <row r="5011" spans="1:5">
      <c r="A5011" s="76" t="s">
        <v>2540</v>
      </c>
      <c r="B5011" s="77"/>
      <c r="C5011" s="78"/>
      <c r="D5011" s="78"/>
      <c r="E5011" s="78">
        <f>E5009+E5010</f>
        <v>4.58</v>
      </c>
    </row>
    <row r="5012" spans="1:5">
      <c r="A5012" s="76"/>
      <c r="B5012" s="77"/>
      <c r="C5012" s="78"/>
      <c r="D5012" s="78"/>
      <c r="E5012" s="78"/>
    </row>
    <row r="5013" spans="1:5">
      <c r="A5013" s="76" t="s">
        <v>3092</v>
      </c>
      <c r="B5013" s="77" t="s">
        <v>3682</v>
      </c>
      <c r="C5013" s="78"/>
      <c r="D5013" s="78"/>
      <c r="E5013" s="78"/>
    </row>
    <row r="5014" ht="38.25" spans="1:5">
      <c r="A5014" s="76" t="s">
        <v>3683</v>
      </c>
      <c r="B5014" s="77"/>
      <c r="C5014" s="78"/>
      <c r="D5014" s="78"/>
      <c r="E5014" s="78"/>
    </row>
    <row r="5015" spans="1:5">
      <c r="A5015" s="76" t="s">
        <v>2764</v>
      </c>
      <c r="B5015" s="77"/>
      <c r="C5015" s="78"/>
      <c r="D5015" s="78"/>
      <c r="E5015" s="78"/>
    </row>
    <row r="5016" spans="1:5">
      <c r="A5016" s="76"/>
      <c r="B5016" s="77"/>
      <c r="C5016" s="78"/>
      <c r="D5016" s="78"/>
      <c r="E5016" s="78"/>
    </row>
    <row r="5017" spans="1:5">
      <c r="A5017" s="76" t="s">
        <v>279</v>
      </c>
      <c r="B5017" s="77" t="s">
        <v>135</v>
      </c>
      <c r="C5017" s="78" t="s">
        <v>136</v>
      </c>
      <c r="D5017" s="78" t="s">
        <v>2534</v>
      </c>
      <c r="E5017" s="78" t="s">
        <v>2535</v>
      </c>
    </row>
    <row r="5018" ht="38.25" spans="1:5">
      <c r="A5018" s="76" t="s">
        <v>3676</v>
      </c>
      <c r="B5018" s="77" t="s">
        <v>494</v>
      </c>
      <c r="C5018" s="78">
        <v>1.41e-5</v>
      </c>
      <c r="D5018" s="78">
        <v>717852.52</v>
      </c>
      <c r="E5018" s="78">
        <f>TRUNC(C5018*D5018,2)</f>
        <v>10.12</v>
      </c>
    </row>
    <row r="5019" spans="1:5">
      <c r="A5019" s="76" t="s">
        <v>122</v>
      </c>
      <c r="B5019" s="77"/>
      <c r="C5019" s="78"/>
      <c r="D5019" s="78"/>
      <c r="E5019" s="78">
        <f>SUM(E5018:E5018)</f>
        <v>10.12</v>
      </c>
    </row>
    <row r="5020" spans="1:5">
      <c r="A5020" s="76"/>
      <c r="B5020" s="77"/>
      <c r="C5020" s="78"/>
      <c r="D5020" s="78"/>
      <c r="E5020" s="78"/>
    </row>
    <row r="5021" spans="1:5">
      <c r="A5021" s="76" t="s">
        <v>2543</v>
      </c>
      <c r="B5021" s="77" t="s">
        <v>135</v>
      </c>
      <c r="C5021" s="78" t="s">
        <v>136</v>
      </c>
      <c r="D5021" s="78" t="s">
        <v>2534</v>
      </c>
      <c r="E5021" s="78" t="s">
        <v>2535</v>
      </c>
    </row>
    <row r="5022" ht="38.25" spans="1:5">
      <c r="A5022" s="76" t="s">
        <v>3677</v>
      </c>
      <c r="B5022" s="77" t="s">
        <v>494</v>
      </c>
      <c r="C5022" s="78">
        <v>1.44e-5</v>
      </c>
      <c r="D5022" s="78">
        <v>85950</v>
      </c>
      <c r="E5022" s="78">
        <f>TRUNC(C5022*D5022,2)</f>
        <v>1.23</v>
      </c>
    </row>
    <row r="5023" spans="1:5">
      <c r="A5023" s="76" t="s">
        <v>122</v>
      </c>
      <c r="B5023" s="77"/>
      <c r="C5023" s="78"/>
      <c r="D5023" s="78"/>
      <c r="E5023" s="78">
        <f>SUM(E5022:E5022)</f>
        <v>1.23</v>
      </c>
    </row>
    <row r="5024" spans="1:5">
      <c r="A5024" s="76"/>
      <c r="B5024" s="77"/>
      <c r="C5024" s="78"/>
      <c r="D5024" s="78"/>
      <c r="E5024" s="78"/>
    </row>
    <row r="5025" spans="1:5">
      <c r="A5025" s="76" t="s">
        <v>2538</v>
      </c>
      <c r="B5025" s="77"/>
      <c r="C5025" s="78"/>
      <c r="D5025" s="78"/>
      <c r="E5025" s="78">
        <f>E5019+E5023</f>
        <v>11.35</v>
      </c>
    </row>
    <row r="5026" spans="1:5">
      <c r="A5026" s="76" t="s">
        <v>2539</v>
      </c>
      <c r="B5026" s="77"/>
      <c r="C5026" s="78"/>
      <c r="D5026" s="78">
        <v>0</v>
      </c>
      <c r="E5026" s="78">
        <f>TRUNC(D5026*E5025/100,2)</f>
        <v>0</v>
      </c>
    </row>
    <row r="5027" spans="1:5">
      <c r="A5027" s="76" t="s">
        <v>2540</v>
      </c>
      <c r="B5027" s="77"/>
      <c r="C5027" s="78"/>
      <c r="D5027" s="78"/>
      <c r="E5027" s="78">
        <f>E5025+E5026</f>
        <v>11.35</v>
      </c>
    </row>
    <row r="5028" spans="1:5">
      <c r="A5028" s="76"/>
      <c r="B5028" s="77"/>
      <c r="C5028" s="78"/>
      <c r="D5028" s="78"/>
      <c r="E5028" s="78"/>
    </row>
    <row r="5029" spans="1:5">
      <c r="A5029" s="76" t="s">
        <v>3092</v>
      </c>
      <c r="B5029" s="77" t="s">
        <v>3684</v>
      </c>
      <c r="C5029" s="78"/>
      <c r="D5029" s="78"/>
      <c r="E5029" s="78"/>
    </row>
    <row r="5030" ht="25.5" spans="1:5">
      <c r="A5030" s="76" t="s">
        <v>3685</v>
      </c>
      <c r="B5030" s="77"/>
      <c r="C5030" s="78"/>
      <c r="D5030" s="78"/>
      <c r="E5030" s="78"/>
    </row>
    <row r="5031" spans="1:5">
      <c r="A5031" s="76" t="s">
        <v>3085</v>
      </c>
      <c r="B5031" s="77"/>
      <c r="C5031" s="78"/>
      <c r="D5031" s="78"/>
      <c r="E5031" s="78"/>
    </row>
    <row r="5032" spans="1:5">
      <c r="A5032" s="76"/>
      <c r="B5032" s="77"/>
      <c r="C5032" s="78"/>
      <c r="D5032" s="78"/>
      <c r="E5032" s="78"/>
    </row>
    <row r="5033" spans="1:5">
      <c r="A5033" s="76" t="s">
        <v>2543</v>
      </c>
      <c r="B5033" s="77" t="s">
        <v>135</v>
      </c>
      <c r="C5033" s="78" t="s">
        <v>136</v>
      </c>
      <c r="D5033" s="78" t="s">
        <v>2534</v>
      </c>
      <c r="E5033" s="78" t="s">
        <v>2535</v>
      </c>
    </row>
    <row r="5034" ht="25.5" spans="1:5">
      <c r="A5034" s="76" t="s">
        <v>3273</v>
      </c>
      <c r="B5034" s="77" t="s">
        <v>839</v>
      </c>
      <c r="C5034" s="78">
        <v>1</v>
      </c>
      <c r="D5034" s="78">
        <v>26.06</v>
      </c>
      <c r="E5034" s="78">
        <f>TRUNC(C5034*D5034,2)</f>
        <v>26.06</v>
      </c>
    </row>
    <row r="5035" ht="25.5" spans="1:5">
      <c r="A5035" s="76" t="s">
        <v>3686</v>
      </c>
      <c r="B5035" s="77" t="s">
        <v>839</v>
      </c>
      <c r="C5035" s="78">
        <v>1</v>
      </c>
      <c r="D5035" s="78">
        <v>0.22</v>
      </c>
      <c r="E5035" s="78">
        <f>TRUNC(C5035*D5035,2)</f>
        <v>0.22</v>
      </c>
    </row>
    <row r="5036" ht="25.5" spans="1:5">
      <c r="A5036" s="76" t="s">
        <v>3687</v>
      </c>
      <c r="B5036" s="77" t="s">
        <v>839</v>
      </c>
      <c r="C5036" s="78">
        <v>1</v>
      </c>
      <c r="D5036" s="78">
        <v>1.05</v>
      </c>
      <c r="E5036" s="78">
        <f>TRUNC(C5036*D5036,2)</f>
        <v>1.05</v>
      </c>
    </row>
    <row r="5037" ht="25.5" spans="1:5">
      <c r="A5037" s="76" t="s">
        <v>3688</v>
      </c>
      <c r="B5037" s="77" t="s">
        <v>839</v>
      </c>
      <c r="C5037" s="78">
        <v>1</v>
      </c>
      <c r="D5037" s="78">
        <v>0.84</v>
      </c>
      <c r="E5037" s="78">
        <f>TRUNC(C5037*D5037,2)</f>
        <v>0.84</v>
      </c>
    </row>
    <row r="5038" ht="25.5" spans="1:5">
      <c r="A5038" s="76" t="s">
        <v>3689</v>
      </c>
      <c r="B5038" s="77" t="s">
        <v>839</v>
      </c>
      <c r="C5038" s="78">
        <v>1</v>
      </c>
      <c r="D5038" s="78">
        <v>6.13</v>
      </c>
      <c r="E5038" s="78">
        <f>TRUNC(C5038*D5038,2)</f>
        <v>6.13</v>
      </c>
    </row>
    <row r="5039" spans="1:5">
      <c r="A5039" s="76" t="s">
        <v>122</v>
      </c>
      <c r="B5039" s="77"/>
      <c r="C5039" s="78"/>
      <c r="D5039" s="78"/>
      <c r="E5039" s="78">
        <f>SUM(E5034:E5038)</f>
        <v>34.3</v>
      </c>
    </row>
    <row r="5040" spans="1:5">
      <c r="A5040" s="76"/>
      <c r="B5040" s="77"/>
      <c r="C5040" s="78"/>
      <c r="D5040" s="78"/>
      <c r="E5040" s="78"/>
    </row>
    <row r="5041" spans="1:5">
      <c r="A5041" s="76" t="s">
        <v>2538</v>
      </c>
      <c r="B5041" s="77"/>
      <c r="C5041" s="78"/>
      <c r="D5041" s="78"/>
      <c r="E5041" s="78">
        <f>E5039</f>
        <v>34.3</v>
      </c>
    </row>
    <row r="5042" spans="1:5">
      <c r="A5042" s="76" t="s">
        <v>2539</v>
      </c>
      <c r="B5042" s="77"/>
      <c r="C5042" s="78"/>
      <c r="D5042" s="78">
        <v>0</v>
      </c>
      <c r="E5042" s="78">
        <f>TRUNC(D5042*E5041/100,2)</f>
        <v>0</v>
      </c>
    </row>
    <row r="5043" spans="1:5">
      <c r="A5043" s="76" t="s">
        <v>2540</v>
      </c>
      <c r="B5043" s="77"/>
      <c r="C5043" s="78"/>
      <c r="D5043" s="78"/>
      <c r="E5043" s="78">
        <f>E5041+E5042</f>
        <v>34.3</v>
      </c>
    </row>
    <row r="5044" spans="1:5">
      <c r="A5044" s="76"/>
      <c r="B5044" s="77"/>
      <c r="C5044" s="78"/>
      <c r="D5044" s="78"/>
      <c r="E5044" s="78"/>
    </row>
    <row r="5045" spans="1:5">
      <c r="A5045" s="76" t="s">
        <v>3092</v>
      </c>
      <c r="B5045" s="77" t="s">
        <v>3690</v>
      </c>
      <c r="C5045" s="78"/>
      <c r="D5045" s="78"/>
      <c r="E5045" s="78"/>
    </row>
    <row r="5046" ht="25.5" spans="1:5">
      <c r="A5046" s="76" t="s">
        <v>3691</v>
      </c>
      <c r="B5046" s="77"/>
      <c r="C5046" s="78"/>
      <c r="D5046" s="78"/>
      <c r="E5046" s="78"/>
    </row>
    <row r="5047" spans="1:5">
      <c r="A5047" s="76" t="s">
        <v>2764</v>
      </c>
      <c r="B5047" s="77"/>
      <c r="C5047" s="78"/>
      <c r="D5047" s="78"/>
      <c r="E5047" s="78"/>
    </row>
    <row r="5048" spans="1:5">
      <c r="A5048" s="76"/>
      <c r="B5048" s="77"/>
      <c r="C5048" s="78"/>
      <c r="D5048" s="78"/>
      <c r="E5048" s="78"/>
    </row>
    <row r="5049" spans="1:5">
      <c r="A5049" s="76" t="s">
        <v>279</v>
      </c>
      <c r="B5049" s="77" t="s">
        <v>135</v>
      </c>
      <c r="C5049" s="78" t="s">
        <v>136</v>
      </c>
      <c r="D5049" s="78" t="s">
        <v>2534</v>
      </c>
      <c r="E5049" s="78" t="s">
        <v>2535</v>
      </c>
    </row>
    <row r="5050" ht="25.5" spans="1:5">
      <c r="A5050" s="76" t="s">
        <v>3692</v>
      </c>
      <c r="B5050" s="77" t="s">
        <v>494</v>
      </c>
      <c r="C5050" s="78">
        <v>1.43e-5</v>
      </c>
      <c r="D5050" s="78">
        <v>15839.74</v>
      </c>
      <c r="E5050" s="78">
        <f>TRUNC(C5050*D5050,2)</f>
        <v>0.22</v>
      </c>
    </row>
    <row r="5051" spans="1:5">
      <c r="A5051" s="76" t="s">
        <v>122</v>
      </c>
      <c r="B5051" s="77"/>
      <c r="C5051" s="78"/>
      <c r="D5051" s="78"/>
      <c r="E5051" s="78">
        <f>SUM(E5050:E5050)</f>
        <v>0.22</v>
      </c>
    </row>
    <row r="5052" spans="1:5">
      <c r="A5052" s="76"/>
      <c r="B5052" s="77"/>
      <c r="C5052" s="78"/>
      <c r="D5052" s="78"/>
      <c r="E5052" s="78"/>
    </row>
    <row r="5053" spans="1:5">
      <c r="A5053" s="76" t="s">
        <v>2538</v>
      </c>
      <c r="B5053" s="77"/>
      <c r="C5053" s="78"/>
      <c r="D5053" s="78"/>
      <c r="E5053" s="78">
        <f>E5051</f>
        <v>0.22</v>
      </c>
    </row>
    <row r="5054" spans="1:5">
      <c r="A5054" s="76" t="s">
        <v>2539</v>
      </c>
      <c r="B5054" s="77"/>
      <c r="C5054" s="78"/>
      <c r="D5054" s="78">
        <v>0</v>
      </c>
      <c r="E5054" s="78">
        <f>TRUNC(D5054*E5053/100,2)</f>
        <v>0</v>
      </c>
    </row>
    <row r="5055" spans="1:5">
      <c r="A5055" s="76" t="s">
        <v>2540</v>
      </c>
      <c r="B5055" s="77"/>
      <c r="C5055" s="78"/>
      <c r="D5055" s="78"/>
      <c r="E5055" s="78">
        <f>E5053+E5054</f>
        <v>0.22</v>
      </c>
    </row>
    <row r="5056" spans="1:5">
      <c r="A5056" s="76"/>
      <c r="B5056" s="77"/>
      <c r="C5056" s="78"/>
      <c r="D5056" s="78"/>
      <c r="E5056" s="78"/>
    </row>
    <row r="5057" spans="1:5">
      <c r="A5057" s="76" t="s">
        <v>3092</v>
      </c>
      <c r="B5057" s="77" t="s">
        <v>3693</v>
      </c>
      <c r="C5057" s="78"/>
      <c r="D5057" s="78"/>
      <c r="E5057" s="78"/>
    </row>
    <row r="5058" ht="25.5" spans="1:5">
      <c r="A5058" s="76" t="s">
        <v>3694</v>
      </c>
      <c r="B5058" s="77"/>
      <c r="C5058" s="78"/>
      <c r="D5058" s="78"/>
      <c r="E5058" s="78"/>
    </row>
    <row r="5059" spans="1:5">
      <c r="A5059" s="76" t="s">
        <v>2764</v>
      </c>
      <c r="B5059" s="77"/>
      <c r="C5059" s="78"/>
      <c r="D5059" s="78"/>
      <c r="E5059" s="78"/>
    </row>
    <row r="5060" spans="1:5">
      <c r="A5060" s="76"/>
      <c r="B5060" s="77"/>
      <c r="C5060" s="78"/>
      <c r="D5060" s="78"/>
      <c r="E5060" s="78"/>
    </row>
    <row r="5061" spans="1:5">
      <c r="A5061" s="76" t="s">
        <v>279</v>
      </c>
      <c r="B5061" s="77" t="s">
        <v>135</v>
      </c>
      <c r="C5061" s="78" t="s">
        <v>136</v>
      </c>
      <c r="D5061" s="78" t="s">
        <v>2534</v>
      </c>
      <c r="E5061" s="78" t="s">
        <v>2535</v>
      </c>
    </row>
    <row r="5062" ht="25.5" spans="1:5">
      <c r="A5062" s="76" t="s">
        <v>3692</v>
      </c>
      <c r="B5062" s="77" t="s">
        <v>494</v>
      </c>
      <c r="C5062" s="78">
        <v>6.67e-5</v>
      </c>
      <c r="D5062" s="78">
        <v>15839.74</v>
      </c>
      <c r="E5062" s="78">
        <f>TRUNC(C5062*D5062,2)</f>
        <v>1.05</v>
      </c>
    </row>
    <row r="5063" spans="1:5">
      <c r="A5063" s="76" t="s">
        <v>122</v>
      </c>
      <c r="B5063" s="77"/>
      <c r="C5063" s="78"/>
      <c r="D5063" s="78"/>
      <c r="E5063" s="78">
        <f>SUM(E5062:E5062)</f>
        <v>1.05</v>
      </c>
    </row>
    <row r="5064" spans="1:5">
      <c r="A5064" s="76"/>
      <c r="B5064" s="77"/>
      <c r="C5064" s="78"/>
      <c r="D5064" s="78"/>
      <c r="E5064" s="78"/>
    </row>
    <row r="5065" spans="1:5">
      <c r="A5065" s="76" t="s">
        <v>2538</v>
      </c>
      <c r="B5065" s="77"/>
      <c r="C5065" s="78"/>
      <c r="D5065" s="78"/>
      <c r="E5065" s="78">
        <f>E5063</f>
        <v>1.05</v>
      </c>
    </row>
    <row r="5066" spans="1:5">
      <c r="A5066" s="76" t="s">
        <v>2539</v>
      </c>
      <c r="B5066" s="77"/>
      <c r="C5066" s="78"/>
      <c r="D5066" s="78">
        <v>0</v>
      </c>
      <c r="E5066" s="78">
        <f>TRUNC(D5066*E5065/100,2)</f>
        <v>0</v>
      </c>
    </row>
    <row r="5067" spans="1:5">
      <c r="A5067" s="76" t="s">
        <v>2540</v>
      </c>
      <c r="B5067" s="77"/>
      <c r="C5067" s="78"/>
      <c r="D5067" s="78"/>
      <c r="E5067" s="78">
        <f>E5065+E5066</f>
        <v>1.05</v>
      </c>
    </row>
    <row r="5068" spans="1:5">
      <c r="A5068" s="76"/>
      <c r="B5068" s="77"/>
      <c r="C5068" s="78"/>
      <c r="D5068" s="78"/>
      <c r="E5068" s="78"/>
    </row>
    <row r="5069" spans="1:5">
      <c r="A5069" s="76" t="s">
        <v>3092</v>
      </c>
      <c r="B5069" s="77" t="s">
        <v>3695</v>
      </c>
      <c r="C5069" s="78"/>
      <c r="D5069" s="78"/>
      <c r="E5069" s="78"/>
    </row>
    <row r="5070" ht="25.5" spans="1:5">
      <c r="A5070" s="76" t="s">
        <v>3696</v>
      </c>
      <c r="B5070" s="77"/>
      <c r="C5070" s="78"/>
      <c r="D5070" s="78"/>
      <c r="E5070" s="78"/>
    </row>
    <row r="5071" spans="1:5">
      <c r="A5071" s="76" t="s">
        <v>2764</v>
      </c>
      <c r="B5071" s="77"/>
      <c r="C5071" s="78"/>
      <c r="D5071" s="78"/>
      <c r="E5071" s="78"/>
    </row>
    <row r="5072" spans="1:5">
      <c r="A5072" s="76"/>
      <c r="B5072" s="77"/>
      <c r="C5072" s="78"/>
      <c r="D5072" s="78"/>
      <c r="E5072" s="78"/>
    </row>
    <row r="5073" spans="1:5">
      <c r="A5073" s="76" t="s">
        <v>279</v>
      </c>
      <c r="B5073" s="77" t="s">
        <v>135</v>
      </c>
      <c r="C5073" s="78" t="s">
        <v>136</v>
      </c>
      <c r="D5073" s="78" t="s">
        <v>2534</v>
      </c>
      <c r="E5073" s="78" t="s">
        <v>2535</v>
      </c>
    </row>
    <row r="5074" ht="25.5" spans="1:5">
      <c r="A5074" s="76" t="s">
        <v>3692</v>
      </c>
      <c r="B5074" s="77" t="s">
        <v>494</v>
      </c>
      <c r="C5074" s="78">
        <v>5.33e-5</v>
      </c>
      <c r="D5074" s="78">
        <v>15839.74</v>
      </c>
      <c r="E5074" s="78">
        <f>TRUNC(C5074*D5074,2)</f>
        <v>0.84</v>
      </c>
    </row>
    <row r="5075" spans="1:5">
      <c r="A5075" s="76" t="s">
        <v>122</v>
      </c>
      <c r="B5075" s="77"/>
      <c r="C5075" s="78"/>
      <c r="D5075" s="78"/>
      <c r="E5075" s="78">
        <f>SUM(E5074:E5074)</f>
        <v>0.84</v>
      </c>
    </row>
    <row r="5076" spans="1:5">
      <c r="A5076" s="76"/>
      <c r="B5076" s="77"/>
      <c r="C5076" s="78"/>
      <c r="D5076" s="78"/>
      <c r="E5076" s="78"/>
    </row>
    <row r="5077" spans="1:5">
      <c r="A5077" s="76" t="s">
        <v>2538</v>
      </c>
      <c r="B5077" s="77"/>
      <c r="C5077" s="78"/>
      <c r="D5077" s="78"/>
      <c r="E5077" s="78">
        <f>E5075</f>
        <v>0.84</v>
      </c>
    </row>
    <row r="5078" spans="1:5">
      <c r="A5078" s="76" t="s">
        <v>2539</v>
      </c>
      <c r="B5078" s="77"/>
      <c r="C5078" s="78"/>
      <c r="D5078" s="78">
        <v>0</v>
      </c>
      <c r="E5078" s="78">
        <f>TRUNC(D5078*E5077/100,2)</f>
        <v>0</v>
      </c>
    </row>
    <row r="5079" spans="1:5">
      <c r="A5079" s="76" t="s">
        <v>2540</v>
      </c>
      <c r="B5079" s="77"/>
      <c r="C5079" s="78"/>
      <c r="D5079" s="78"/>
      <c r="E5079" s="78">
        <f>E5077+E5078</f>
        <v>0.84</v>
      </c>
    </row>
    <row r="5080" spans="1:5">
      <c r="A5080" s="76"/>
      <c r="B5080" s="77"/>
      <c r="C5080" s="78"/>
      <c r="D5080" s="78"/>
      <c r="E5080" s="78"/>
    </row>
    <row r="5081" spans="1:5">
      <c r="A5081" s="76" t="s">
        <v>3092</v>
      </c>
      <c r="B5081" s="77" t="s">
        <v>3697</v>
      </c>
      <c r="C5081" s="78"/>
      <c r="D5081" s="78"/>
      <c r="E5081" s="78"/>
    </row>
    <row r="5082" ht="25.5" spans="1:5">
      <c r="A5082" s="76" t="s">
        <v>3698</v>
      </c>
      <c r="B5082" s="77"/>
      <c r="C5082" s="78"/>
      <c r="D5082" s="78"/>
      <c r="E5082" s="78"/>
    </row>
    <row r="5083" spans="1:5">
      <c r="A5083" s="76" t="s">
        <v>2764</v>
      </c>
      <c r="B5083" s="77"/>
      <c r="C5083" s="78"/>
      <c r="D5083" s="78"/>
      <c r="E5083" s="78"/>
    </row>
    <row r="5084" spans="1:5">
      <c r="A5084" s="76"/>
      <c r="B5084" s="77"/>
      <c r="C5084" s="78"/>
      <c r="D5084" s="78"/>
      <c r="E5084" s="78"/>
    </row>
    <row r="5085" spans="1:5">
      <c r="A5085" s="76" t="s">
        <v>2543</v>
      </c>
      <c r="B5085" s="77" t="s">
        <v>135</v>
      </c>
      <c r="C5085" s="78" t="s">
        <v>136</v>
      </c>
      <c r="D5085" s="78" t="s">
        <v>2534</v>
      </c>
      <c r="E5085" s="78" t="s">
        <v>2535</v>
      </c>
    </row>
    <row r="5086" spans="1:5">
      <c r="A5086" s="76" t="s">
        <v>3366</v>
      </c>
      <c r="B5086" s="77" t="s">
        <v>215</v>
      </c>
      <c r="C5086" s="78">
        <v>1.03</v>
      </c>
      <c r="D5086" s="78">
        <v>5.96</v>
      </c>
      <c r="E5086" s="78">
        <f>TRUNC(C5086*D5086,2)</f>
        <v>6.13</v>
      </c>
    </row>
    <row r="5087" spans="1:5">
      <c r="A5087" s="76" t="s">
        <v>122</v>
      </c>
      <c r="B5087" s="77"/>
      <c r="C5087" s="78"/>
      <c r="D5087" s="78"/>
      <c r="E5087" s="78">
        <f>SUM(E5086:E5086)</f>
        <v>6.13</v>
      </c>
    </row>
    <row r="5088" spans="1:5">
      <c r="A5088" s="76"/>
      <c r="B5088" s="77"/>
      <c r="C5088" s="78"/>
      <c r="D5088" s="78"/>
      <c r="E5088" s="78"/>
    </row>
    <row r="5089" spans="1:5">
      <c r="A5089" s="76" t="s">
        <v>2538</v>
      </c>
      <c r="B5089" s="77"/>
      <c r="C5089" s="78"/>
      <c r="D5089" s="78"/>
      <c r="E5089" s="78">
        <f>E5087</f>
        <v>6.13</v>
      </c>
    </row>
    <row r="5090" spans="1:5">
      <c r="A5090" s="76" t="s">
        <v>2539</v>
      </c>
      <c r="B5090" s="77"/>
      <c r="C5090" s="78"/>
      <c r="D5090" s="78">
        <v>0</v>
      </c>
      <c r="E5090" s="78">
        <f>TRUNC(D5090*E5089/100,2)</f>
        <v>0</v>
      </c>
    </row>
    <row r="5091" spans="1:5">
      <c r="A5091" s="76" t="s">
        <v>2540</v>
      </c>
      <c r="B5091" s="77"/>
      <c r="C5091" s="78"/>
      <c r="D5091" s="78"/>
      <c r="E5091" s="78">
        <f>E5089+E5090</f>
        <v>6.13</v>
      </c>
    </row>
    <row r="5092" spans="1:5">
      <c r="A5092" s="76"/>
      <c r="B5092" s="77"/>
      <c r="C5092" s="78"/>
      <c r="D5092" s="78"/>
      <c r="E5092" s="78"/>
    </row>
    <row r="5093" spans="1:5">
      <c r="A5093" s="76" t="s">
        <v>3092</v>
      </c>
      <c r="B5093" s="77" t="s">
        <v>3699</v>
      </c>
      <c r="C5093" s="78"/>
      <c r="D5093" s="78"/>
      <c r="E5093" s="78"/>
    </row>
    <row r="5094" ht="25.5" spans="1:5">
      <c r="A5094" s="76" t="s">
        <v>3700</v>
      </c>
      <c r="B5094" s="77"/>
      <c r="C5094" s="78"/>
      <c r="D5094" s="78"/>
      <c r="E5094" s="78"/>
    </row>
    <row r="5095" spans="1:5">
      <c r="A5095" s="76" t="s">
        <v>3091</v>
      </c>
      <c r="B5095" s="77"/>
      <c r="C5095" s="78"/>
      <c r="D5095" s="78"/>
      <c r="E5095" s="78"/>
    </row>
    <row r="5096" spans="1:5">
      <c r="A5096" s="76"/>
      <c r="B5096" s="77"/>
      <c r="C5096" s="78"/>
      <c r="D5096" s="78"/>
      <c r="E5096" s="78"/>
    </row>
    <row r="5097" spans="1:5">
      <c r="A5097" s="76" t="s">
        <v>2543</v>
      </c>
      <c r="B5097" s="77" t="s">
        <v>135</v>
      </c>
      <c r="C5097" s="78" t="s">
        <v>136</v>
      </c>
      <c r="D5097" s="78" t="s">
        <v>2534</v>
      </c>
      <c r="E5097" s="78" t="s">
        <v>2535</v>
      </c>
    </row>
    <row r="5098" spans="1:5">
      <c r="A5098" s="76" t="s">
        <v>3645</v>
      </c>
      <c r="B5098" s="77" t="s">
        <v>839</v>
      </c>
      <c r="C5098" s="78">
        <v>1</v>
      </c>
      <c r="D5098" s="78">
        <v>29.94</v>
      </c>
      <c r="E5098" s="78">
        <f>TRUNC(C5098*D5098,2)</f>
        <v>29.94</v>
      </c>
    </row>
    <row r="5099" ht="25.5" spans="1:5">
      <c r="A5099" s="76" t="s">
        <v>3646</v>
      </c>
      <c r="B5099" s="77" t="s">
        <v>839</v>
      </c>
      <c r="C5099" s="78">
        <v>1</v>
      </c>
      <c r="D5099" s="78">
        <v>47.6</v>
      </c>
      <c r="E5099" s="78">
        <f>TRUNC(C5099*D5099,2)</f>
        <v>47.6</v>
      </c>
    </row>
    <row r="5100" ht="25.5" spans="1:5">
      <c r="A5100" s="76" t="s">
        <v>3647</v>
      </c>
      <c r="B5100" s="77" t="s">
        <v>839</v>
      </c>
      <c r="C5100" s="78">
        <v>1</v>
      </c>
      <c r="D5100" s="78">
        <v>12.58</v>
      </c>
      <c r="E5100" s="78">
        <f>TRUNC(C5100*D5100,2)</f>
        <v>12.58</v>
      </c>
    </row>
    <row r="5101" spans="1:5">
      <c r="A5101" s="76" t="s">
        <v>122</v>
      </c>
      <c r="B5101" s="77"/>
      <c r="C5101" s="78"/>
      <c r="D5101" s="78"/>
      <c r="E5101" s="78">
        <f>SUM(E5098:E5100)</f>
        <v>90.12</v>
      </c>
    </row>
    <row r="5102" spans="1:5">
      <c r="A5102" s="76"/>
      <c r="B5102" s="77"/>
      <c r="C5102" s="78"/>
      <c r="D5102" s="78"/>
      <c r="E5102" s="78"/>
    </row>
    <row r="5103" spans="1:5">
      <c r="A5103" s="76" t="s">
        <v>2538</v>
      </c>
      <c r="B5103" s="77"/>
      <c r="C5103" s="78"/>
      <c r="D5103" s="78"/>
      <c r="E5103" s="78">
        <f>E5101</f>
        <v>90.12</v>
      </c>
    </row>
    <row r="5104" spans="1:5">
      <c r="A5104" s="76" t="s">
        <v>2539</v>
      </c>
      <c r="B5104" s="77"/>
      <c r="C5104" s="78"/>
      <c r="D5104" s="78">
        <v>0</v>
      </c>
      <c r="E5104" s="78">
        <f>TRUNC(D5104*E5103/100,2)</f>
        <v>0</v>
      </c>
    </row>
    <row r="5105" spans="1:5">
      <c r="A5105" s="76" t="s">
        <v>2540</v>
      </c>
      <c r="B5105" s="77"/>
      <c r="C5105" s="78"/>
      <c r="D5105" s="78"/>
      <c r="E5105" s="78">
        <f>E5103+E5104</f>
        <v>90.12</v>
      </c>
    </row>
    <row r="5106" spans="1:5">
      <c r="A5106" s="76"/>
      <c r="B5106" s="77"/>
      <c r="C5106" s="78"/>
      <c r="D5106" s="78"/>
      <c r="E5106" s="78"/>
    </row>
    <row r="5107" spans="1:5">
      <c r="A5107" s="76" t="s">
        <v>3092</v>
      </c>
      <c r="B5107" s="77" t="s">
        <v>3701</v>
      </c>
      <c r="C5107" s="78"/>
      <c r="D5107" s="78"/>
      <c r="E5107" s="78"/>
    </row>
    <row r="5108" ht="38.25" spans="1:5">
      <c r="A5108" s="76" t="s">
        <v>3702</v>
      </c>
      <c r="B5108" s="77"/>
      <c r="C5108" s="78"/>
      <c r="D5108" s="78"/>
      <c r="E5108" s="78"/>
    </row>
    <row r="5109" spans="1:5">
      <c r="A5109" s="76" t="s">
        <v>3091</v>
      </c>
      <c r="B5109" s="77"/>
      <c r="C5109" s="78"/>
      <c r="D5109" s="78"/>
      <c r="E5109" s="78"/>
    </row>
    <row r="5110" spans="1:5">
      <c r="A5110" s="76"/>
      <c r="B5110" s="77"/>
      <c r="C5110" s="78"/>
      <c r="D5110" s="78"/>
      <c r="E5110" s="78"/>
    </row>
    <row r="5111" spans="1:5">
      <c r="A5111" s="76" t="s">
        <v>2543</v>
      </c>
      <c r="B5111" s="77" t="s">
        <v>135</v>
      </c>
      <c r="C5111" s="78" t="s">
        <v>136</v>
      </c>
      <c r="D5111" s="78" t="s">
        <v>2534</v>
      </c>
      <c r="E5111" s="78" t="s">
        <v>2535</v>
      </c>
    </row>
    <row r="5112" spans="1:5">
      <c r="A5112" s="76" t="s">
        <v>3183</v>
      </c>
      <c r="B5112" s="77" t="s">
        <v>839</v>
      </c>
      <c r="C5112" s="78">
        <v>1</v>
      </c>
      <c r="D5112" s="78">
        <v>29.8</v>
      </c>
      <c r="E5112" s="78">
        <f>TRUNC(C5112*D5112,2)</f>
        <v>29.8</v>
      </c>
    </row>
    <row r="5113" ht="38.25" spans="1:5">
      <c r="A5113" s="76" t="s">
        <v>3669</v>
      </c>
      <c r="B5113" s="77" t="s">
        <v>839</v>
      </c>
      <c r="C5113" s="78">
        <v>1</v>
      </c>
      <c r="D5113" s="78">
        <v>29.35</v>
      </c>
      <c r="E5113" s="78">
        <f>TRUNC(C5113*D5113,2)</f>
        <v>29.35</v>
      </c>
    </row>
    <row r="5114" ht="51" spans="1:5">
      <c r="A5114" s="76" t="s">
        <v>3670</v>
      </c>
      <c r="B5114" s="77" t="s">
        <v>839</v>
      </c>
      <c r="C5114" s="78">
        <v>1</v>
      </c>
      <c r="D5114" s="78">
        <v>4.58</v>
      </c>
      <c r="E5114" s="78">
        <f>TRUNC(C5114*D5114,2)</f>
        <v>4.58</v>
      </c>
    </row>
    <row r="5115" ht="38.25" spans="1:5">
      <c r="A5115" s="76" t="s">
        <v>3671</v>
      </c>
      <c r="B5115" s="77" t="s">
        <v>839</v>
      </c>
      <c r="C5115" s="78">
        <v>1</v>
      </c>
      <c r="D5115" s="78">
        <v>11.35</v>
      </c>
      <c r="E5115" s="78">
        <f>TRUNC(C5115*D5115,2)</f>
        <v>11.35</v>
      </c>
    </row>
    <row r="5116" spans="1:5">
      <c r="A5116" s="76" t="s">
        <v>122</v>
      </c>
      <c r="B5116" s="77"/>
      <c r="C5116" s="78"/>
      <c r="D5116" s="78"/>
      <c r="E5116" s="78">
        <f>SUM(E5112:E5115)</f>
        <v>75.08</v>
      </c>
    </row>
    <row r="5117" spans="1:5">
      <c r="A5117" s="76"/>
      <c r="B5117" s="77"/>
      <c r="C5117" s="78"/>
      <c r="D5117" s="78"/>
      <c r="E5117" s="78"/>
    </row>
    <row r="5118" spans="1:5">
      <c r="A5118" s="76" t="s">
        <v>2538</v>
      </c>
      <c r="B5118" s="77"/>
      <c r="C5118" s="78"/>
      <c r="D5118" s="78"/>
      <c r="E5118" s="78">
        <f>E5116</f>
        <v>75.08</v>
      </c>
    </row>
    <row r="5119" spans="1:5">
      <c r="A5119" s="76" t="s">
        <v>2539</v>
      </c>
      <c r="B5119" s="77"/>
      <c r="C5119" s="78"/>
      <c r="D5119" s="78">
        <v>0</v>
      </c>
      <c r="E5119" s="78">
        <f>TRUNC(D5119*E5118/100,2)</f>
        <v>0</v>
      </c>
    </row>
    <row r="5120" spans="1:5">
      <c r="A5120" s="76" t="s">
        <v>2540</v>
      </c>
      <c r="B5120" s="77"/>
      <c r="C5120" s="78"/>
      <c r="D5120" s="78"/>
      <c r="E5120" s="78">
        <f>E5118+E5119</f>
        <v>75.08</v>
      </c>
    </row>
    <row r="5121" spans="1:5">
      <c r="A5121" s="76"/>
      <c r="B5121" s="77"/>
      <c r="C5121" s="78"/>
      <c r="D5121" s="78"/>
      <c r="E5121" s="78"/>
    </row>
    <row r="5122" spans="1:5">
      <c r="A5122" s="76" t="s">
        <v>3092</v>
      </c>
      <c r="B5122" s="77" t="s">
        <v>3703</v>
      </c>
      <c r="C5122" s="78"/>
      <c r="D5122" s="78"/>
      <c r="E5122" s="78"/>
    </row>
    <row r="5123" ht="38.25" spans="1:5">
      <c r="A5123" s="76" t="s">
        <v>3704</v>
      </c>
      <c r="B5123" s="77"/>
      <c r="C5123" s="78"/>
      <c r="D5123" s="78"/>
      <c r="E5123" s="78"/>
    </row>
    <row r="5124" spans="1:5">
      <c r="A5124" s="76" t="s">
        <v>3085</v>
      </c>
      <c r="B5124" s="77"/>
      <c r="C5124" s="78"/>
      <c r="D5124" s="78"/>
      <c r="E5124" s="78"/>
    </row>
    <row r="5125" spans="1:5">
      <c r="A5125" s="76"/>
      <c r="B5125" s="77"/>
      <c r="C5125" s="78"/>
      <c r="D5125" s="78"/>
      <c r="E5125" s="78"/>
    </row>
    <row r="5126" spans="1:5">
      <c r="A5126" s="76" t="s">
        <v>2543</v>
      </c>
      <c r="B5126" s="77" t="s">
        <v>135</v>
      </c>
      <c r="C5126" s="78" t="s">
        <v>136</v>
      </c>
      <c r="D5126" s="78" t="s">
        <v>2534</v>
      </c>
      <c r="E5126" s="78" t="s">
        <v>2535</v>
      </c>
    </row>
    <row r="5127" spans="1:5">
      <c r="A5127" s="76" t="s">
        <v>3705</v>
      </c>
      <c r="B5127" s="77" t="s">
        <v>839</v>
      </c>
      <c r="C5127" s="78">
        <v>1</v>
      </c>
      <c r="D5127" s="78">
        <v>30.64</v>
      </c>
      <c r="E5127" s="78">
        <f t="shared" ref="E5127:E5132" si="49">TRUNC(C5127*D5127,2)</f>
        <v>30.64</v>
      </c>
    </row>
    <row r="5128" ht="25.5" spans="1:5">
      <c r="A5128" s="76" t="s">
        <v>3706</v>
      </c>
      <c r="B5128" s="77" t="s">
        <v>839</v>
      </c>
      <c r="C5128" s="78">
        <v>1</v>
      </c>
      <c r="D5128" s="78">
        <v>43.02</v>
      </c>
      <c r="E5128" s="78">
        <f t="shared" si="49"/>
        <v>43.02</v>
      </c>
    </row>
    <row r="5129" ht="38.25" spans="1:5">
      <c r="A5129" s="76" t="s">
        <v>3707</v>
      </c>
      <c r="B5129" s="77" t="s">
        <v>839</v>
      </c>
      <c r="C5129" s="78">
        <v>1</v>
      </c>
      <c r="D5129" s="78">
        <v>14.86</v>
      </c>
      <c r="E5129" s="78">
        <f t="shared" si="49"/>
        <v>14.86</v>
      </c>
    </row>
    <row r="5130" ht="51" spans="1:5">
      <c r="A5130" s="76" t="s">
        <v>3708</v>
      </c>
      <c r="B5130" s="77" t="s">
        <v>839</v>
      </c>
      <c r="C5130" s="78">
        <v>1</v>
      </c>
      <c r="D5130" s="78">
        <v>6</v>
      </c>
      <c r="E5130" s="78">
        <f t="shared" si="49"/>
        <v>6</v>
      </c>
    </row>
    <row r="5131" ht="38.25" spans="1:5">
      <c r="A5131" s="76" t="s">
        <v>3709</v>
      </c>
      <c r="B5131" s="77" t="s">
        <v>839</v>
      </c>
      <c r="C5131" s="78">
        <v>1</v>
      </c>
      <c r="D5131" s="78">
        <v>72.86</v>
      </c>
      <c r="E5131" s="78">
        <f t="shared" si="49"/>
        <v>72.86</v>
      </c>
    </row>
    <row r="5132" ht="51" spans="1:5">
      <c r="A5132" s="76" t="s">
        <v>3710</v>
      </c>
      <c r="B5132" s="77" t="s">
        <v>839</v>
      </c>
      <c r="C5132" s="78">
        <v>1</v>
      </c>
      <c r="D5132" s="78">
        <v>201.62</v>
      </c>
      <c r="E5132" s="78">
        <f t="shared" si="49"/>
        <v>201.62</v>
      </c>
    </row>
    <row r="5133" spans="1:5">
      <c r="A5133" s="76" t="s">
        <v>122</v>
      </c>
      <c r="B5133" s="77"/>
      <c r="C5133" s="78"/>
      <c r="D5133" s="78"/>
      <c r="E5133" s="78">
        <f>SUM(E5127:E5132)</f>
        <v>369</v>
      </c>
    </row>
    <row r="5134" spans="1:5">
      <c r="A5134" s="76"/>
      <c r="B5134" s="77"/>
      <c r="C5134" s="78"/>
      <c r="D5134" s="78"/>
      <c r="E5134" s="78"/>
    </row>
    <row r="5135" spans="1:5">
      <c r="A5135" s="76" t="s">
        <v>2538</v>
      </c>
      <c r="B5135" s="77"/>
      <c r="C5135" s="78"/>
      <c r="D5135" s="78"/>
      <c r="E5135" s="78">
        <f>E5133</f>
        <v>369</v>
      </c>
    </row>
    <row r="5136" spans="1:5">
      <c r="A5136" s="76" t="s">
        <v>2539</v>
      </c>
      <c r="B5136" s="77"/>
      <c r="C5136" s="78"/>
      <c r="D5136" s="78">
        <v>0</v>
      </c>
      <c r="E5136" s="78">
        <f>TRUNC(D5136*E5135/100,2)</f>
        <v>0</v>
      </c>
    </row>
    <row r="5137" spans="1:5">
      <c r="A5137" s="76" t="s">
        <v>2540</v>
      </c>
      <c r="B5137" s="77"/>
      <c r="C5137" s="78"/>
      <c r="D5137" s="78"/>
      <c r="E5137" s="78">
        <f>E5135+E5136</f>
        <v>369</v>
      </c>
    </row>
    <row r="5138" spans="1:5">
      <c r="A5138" s="76"/>
      <c r="B5138" s="77"/>
      <c r="C5138" s="78"/>
      <c r="D5138" s="78"/>
      <c r="E5138" s="78"/>
    </row>
    <row r="5139" spans="1:5">
      <c r="A5139" s="76" t="s">
        <v>3092</v>
      </c>
      <c r="B5139" s="77" t="s">
        <v>3711</v>
      </c>
      <c r="C5139" s="78"/>
      <c r="D5139" s="78"/>
      <c r="E5139" s="78"/>
    </row>
    <row r="5140" spans="1:5">
      <c r="A5140" s="76" t="s">
        <v>3712</v>
      </c>
      <c r="B5140" s="77"/>
      <c r="C5140" s="78"/>
      <c r="D5140" s="78"/>
      <c r="E5140" s="78"/>
    </row>
    <row r="5141" spans="1:5">
      <c r="A5141" s="76" t="s">
        <v>2764</v>
      </c>
      <c r="B5141" s="77"/>
      <c r="C5141" s="78"/>
      <c r="D5141" s="78"/>
      <c r="E5141" s="78"/>
    </row>
    <row r="5142" spans="1:5">
      <c r="A5142" s="76"/>
      <c r="B5142" s="77"/>
      <c r="C5142" s="78"/>
      <c r="D5142" s="78"/>
      <c r="E5142" s="78"/>
    </row>
    <row r="5143" spans="1:5">
      <c r="A5143" s="76" t="s">
        <v>279</v>
      </c>
      <c r="B5143" s="77" t="s">
        <v>135</v>
      </c>
      <c r="C5143" s="78" t="s">
        <v>136</v>
      </c>
      <c r="D5143" s="78" t="s">
        <v>2534</v>
      </c>
      <c r="E5143" s="78" t="s">
        <v>2535</v>
      </c>
    </row>
    <row r="5144" ht="25.5" spans="1:5">
      <c r="A5144" s="76" t="s">
        <v>3111</v>
      </c>
      <c r="B5144" s="77" t="s">
        <v>839</v>
      </c>
      <c r="C5144" s="78">
        <v>1</v>
      </c>
      <c r="D5144" s="78">
        <v>1.5</v>
      </c>
      <c r="E5144" s="78">
        <f>TRUNC(C5144*D5144,2)</f>
        <v>1.5</v>
      </c>
    </row>
    <row r="5145" spans="1:5">
      <c r="A5145" s="76" t="s">
        <v>122</v>
      </c>
      <c r="B5145" s="77"/>
      <c r="C5145" s="78"/>
      <c r="D5145" s="78"/>
      <c r="E5145" s="78">
        <f>SUM(E5144:E5144)</f>
        <v>1.5</v>
      </c>
    </row>
    <row r="5146" spans="1:5">
      <c r="A5146" s="76"/>
      <c r="B5146" s="77"/>
      <c r="C5146" s="78"/>
      <c r="D5146" s="78"/>
      <c r="E5146" s="78"/>
    </row>
    <row r="5147" spans="1:5">
      <c r="A5147" s="76" t="s">
        <v>280</v>
      </c>
      <c r="B5147" s="77" t="s">
        <v>135</v>
      </c>
      <c r="C5147" s="78" t="s">
        <v>136</v>
      </c>
      <c r="D5147" s="78" t="s">
        <v>2534</v>
      </c>
      <c r="E5147" s="78" t="s">
        <v>2535</v>
      </c>
    </row>
    <row r="5148" ht="25.5" spans="1:5">
      <c r="A5148" s="76" t="s">
        <v>3112</v>
      </c>
      <c r="B5148" s="77" t="s">
        <v>839</v>
      </c>
      <c r="C5148" s="78">
        <v>1</v>
      </c>
      <c r="D5148" s="78">
        <v>3.95</v>
      </c>
      <c r="E5148" s="78">
        <f>TRUNC(C5148*D5148,2)</f>
        <v>3.95</v>
      </c>
    </row>
    <row r="5149" spans="1:5">
      <c r="A5149" s="76" t="s">
        <v>3713</v>
      </c>
      <c r="B5149" s="77" t="s">
        <v>839</v>
      </c>
      <c r="C5149" s="78">
        <v>1</v>
      </c>
      <c r="D5149" s="78">
        <v>22.67</v>
      </c>
      <c r="E5149" s="78">
        <f>TRUNC(C5149*D5149,2)</f>
        <v>22.67</v>
      </c>
    </row>
    <row r="5150" ht="25.5" spans="1:5">
      <c r="A5150" s="76" t="s">
        <v>3113</v>
      </c>
      <c r="B5150" s="77" t="s">
        <v>839</v>
      </c>
      <c r="C5150" s="78">
        <v>1</v>
      </c>
      <c r="D5150" s="78">
        <v>0.08</v>
      </c>
      <c r="E5150" s="78">
        <f>TRUNC(C5150*D5150,2)</f>
        <v>0.08</v>
      </c>
    </row>
    <row r="5151" spans="1:5">
      <c r="A5151" s="76" t="s">
        <v>122</v>
      </c>
      <c r="B5151" s="77"/>
      <c r="C5151" s="78"/>
      <c r="D5151" s="78"/>
      <c r="E5151" s="78">
        <f>SUM(E5148:E5150)</f>
        <v>26.7</v>
      </c>
    </row>
    <row r="5152" spans="1:5">
      <c r="A5152" s="76" t="s">
        <v>117</v>
      </c>
      <c r="B5152" s="77"/>
      <c r="C5152" s="78"/>
      <c r="D5152" s="78"/>
      <c r="E5152" s="78" t="str">
        <f>"0"</f>
        <v>0</v>
      </c>
    </row>
    <row r="5153" spans="1:5">
      <c r="A5153" s="76" t="s">
        <v>2537</v>
      </c>
      <c r="B5153" s="77"/>
      <c r="C5153" s="78"/>
      <c r="D5153" s="78"/>
      <c r="E5153" s="78">
        <f>E5151+E5152</f>
        <v>26.7</v>
      </c>
    </row>
    <row r="5154" spans="1:5">
      <c r="A5154" s="76"/>
      <c r="B5154" s="77"/>
      <c r="C5154" s="78"/>
      <c r="D5154" s="78"/>
      <c r="E5154" s="78"/>
    </row>
    <row r="5155" spans="1:5">
      <c r="A5155" s="76" t="s">
        <v>2543</v>
      </c>
      <c r="B5155" s="77" t="s">
        <v>135</v>
      </c>
      <c r="C5155" s="78" t="s">
        <v>136</v>
      </c>
      <c r="D5155" s="78" t="s">
        <v>2534</v>
      </c>
      <c r="E5155" s="78" t="s">
        <v>2535</v>
      </c>
    </row>
    <row r="5156" ht="25.5" spans="1:5">
      <c r="A5156" s="76" t="s">
        <v>3195</v>
      </c>
      <c r="B5156" s="77" t="s">
        <v>839</v>
      </c>
      <c r="C5156" s="78">
        <v>1</v>
      </c>
      <c r="D5156" s="78">
        <v>0.89</v>
      </c>
      <c r="E5156" s="78">
        <f>TRUNC(C5156*D5156,2)</f>
        <v>0.89</v>
      </c>
    </row>
    <row r="5157" spans="1:5">
      <c r="A5157" s="76" t="s">
        <v>3116</v>
      </c>
      <c r="B5157" s="77" t="s">
        <v>839</v>
      </c>
      <c r="C5157" s="78">
        <v>1</v>
      </c>
      <c r="D5157" s="78">
        <v>1.43</v>
      </c>
      <c r="E5157" s="78">
        <f>TRUNC(C5157*D5157,2)</f>
        <v>1.43</v>
      </c>
    </row>
    <row r="5158" ht="25.5" spans="1:5">
      <c r="A5158" s="76" t="s">
        <v>3196</v>
      </c>
      <c r="B5158" s="77" t="s">
        <v>839</v>
      </c>
      <c r="C5158" s="78">
        <v>1</v>
      </c>
      <c r="D5158" s="78">
        <v>0.01</v>
      </c>
      <c r="E5158" s="78">
        <f>TRUNC(C5158*D5158,2)</f>
        <v>0.01</v>
      </c>
    </row>
    <row r="5159" ht="25.5" spans="1:5">
      <c r="A5159" s="76" t="s">
        <v>3714</v>
      </c>
      <c r="B5159" s="77" t="s">
        <v>839</v>
      </c>
      <c r="C5159" s="78">
        <v>1</v>
      </c>
      <c r="D5159" s="78">
        <v>0.11</v>
      </c>
      <c r="E5159" s="78">
        <f>TRUNC(C5159*D5159,2)</f>
        <v>0.11</v>
      </c>
    </row>
    <row r="5160" spans="1:5">
      <c r="A5160" s="76" t="s">
        <v>122</v>
      </c>
      <c r="B5160" s="77"/>
      <c r="C5160" s="78"/>
      <c r="D5160" s="78"/>
      <c r="E5160" s="78">
        <f>SUM(E5156:E5159)</f>
        <v>2.44</v>
      </c>
    </row>
    <row r="5161" spans="1:5">
      <c r="A5161" s="76"/>
      <c r="B5161" s="77"/>
      <c r="C5161" s="78"/>
      <c r="D5161" s="78"/>
      <c r="E5161" s="78"/>
    </row>
    <row r="5162" spans="1:5">
      <c r="A5162" s="76" t="s">
        <v>2538</v>
      </c>
      <c r="B5162" s="77"/>
      <c r="C5162" s="78"/>
      <c r="D5162" s="78"/>
      <c r="E5162" s="78">
        <f>E5145+E5153+E5160</f>
        <v>30.64</v>
      </c>
    </row>
    <row r="5163" spans="1:5">
      <c r="A5163" s="76" t="s">
        <v>2539</v>
      </c>
      <c r="B5163" s="77"/>
      <c r="C5163" s="78"/>
      <c r="D5163" s="78">
        <v>0</v>
      </c>
      <c r="E5163" s="78">
        <f>TRUNC(D5163*E5162/100,2)</f>
        <v>0</v>
      </c>
    </row>
    <row r="5164" spans="1:5">
      <c r="A5164" s="76" t="s">
        <v>2540</v>
      </c>
      <c r="B5164" s="77"/>
      <c r="C5164" s="78"/>
      <c r="D5164" s="78"/>
      <c r="E5164" s="78">
        <f>E5162+E5163</f>
        <v>30.64</v>
      </c>
    </row>
    <row r="5165" spans="1:5">
      <c r="A5165" s="76"/>
      <c r="B5165" s="77"/>
      <c r="C5165" s="78"/>
      <c r="D5165" s="78"/>
      <c r="E5165" s="78"/>
    </row>
    <row r="5166" spans="1:5">
      <c r="A5166" s="76" t="s">
        <v>3092</v>
      </c>
      <c r="B5166" s="77" t="s">
        <v>3715</v>
      </c>
      <c r="C5166" s="78"/>
      <c r="D5166" s="78"/>
      <c r="E5166" s="78"/>
    </row>
    <row r="5167" ht="25.5" spans="1:5">
      <c r="A5167" s="76" t="s">
        <v>3716</v>
      </c>
      <c r="B5167" s="77"/>
      <c r="C5167" s="78"/>
      <c r="D5167" s="78"/>
      <c r="E5167" s="78"/>
    </row>
    <row r="5168" spans="1:5">
      <c r="A5168" s="76" t="s">
        <v>2764</v>
      </c>
      <c r="B5168" s="77"/>
      <c r="C5168" s="78"/>
      <c r="D5168" s="78"/>
      <c r="E5168" s="78"/>
    </row>
    <row r="5169" spans="1:5">
      <c r="A5169" s="76"/>
      <c r="B5169" s="77"/>
      <c r="C5169" s="78"/>
      <c r="D5169" s="78"/>
      <c r="E5169" s="78"/>
    </row>
    <row r="5170" spans="1:5">
      <c r="A5170" s="76" t="s">
        <v>280</v>
      </c>
      <c r="B5170" s="77" t="s">
        <v>135</v>
      </c>
      <c r="C5170" s="78" t="s">
        <v>136</v>
      </c>
      <c r="D5170" s="78" t="s">
        <v>2534</v>
      </c>
      <c r="E5170" s="78" t="s">
        <v>2535</v>
      </c>
    </row>
    <row r="5171" spans="1:5">
      <c r="A5171" s="76" t="s">
        <v>3713</v>
      </c>
      <c r="B5171" s="77" t="s">
        <v>839</v>
      </c>
      <c r="C5171" s="78">
        <v>0.00509</v>
      </c>
      <c r="D5171" s="78">
        <v>22.67</v>
      </c>
      <c r="E5171" s="78">
        <f>TRUNC(C5171*D5171,2)</f>
        <v>0.11</v>
      </c>
    </row>
    <row r="5172" spans="1:5">
      <c r="A5172" s="76" t="s">
        <v>122</v>
      </c>
      <c r="B5172" s="77"/>
      <c r="C5172" s="78"/>
      <c r="D5172" s="78"/>
      <c r="E5172" s="78">
        <f>SUM(E5171:E5171)</f>
        <v>0.11</v>
      </c>
    </row>
    <row r="5173" spans="1:5">
      <c r="A5173" s="76" t="s">
        <v>117</v>
      </c>
      <c r="B5173" s="77"/>
      <c r="C5173" s="78"/>
      <c r="D5173" s="78"/>
      <c r="E5173" s="78" t="str">
        <f>"0"</f>
        <v>0</v>
      </c>
    </row>
    <row r="5174" spans="1:5">
      <c r="A5174" s="76" t="s">
        <v>2537</v>
      </c>
      <c r="B5174" s="77"/>
      <c r="C5174" s="78"/>
      <c r="D5174" s="78"/>
      <c r="E5174" s="78">
        <f>E5172+E5173</f>
        <v>0.11</v>
      </c>
    </row>
    <row r="5175" spans="1:5">
      <c r="A5175" s="76"/>
      <c r="B5175" s="77"/>
      <c r="C5175" s="78"/>
      <c r="D5175" s="78"/>
      <c r="E5175" s="78"/>
    </row>
    <row r="5176" spans="1:5">
      <c r="A5176" s="76" t="s">
        <v>2538</v>
      </c>
      <c r="B5176" s="77"/>
      <c r="C5176" s="78"/>
      <c r="D5176" s="78"/>
      <c r="E5176" s="78">
        <f>E5174</f>
        <v>0.11</v>
      </c>
    </row>
    <row r="5177" spans="1:5">
      <c r="A5177" s="76" t="s">
        <v>2539</v>
      </c>
      <c r="B5177" s="77"/>
      <c r="C5177" s="78"/>
      <c r="D5177" s="78">
        <v>0</v>
      </c>
      <c r="E5177" s="78">
        <f>TRUNC(D5177*E5176/100,2)</f>
        <v>0</v>
      </c>
    </row>
    <row r="5178" spans="1:5">
      <c r="A5178" s="76" t="s">
        <v>2540</v>
      </c>
      <c r="B5178" s="77"/>
      <c r="C5178" s="78"/>
      <c r="D5178" s="78"/>
      <c r="E5178" s="78">
        <f>E5176+E5177</f>
        <v>0.11</v>
      </c>
    </row>
    <row r="5179" spans="1:5">
      <c r="A5179" s="76"/>
      <c r="B5179" s="77"/>
      <c r="C5179" s="78"/>
      <c r="D5179" s="78"/>
      <c r="E5179" s="78"/>
    </row>
    <row r="5180" spans="1:5">
      <c r="A5180" s="76" t="s">
        <v>3092</v>
      </c>
      <c r="B5180" s="77" t="s">
        <v>3717</v>
      </c>
      <c r="C5180" s="78"/>
      <c r="D5180" s="78"/>
      <c r="E5180" s="78"/>
    </row>
    <row r="5181" ht="25.5" spans="1:5">
      <c r="A5181" s="76" t="s">
        <v>3718</v>
      </c>
      <c r="B5181" s="77"/>
      <c r="C5181" s="78"/>
      <c r="D5181" s="78"/>
      <c r="E5181" s="78"/>
    </row>
    <row r="5182" spans="1:5">
      <c r="A5182" s="76" t="s">
        <v>2764</v>
      </c>
      <c r="B5182" s="77"/>
      <c r="C5182" s="78"/>
      <c r="D5182" s="78"/>
      <c r="E5182" s="78"/>
    </row>
    <row r="5183" spans="1:5">
      <c r="A5183" s="76"/>
      <c r="B5183" s="77"/>
      <c r="C5183" s="78"/>
      <c r="D5183" s="78"/>
      <c r="E5183" s="78"/>
    </row>
    <row r="5184" spans="1:5">
      <c r="A5184" s="76" t="s">
        <v>2543</v>
      </c>
      <c r="B5184" s="77" t="s">
        <v>135</v>
      </c>
      <c r="C5184" s="78" t="s">
        <v>136</v>
      </c>
      <c r="D5184" s="78" t="s">
        <v>2534</v>
      </c>
      <c r="E5184" s="78" t="s">
        <v>2535</v>
      </c>
    </row>
    <row r="5185" ht="38.25" spans="1:5">
      <c r="A5185" s="76" t="s">
        <v>3719</v>
      </c>
      <c r="B5185" s="77" t="s">
        <v>494</v>
      </c>
      <c r="C5185" s="78">
        <v>3.42e-5</v>
      </c>
      <c r="D5185" s="78">
        <v>765159.12</v>
      </c>
      <c r="E5185" s="78">
        <f>TRUNC(C5185*D5185,2)</f>
        <v>26.16</v>
      </c>
    </row>
    <row r="5186" ht="25.5" spans="1:5">
      <c r="A5186" s="76" t="s">
        <v>3720</v>
      </c>
      <c r="B5186" s="77" t="s">
        <v>494</v>
      </c>
      <c r="C5186" s="78">
        <v>6.03e-5</v>
      </c>
      <c r="D5186" s="78">
        <v>279656.7</v>
      </c>
      <c r="E5186" s="78">
        <f>TRUNC(C5186*D5186,2)</f>
        <v>16.86</v>
      </c>
    </row>
    <row r="5187" spans="1:5">
      <c r="A5187" s="76" t="s">
        <v>122</v>
      </c>
      <c r="B5187" s="77"/>
      <c r="C5187" s="78"/>
      <c r="D5187" s="78"/>
      <c r="E5187" s="78">
        <f>SUM(E5185:E5186)</f>
        <v>43.02</v>
      </c>
    </row>
    <row r="5188" spans="1:5">
      <c r="A5188" s="76"/>
      <c r="B5188" s="77"/>
      <c r="C5188" s="78"/>
      <c r="D5188" s="78"/>
      <c r="E5188" s="78"/>
    </row>
    <row r="5189" spans="1:5">
      <c r="A5189" s="76" t="s">
        <v>2538</v>
      </c>
      <c r="B5189" s="77"/>
      <c r="C5189" s="78"/>
      <c r="D5189" s="78"/>
      <c r="E5189" s="78">
        <f>E5187</f>
        <v>43.02</v>
      </c>
    </row>
    <row r="5190" spans="1:5">
      <c r="A5190" s="76" t="s">
        <v>2539</v>
      </c>
      <c r="B5190" s="77"/>
      <c r="C5190" s="78"/>
      <c r="D5190" s="78">
        <v>0</v>
      </c>
      <c r="E5190" s="78">
        <f>TRUNC(D5190*E5189/100,2)</f>
        <v>0</v>
      </c>
    </row>
    <row r="5191" spans="1:5">
      <c r="A5191" s="76" t="s">
        <v>2540</v>
      </c>
      <c r="B5191" s="77"/>
      <c r="C5191" s="78"/>
      <c r="D5191" s="78"/>
      <c r="E5191" s="78">
        <f>E5189+E5190</f>
        <v>43.02</v>
      </c>
    </row>
    <row r="5192" spans="1:5">
      <c r="A5192" s="76"/>
      <c r="B5192" s="77"/>
      <c r="C5192" s="78"/>
      <c r="D5192" s="78"/>
      <c r="E5192" s="78"/>
    </row>
    <row r="5193" spans="1:5">
      <c r="A5193" s="76" t="s">
        <v>3092</v>
      </c>
      <c r="B5193" s="77" t="s">
        <v>3721</v>
      </c>
      <c r="C5193" s="78"/>
      <c r="D5193" s="78"/>
      <c r="E5193" s="78"/>
    </row>
    <row r="5194" ht="38.25" spans="1:5">
      <c r="A5194" s="76" t="s">
        <v>3722</v>
      </c>
      <c r="B5194" s="77"/>
      <c r="C5194" s="78"/>
      <c r="D5194" s="78"/>
      <c r="E5194" s="78"/>
    </row>
    <row r="5195" spans="1:5">
      <c r="A5195" s="76" t="s">
        <v>2764</v>
      </c>
      <c r="B5195" s="77"/>
      <c r="C5195" s="78"/>
      <c r="D5195" s="78"/>
      <c r="E5195" s="78"/>
    </row>
    <row r="5196" spans="1:5">
      <c r="A5196" s="76"/>
      <c r="B5196" s="77"/>
      <c r="C5196" s="78"/>
      <c r="D5196" s="78"/>
      <c r="E5196" s="78"/>
    </row>
    <row r="5197" spans="1:5">
      <c r="A5197" s="76" t="s">
        <v>2543</v>
      </c>
      <c r="B5197" s="77" t="s">
        <v>135</v>
      </c>
      <c r="C5197" s="78" t="s">
        <v>136</v>
      </c>
      <c r="D5197" s="78" t="s">
        <v>2534</v>
      </c>
      <c r="E5197" s="78" t="s">
        <v>2535</v>
      </c>
    </row>
    <row r="5198" ht="38.25" spans="1:5">
      <c r="A5198" s="76" t="s">
        <v>3719</v>
      </c>
      <c r="B5198" s="77" t="s">
        <v>494</v>
      </c>
      <c r="C5198" s="78">
        <v>1.41e-5</v>
      </c>
      <c r="D5198" s="78">
        <v>765159.12</v>
      </c>
      <c r="E5198" s="78">
        <f>TRUNC(C5198*D5198,2)</f>
        <v>10.78</v>
      </c>
    </row>
    <row r="5199" ht="25.5" spans="1:5">
      <c r="A5199" s="76" t="s">
        <v>3720</v>
      </c>
      <c r="B5199" s="77" t="s">
        <v>494</v>
      </c>
      <c r="C5199" s="78">
        <v>1.46e-5</v>
      </c>
      <c r="D5199" s="78">
        <v>279656.7</v>
      </c>
      <c r="E5199" s="78">
        <f>TRUNC(C5199*D5199,2)</f>
        <v>4.08</v>
      </c>
    </row>
    <row r="5200" spans="1:5">
      <c r="A5200" s="76" t="s">
        <v>122</v>
      </c>
      <c r="B5200" s="77"/>
      <c r="C5200" s="78"/>
      <c r="D5200" s="78"/>
      <c r="E5200" s="78">
        <f>SUM(E5198:E5199)</f>
        <v>14.86</v>
      </c>
    </row>
    <row r="5201" spans="1:5">
      <c r="A5201" s="76"/>
      <c r="B5201" s="77"/>
      <c r="C5201" s="78"/>
      <c r="D5201" s="78"/>
      <c r="E5201" s="78"/>
    </row>
    <row r="5202" spans="1:5">
      <c r="A5202" s="76" t="s">
        <v>2538</v>
      </c>
      <c r="B5202" s="77"/>
      <c r="C5202" s="78"/>
      <c r="D5202" s="78"/>
      <c r="E5202" s="78">
        <f>E5200</f>
        <v>14.86</v>
      </c>
    </row>
    <row r="5203" spans="1:5">
      <c r="A5203" s="76" t="s">
        <v>2539</v>
      </c>
      <c r="B5203" s="77"/>
      <c r="C5203" s="78"/>
      <c r="D5203" s="78">
        <v>0</v>
      </c>
      <c r="E5203" s="78">
        <f>TRUNC(D5203*E5202/100,2)</f>
        <v>0</v>
      </c>
    </row>
    <row r="5204" spans="1:5">
      <c r="A5204" s="76" t="s">
        <v>2540</v>
      </c>
      <c r="B5204" s="77"/>
      <c r="C5204" s="78"/>
      <c r="D5204" s="78"/>
      <c r="E5204" s="78">
        <f>E5202+E5203</f>
        <v>14.86</v>
      </c>
    </row>
    <row r="5205" spans="1:5">
      <c r="A5205" s="76"/>
      <c r="B5205" s="77"/>
      <c r="C5205" s="78"/>
      <c r="D5205" s="78"/>
      <c r="E5205" s="78"/>
    </row>
    <row r="5206" spans="1:5">
      <c r="A5206" s="76" t="s">
        <v>3092</v>
      </c>
      <c r="B5206" s="77" t="s">
        <v>3723</v>
      </c>
      <c r="C5206" s="78"/>
      <c r="D5206" s="78"/>
      <c r="E5206" s="78"/>
    </row>
    <row r="5207" ht="38.25" spans="1:5">
      <c r="A5207" s="76" t="s">
        <v>3724</v>
      </c>
      <c r="B5207" s="77"/>
      <c r="C5207" s="78"/>
      <c r="D5207" s="78"/>
      <c r="E5207" s="78"/>
    </row>
    <row r="5208" spans="1:5">
      <c r="A5208" s="76" t="s">
        <v>2764</v>
      </c>
      <c r="B5208" s="77"/>
      <c r="C5208" s="78"/>
      <c r="D5208" s="78"/>
      <c r="E5208" s="78"/>
    </row>
    <row r="5209" spans="1:5">
      <c r="A5209" s="76"/>
      <c r="B5209" s="77"/>
      <c r="C5209" s="78"/>
      <c r="D5209" s="78"/>
      <c r="E5209" s="78"/>
    </row>
    <row r="5210" spans="1:5">
      <c r="A5210" s="76" t="s">
        <v>2543</v>
      </c>
      <c r="B5210" s="77" t="s">
        <v>135</v>
      </c>
      <c r="C5210" s="78" t="s">
        <v>136</v>
      </c>
      <c r="D5210" s="78" t="s">
        <v>2534</v>
      </c>
      <c r="E5210" s="78" t="s">
        <v>2535</v>
      </c>
    </row>
    <row r="5211" ht="38.25" spans="1:5">
      <c r="A5211" s="76" t="s">
        <v>3719</v>
      </c>
      <c r="B5211" s="77" t="s">
        <v>494</v>
      </c>
      <c r="C5211" s="78">
        <v>5.7e-6</v>
      </c>
      <c r="D5211" s="78">
        <v>765159.12</v>
      </c>
      <c r="E5211" s="78">
        <f>TRUNC(C5211*D5211,2)</f>
        <v>4.36</v>
      </c>
    </row>
    <row r="5212" ht="25.5" spans="1:5">
      <c r="A5212" s="76" t="s">
        <v>3720</v>
      </c>
      <c r="B5212" s="77" t="s">
        <v>494</v>
      </c>
      <c r="C5212" s="78">
        <v>5.9e-6</v>
      </c>
      <c r="D5212" s="78">
        <v>279656.7</v>
      </c>
      <c r="E5212" s="78">
        <f>TRUNC(C5212*D5212,2)</f>
        <v>1.64</v>
      </c>
    </row>
    <row r="5213" spans="1:5">
      <c r="A5213" s="76" t="s">
        <v>122</v>
      </c>
      <c r="B5213" s="77"/>
      <c r="C5213" s="78"/>
      <c r="D5213" s="78"/>
      <c r="E5213" s="78">
        <f>SUM(E5211:E5212)</f>
        <v>6</v>
      </c>
    </row>
    <row r="5214" spans="1:5">
      <c r="A5214" s="76"/>
      <c r="B5214" s="77"/>
      <c r="C5214" s="78"/>
      <c r="D5214" s="78"/>
      <c r="E5214" s="78"/>
    </row>
    <row r="5215" spans="1:5">
      <c r="A5215" s="76" t="s">
        <v>2538</v>
      </c>
      <c r="B5215" s="77"/>
      <c r="C5215" s="78"/>
      <c r="D5215" s="78"/>
      <c r="E5215" s="78">
        <f>E5213</f>
        <v>6</v>
      </c>
    </row>
    <row r="5216" spans="1:5">
      <c r="A5216" s="76" t="s">
        <v>2539</v>
      </c>
      <c r="B5216" s="77"/>
      <c r="C5216" s="78"/>
      <c r="D5216" s="78">
        <v>0</v>
      </c>
      <c r="E5216" s="78">
        <f>TRUNC(D5216*E5215/100,2)</f>
        <v>0</v>
      </c>
    </row>
    <row r="5217" spans="1:5">
      <c r="A5217" s="76" t="s">
        <v>2540</v>
      </c>
      <c r="B5217" s="77"/>
      <c r="C5217" s="78"/>
      <c r="D5217" s="78"/>
      <c r="E5217" s="78">
        <f>E5215+E5216</f>
        <v>6</v>
      </c>
    </row>
    <row r="5218" spans="1:5">
      <c r="A5218" s="76"/>
      <c r="B5218" s="77"/>
      <c r="C5218" s="78"/>
      <c r="D5218" s="78"/>
      <c r="E5218" s="78"/>
    </row>
    <row r="5219" spans="1:5">
      <c r="A5219" s="76" t="s">
        <v>3092</v>
      </c>
      <c r="B5219" s="77" t="s">
        <v>3725</v>
      </c>
      <c r="C5219" s="78"/>
      <c r="D5219" s="78"/>
      <c r="E5219" s="78"/>
    </row>
    <row r="5220" ht="38.25" spans="1:5">
      <c r="A5220" s="76" t="s">
        <v>3726</v>
      </c>
      <c r="B5220" s="77"/>
      <c r="C5220" s="78"/>
      <c r="D5220" s="78"/>
      <c r="E5220" s="78"/>
    </row>
    <row r="5221" spans="1:5">
      <c r="A5221" s="76" t="s">
        <v>2764</v>
      </c>
      <c r="B5221" s="77"/>
      <c r="C5221" s="78"/>
      <c r="D5221" s="78"/>
      <c r="E5221" s="78"/>
    </row>
    <row r="5222" spans="1:5">
      <c r="A5222" s="76"/>
      <c r="B5222" s="77"/>
      <c r="C5222" s="78"/>
      <c r="D5222" s="78"/>
      <c r="E5222" s="78"/>
    </row>
    <row r="5223" spans="1:5">
      <c r="A5223" s="76" t="s">
        <v>2543</v>
      </c>
      <c r="B5223" s="77" t="s">
        <v>135</v>
      </c>
      <c r="C5223" s="78" t="s">
        <v>136</v>
      </c>
      <c r="D5223" s="78" t="s">
        <v>2534</v>
      </c>
      <c r="E5223" s="78" t="s">
        <v>2535</v>
      </c>
    </row>
    <row r="5224" ht="38.25" spans="1:5">
      <c r="A5224" s="76" t="s">
        <v>3719</v>
      </c>
      <c r="B5224" s="77" t="s">
        <v>494</v>
      </c>
      <c r="C5224" s="78">
        <v>6.42e-5</v>
      </c>
      <c r="D5224" s="78">
        <v>765159.12</v>
      </c>
      <c r="E5224" s="78">
        <f>TRUNC(C5224*D5224,2)</f>
        <v>49.12</v>
      </c>
    </row>
    <row r="5225" ht="25.5" spans="1:5">
      <c r="A5225" s="76" t="s">
        <v>3720</v>
      </c>
      <c r="B5225" s="77" t="s">
        <v>494</v>
      </c>
      <c r="C5225" s="78">
        <v>8.49e-5</v>
      </c>
      <c r="D5225" s="78">
        <v>279656.7</v>
      </c>
      <c r="E5225" s="78">
        <f>TRUNC(C5225*D5225,2)</f>
        <v>23.74</v>
      </c>
    </row>
    <row r="5226" spans="1:5">
      <c r="A5226" s="76" t="s">
        <v>122</v>
      </c>
      <c r="B5226" s="77"/>
      <c r="C5226" s="78"/>
      <c r="D5226" s="78"/>
      <c r="E5226" s="78">
        <f>SUM(E5224:E5225)</f>
        <v>72.86</v>
      </c>
    </row>
    <row r="5227" spans="1:5">
      <c r="A5227" s="76"/>
      <c r="B5227" s="77"/>
      <c r="C5227" s="78"/>
      <c r="D5227" s="78"/>
      <c r="E5227" s="78"/>
    </row>
    <row r="5228" spans="1:5">
      <c r="A5228" s="76" t="s">
        <v>2538</v>
      </c>
      <c r="B5228" s="77"/>
      <c r="C5228" s="78"/>
      <c r="D5228" s="78"/>
      <c r="E5228" s="78">
        <f>E5226</f>
        <v>72.86</v>
      </c>
    </row>
    <row r="5229" spans="1:5">
      <c r="A5229" s="76" t="s">
        <v>2539</v>
      </c>
      <c r="B5229" s="77"/>
      <c r="C5229" s="78"/>
      <c r="D5229" s="78">
        <v>0</v>
      </c>
      <c r="E5229" s="78">
        <f>TRUNC(D5229*E5228/100,2)</f>
        <v>0</v>
      </c>
    </row>
    <row r="5230" spans="1:5">
      <c r="A5230" s="76" t="s">
        <v>2540</v>
      </c>
      <c r="B5230" s="77"/>
      <c r="C5230" s="78"/>
      <c r="D5230" s="78"/>
      <c r="E5230" s="78">
        <f>E5228+E5229</f>
        <v>72.86</v>
      </c>
    </row>
    <row r="5231" spans="1:5">
      <c r="A5231" s="76"/>
      <c r="B5231" s="77"/>
      <c r="C5231" s="78"/>
      <c r="D5231" s="78"/>
      <c r="E5231" s="78"/>
    </row>
    <row r="5232" spans="1:5">
      <c r="A5232" s="76" t="s">
        <v>3092</v>
      </c>
      <c r="B5232" s="77" t="s">
        <v>3727</v>
      </c>
      <c r="C5232" s="78"/>
      <c r="D5232" s="78"/>
      <c r="E5232" s="78"/>
    </row>
    <row r="5233" ht="38.25" spans="1:5">
      <c r="A5233" s="76" t="s">
        <v>3728</v>
      </c>
      <c r="B5233" s="77"/>
      <c r="C5233" s="78"/>
      <c r="D5233" s="78"/>
      <c r="E5233" s="78"/>
    </row>
    <row r="5234" spans="1:5">
      <c r="A5234" s="76" t="s">
        <v>2764</v>
      </c>
      <c r="B5234" s="77"/>
      <c r="C5234" s="78"/>
      <c r="D5234" s="78"/>
      <c r="E5234" s="78"/>
    </row>
    <row r="5235" spans="1:5">
      <c r="A5235" s="76"/>
      <c r="B5235" s="77"/>
      <c r="C5235" s="78"/>
      <c r="D5235" s="78"/>
      <c r="E5235" s="78"/>
    </row>
    <row r="5236" spans="1:5">
      <c r="A5236" s="76" t="s">
        <v>2543</v>
      </c>
      <c r="B5236" s="77" t="s">
        <v>135</v>
      </c>
      <c r="C5236" s="78" t="s">
        <v>136</v>
      </c>
      <c r="D5236" s="78" t="s">
        <v>2534</v>
      </c>
      <c r="E5236" s="78" t="s">
        <v>2535</v>
      </c>
    </row>
    <row r="5237" spans="1:5">
      <c r="A5237" s="76" t="s">
        <v>3202</v>
      </c>
      <c r="B5237" s="77" t="s">
        <v>215</v>
      </c>
      <c r="C5237" s="78">
        <v>34</v>
      </c>
      <c r="D5237" s="78">
        <v>5.93</v>
      </c>
      <c r="E5237" s="78">
        <f>TRUNC(C5237*D5237,2)</f>
        <v>201.62</v>
      </c>
    </row>
    <row r="5238" spans="1:5">
      <c r="A5238" s="76" t="s">
        <v>122</v>
      </c>
      <c r="B5238" s="77"/>
      <c r="C5238" s="78"/>
      <c r="D5238" s="78"/>
      <c r="E5238" s="78">
        <f>SUM(E5237:E5237)</f>
        <v>201.62</v>
      </c>
    </row>
    <row r="5239" spans="1:5">
      <c r="A5239" s="76"/>
      <c r="B5239" s="77"/>
      <c r="C5239" s="78"/>
      <c r="D5239" s="78"/>
      <c r="E5239" s="78"/>
    </row>
    <row r="5240" spans="1:5">
      <c r="A5240" s="76" t="s">
        <v>2538</v>
      </c>
      <c r="B5240" s="77"/>
      <c r="C5240" s="78"/>
      <c r="D5240" s="78"/>
      <c r="E5240" s="78">
        <f>E5238</f>
        <v>201.62</v>
      </c>
    </row>
    <row r="5241" spans="1:5">
      <c r="A5241" s="76" t="s">
        <v>2539</v>
      </c>
      <c r="B5241" s="77"/>
      <c r="C5241" s="78"/>
      <c r="D5241" s="78">
        <v>0</v>
      </c>
      <c r="E5241" s="78">
        <f>TRUNC(D5241*E5240/100,2)</f>
        <v>0</v>
      </c>
    </row>
    <row r="5242" spans="1:5">
      <c r="A5242" s="76" t="s">
        <v>2540</v>
      </c>
      <c r="B5242" s="77"/>
      <c r="C5242" s="78"/>
      <c r="D5242" s="78"/>
      <c r="E5242" s="78">
        <f>E5240+E5241</f>
        <v>201.62</v>
      </c>
    </row>
    <row r="5243" spans="1:5">
      <c r="A5243" s="76"/>
      <c r="B5243" s="77"/>
      <c r="C5243" s="78"/>
      <c r="D5243" s="78"/>
      <c r="E5243" s="78"/>
    </row>
    <row r="5244" spans="1:5">
      <c r="A5244" s="76" t="s">
        <v>3092</v>
      </c>
      <c r="B5244" s="77" t="s">
        <v>3729</v>
      </c>
      <c r="C5244" s="78"/>
      <c r="D5244" s="78"/>
      <c r="E5244" s="78"/>
    </row>
    <row r="5245" ht="38.25" spans="1:5">
      <c r="A5245" s="76" t="s">
        <v>3730</v>
      </c>
      <c r="B5245" s="77"/>
      <c r="C5245" s="78"/>
      <c r="D5245" s="78"/>
      <c r="E5245" s="78"/>
    </row>
    <row r="5246" spans="1:5">
      <c r="A5246" s="76" t="s">
        <v>3091</v>
      </c>
      <c r="B5246" s="77"/>
      <c r="C5246" s="78"/>
      <c r="D5246" s="78"/>
      <c r="E5246" s="78"/>
    </row>
    <row r="5247" spans="1:5">
      <c r="A5247" s="76"/>
      <c r="B5247" s="77"/>
      <c r="C5247" s="78"/>
      <c r="D5247" s="78"/>
      <c r="E5247" s="78"/>
    </row>
    <row r="5248" spans="1:5">
      <c r="A5248" s="76" t="s">
        <v>2543</v>
      </c>
      <c r="B5248" s="77" t="s">
        <v>135</v>
      </c>
      <c r="C5248" s="78" t="s">
        <v>136</v>
      </c>
      <c r="D5248" s="78" t="s">
        <v>2534</v>
      </c>
      <c r="E5248" s="78" t="s">
        <v>2535</v>
      </c>
    </row>
    <row r="5249" spans="1:5">
      <c r="A5249" s="76" t="s">
        <v>3705</v>
      </c>
      <c r="B5249" s="77" t="s">
        <v>839</v>
      </c>
      <c r="C5249" s="78">
        <v>1</v>
      </c>
      <c r="D5249" s="78">
        <v>30.64</v>
      </c>
      <c r="E5249" s="78">
        <f>TRUNC(C5249*D5249,2)</f>
        <v>30.64</v>
      </c>
    </row>
    <row r="5250" ht="25.5" spans="1:5">
      <c r="A5250" s="76" t="s">
        <v>3706</v>
      </c>
      <c r="B5250" s="77" t="s">
        <v>839</v>
      </c>
      <c r="C5250" s="78">
        <v>1</v>
      </c>
      <c r="D5250" s="78">
        <v>43.02</v>
      </c>
      <c r="E5250" s="78">
        <f>TRUNC(C5250*D5250,2)</f>
        <v>43.02</v>
      </c>
    </row>
    <row r="5251" ht="38.25" spans="1:5">
      <c r="A5251" s="76" t="s">
        <v>3707</v>
      </c>
      <c r="B5251" s="77" t="s">
        <v>839</v>
      </c>
      <c r="C5251" s="78">
        <v>1</v>
      </c>
      <c r="D5251" s="78">
        <v>14.86</v>
      </c>
      <c r="E5251" s="78">
        <f>TRUNC(C5251*D5251,2)</f>
        <v>14.86</v>
      </c>
    </row>
    <row r="5252" ht="51" spans="1:5">
      <c r="A5252" s="76" t="s">
        <v>3708</v>
      </c>
      <c r="B5252" s="77" t="s">
        <v>839</v>
      </c>
      <c r="C5252" s="78">
        <v>1</v>
      </c>
      <c r="D5252" s="78">
        <v>6</v>
      </c>
      <c r="E5252" s="78">
        <f>TRUNC(C5252*D5252,2)</f>
        <v>6</v>
      </c>
    </row>
    <row r="5253" spans="1:5">
      <c r="A5253" s="76" t="s">
        <v>122</v>
      </c>
      <c r="B5253" s="77"/>
      <c r="C5253" s="78"/>
      <c r="D5253" s="78"/>
      <c r="E5253" s="78">
        <f>SUM(E5249:E5252)</f>
        <v>94.52</v>
      </c>
    </row>
    <row r="5254" spans="1:5">
      <c r="A5254" s="76"/>
      <c r="B5254" s="77"/>
      <c r="C5254" s="78"/>
      <c r="D5254" s="78"/>
      <c r="E5254" s="78"/>
    </row>
    <row r="5255" spans="1:5">
      <c r="A5255" s="76" t="s">
        <v>2538</v>
      </c>
      <c r="B5255" s="77"/>
      <c r="C5255" s="78"/>
      <c r="D5255" s="78"/>
      <c r="E5255" s="78">
        <f>E5253</f>
        <v>94.52</v>
      </c>
    </row>
    <row r="5256" spans="1:5">
      <c r="A5256" s="76" t="s">
        <v>2539</v>
      </c>
      <c r="B5256" s="77"/>
      <c r="C5256" s="78"/>
      <c r="D5256" s="78">
        <v>0</v>
      </c>
      <c r="E5256" s="78">
        <f>TRUNC(D5256*E5255/100,2)</f>
        <v>0</v>
      </c>
    </row>
    <row r="5257" spans="1:5">
      <c r="A5257" s="76" t="s">
        <v>2540</v>
      </c>
      <c r="B5257" s="77"/>
      <c r="C5257" s="78"/>
      <c r="D5257" s="78"/>
      <c r="E5257" s="78">
        <f>E5255+E5256</f>
        <v>94.52</v>
      </c>
    </row>
    <row r="5258" spans="1:5">
      <c r="A5258" s="76"/>
      <c r="B5258" s="77"/>
      <c r="C5258" s="78"/>
      <c r="D5258" s="78"/>
      <c r="E5258" s="78"/>
    </row>
    <row r="5259" spans="1:5">
      <c r="A5259" s="76" t="s">
        <v>3092</v>
      </c>
      <c r="B5259" s="77" t="s">
        <v>3731</v>
      </c>
      <c r="C5259" s="78"/>
      <c r="D5259" s="78"/>
      <c r="E5259" s="78"/>
    </row>
    <row r="5260" ht="38.25" spans="1:5">
      <c r="A5260" s="76" t="s">
        <v>3732</v>
      </c>
      <c r="B5260" s="77"/>
      <c r="C5260" s="78"/>
      <c r="D5260" s="78"/>
      <c r="E5260" s="78"/>
    </row>
    <row r="5261" spans="1:5">
      <c r="A5261" s="76" t="s">
        <v>3085</v>
      </c>
      <c r="B5261" s="77"/>
      <c r="C5261" s="78"/>
      <c r="D5261" s="78"/>
      <c r="E5261" s="78"/>
    </row>
    <row r="5262" spans="1:5">
      <c r="A5262" s="76"/>
      <c r="B5262" s="77"/>
      <c r="C5262" s="78"/>
      <c r="D5262" s="78"/>
      <c r="E5262" s="78"/>
    </row>
    <row r="5263" spans="1:5">
      <c r="A5263" s="76" t="s">
        <v>2543</v>
      </c>
      <c r="B5263" s="77" t="s">
        <v>135</v>
      </c>
      <c r="C5263" s="78" t="s">
        <v>136</v>
      </c>
      <c r="D5263" s="78" t="s">
        <v>2534</v>
      </c>
      <c r="E5263" s="78" t="s">
        <v>2535</v>
      </c>
    </row>
    <row r="5264" spans="1:5">
      <c r="A5264" s="76" t="s">
        <v>3705</v>
      </c>
      <c r="B5264" s="77" t="s">
        <v>839</v>
      </c>
      <c r="C5264" s="78">
        <v>1</v>
      </c>
      <c r="D5264" s="78">
        <v>30.64</v>
      </c>
      <c r="E5264" s="78">
        <f t="shared" ref="E5264:E5269" si="50">TRUNC(C5264*D5264,2)</f>
        <v>30.64</v>
      </c>
    </row>
    <row r="5265" ht="38.25" spans="1:5">
      <c r="A5265" s="76" t="s">
        <v>3733</v>
      </c>
      <c r="B5265" s="77" t="s">
        <v>839</v>
      </c>
      <c r="C5265" s="78">
        <v>1</v>
      </c>
      <c r="D5265" s="78">
        <v>40.19</v>
      </c>
      <c r="E5265" s="78">
        <f t="shared" si="50"/>
        <v>40.19</v>
      </c>
    </row>
    <row r="5266" ht="38.25" spans="1:5">
      <c r="A5266" s="76" t="s">
        <v>3734</v>
      </c>
      <c r="B5266" s="77" t="s">
        <v>839</v>
      </c>
      <c r="C5266" s="78">
        <v>1</v>
      </c>
      <c r="D5266" s="78">
        <v>14.12</v>
      </c>
      <c r="E5266" s="78">
        <f t="shared" si="50"/>
        <v>14.12</v>
      </c>
    </row>
    <row r="5267" ht="38.25" spans="1:5">
      <c r="A5267" s="76" t="s">
        <v>3735</v>
      </c>
      <c r="B5267" s="77" t="s">
        <v>839</v>
      </c>
      <c r="C5267" s="78">
        <v>1</v>
      </c>
      <c r="D5267" s="78">
        <v>68.72</v>
      </c>
      <c r="E5267" s="78">
        <f t="shared" si="50"/>
        <v>68.72</v>
      </c>
    </row>
    <row r="5268" ht="51" spans="1:5">
      <c r="A5268" s="76" t="s">
        <v>3736</v>
      </c>
      <c r="B5268" s="77" t="s">
        <v>839</v>
      </c>
      <c r="C5268" s="78">
        <v>1</v>
      </c>
      <c r="D5268" s="78">
        <v>174.75</v>
      </c>
      <c r="E5268" s="78">
        <f t="shared" si="50"/>
        <v>174.75</v>
      </c>
    </row>
    <row r="5269" ht="51" spans="1:5">
      <c r="A5269" s="76" t="s">
        <v>3737</v>
      </c>
      <c r="B5269" s="77" t="s">
        <v>839</v>
      </c>
      <c r="C5269" s="78">
        <v>1</v>
      </c>
      <c r="D5269" s="78">
        <v>5.7</v>
      </c>
      <c r="E5269" s="78">
        <f t="shared" si="50"/>
        <v>5.7</v>
      </c>
    </row>
    <row r="5270" spans="1:5">
      <c r="A5270" s="76" t="s">
        <v>122</v>
      </c>
      <c r="B5270" s="77"/>
      <c r="C5270" s="78"/>
      <c r="D5270" s="78"/>
      <c r="E5270" s="78">
        <f>SUM(E5264:E5269)</f>
        <v>334.12</v>
      </c>
    </row>
    <row r="5271" spans="1:5">
      <c r="A5271" s="76"/>
      <c r="B5271" s="77"/>
      <c r="C5271" s="78"/>
      <c r="D5271" s="78"/>
      <c r="E5271" s="78"/>
    </row>
    <row r="5272" spans="1:5">
      <c r="A5272" s="76" t="s">
        <v>2538</v>
      </c>
      <c r="B5272" s="77"/>
      <c r="C5272" s="78"/>
      <c r="D5272" s="78"/>
      <c r="E5272" s="78">
        <f>E5270</f>
        <v>334.12</v>
      </c>
    </row>
    <row r="5273" spans="1:5">
      <c r="A5273" s="76" t="s">
        <v>2539</v>
      </c>
      <c r="B5273" s="77"/>
      <c r="C5273" s="78"/>
      <c r="D5273" s="78">
        <v>0</v>
      </c>
      <c r="E5273" s="78">
        <f>TRUNC(D5273*E5272/100,2)</f>
        <v>0</v>
      </c>
    </row>
    <row r="5274" spans="1:5">
      <c r="A5274" s="76" t="s">
        <v>2540</v>
      </c>
      <c r="B5274" s="77"/>
      <c r="C5274" s="78"/>
      <c r="D5274" s="78"/>
      <c r="E5274" s="78">
        <f>E5272+E5273</f>
        <v>334.12</v>
      </c>
    </row>
    <row r="5275" spans="1:5">
      <c r="A5275" s="76"/>
      <c r="B5275" s="77"/>
      <c r="C5275" s="78"/>
      <c r="D5275" s="78"/>
      <c r="E5275" s="78"/>
    </row>
    <row r="5276" spans="1:5">
      <c r="A5276" s="76" t="s">
        <v>3092</v>
      </c>
      <c r="B5276" s="77" t="s">
        <v>3738</v>
      </c>
      <c r="C5276" s="78"/>
      <c r="D5276" s="78"/>
      <c r="E5276" s="78"/>
    </row>
    <row r="5277" ht="38.25" spans="1:5">
      <c r="A5277" s="76" t="s">
        <v>3739</v>
      </c>
      <c r="B5277" s="77"/>
      <c r="C5277" s="78"/>
      <c r="D5277" s="78"/>
      <c r="E5277" s="78"/>
    </row>
    <row r="5278" spans="1:5">
      <c r="A5278" s="76" t="s">
        <v>2764</v>
      </c>
      <c r="B5278" s="77"/>
      <c r="C5278" s="78"/>
      <c r="D5278" s="78"/>
      <c r="E5278" s="78"/>
    </row>
    <row r="5279" spans="1:5">
      <c r="A5279" s="76"/>
      <c r="B5279" s="77"/>
      <c r="C5279" s="78"/>
      <c r="D5279" s="78"/>
      <c r="E5279" s="78"/>
    </row>
    <row r="5280" spans="1:5">
      <c r="A5280" s="76" t="s">
        <v>2543</v>
      </c>
      <c r="B5280" s="77" t="s">
        <v>135</v>
      </c>
      <c r="C5280" s="78" t="s">
        <v>136</v>
      </c>
      <c r="D5280" s="78" t="s">
        <v>2534</v>
      </c>
      <c r="E5280" s="78" t="s">
        <v>2535</v>
      </c>
    </row>
    <row r="5281" ht="38.25" spans="1:5">
      <c r="A5281" s="76" t="s">
        <v>3740</v>
      </c>
      <c r="B5281" s="77" t="s">
        <v>494</v>
      </c>
      <c r="C5281" s="78">
        <v>3.42e-5</v>
      </c>
      <c r="D5281" s="78">
        <v>755977.34</v>
      </c>
      <c r="E5281" s="78">
        <f>TRUNC(C5281*D5281,2)</f>
        <v>25.85</v>
      </c>
    </row>
    <row r="5282" ht="25.5" spans="1:5">
      <c r="A5282" s="76" t="s">
        <v>3741</v>
      </c>
      <c r="B5282" s="77" t="s">
        <v>494</v>
      </c>
      <c r="C5282" s="78">
        <v>6.03e-5</v>
      </c>
      <c r="D5282" s="78">
        <v>237841.37</v>
      </c>
      <c r="E5282" s="78">
        <f>TRUNC(C5282*D5282,2)</f>
        <v>14.34</v>
      </c>
    </row>
    <row r="5283" spans="1:5">
      <c r="A5283" s="76" t="s">
        <v>122</v>
      </c>
      <c r="B5283" s="77"/>
      <c r="C5283" s="78"/>
      <c r="D5283" s="78"/>
      <c r="E5283" s="78">
        <f>SUM(E5281:E5282)</f>
        <v>40.19</v>
      </c>
    </row>
    <row r="5284" spans="1:5">
      <c r="A5284" s="76"/>
      <c r="B5284" s="77"/>
      <c r="C5284" s="78"/>
      <c r="D5284" s="78"/>
      <c r="E5284" s="78"/>
    </row>
    <row r="5285" spans="1:5">
      <c r="A5285" s="76" t="s">
        <v>2538</v>
      </c>
      <c r="B5285" s="77"/>
      <c r="C5285" s="78"/>
      <c r="D5285" s="78"/>
      <c r="E5285" s="78">
        <f>E5283</f>
        <v>40.19</v>
      </c>
    </row>
    <row r="5286" spans="1:5">
      <c r="A5286" s="76" t="s">
        <v>2539</v>
      </c>
      <c r="B5286" s="77"/>
      <c r="C5286" s="78"/>
      <c r="D5286" s="78">
        <v>0</v>
      </c>
      <c r="E5286" s="78">
        <f>TRUNC(D5286*E5285/100,2)</f>
        <v>0</v>
      </c>
    </row>
    <row r="5287" spans="1:5">
      <c r="A5287" s="76" t="s">
        <v>2540</v>
      </c>
      <c r="B5287" s="77"/>
      <c r="C5287" s="78"/>
      <c r="D5287" s="78"/>
      <c r="E5287" s="78">
        <f>E5285+E5286</f>
        <v>40.19</v>
      </c>
    </row>
    <row r="5288" spans="1:5">
      <c r="A5288" s="76"/>
      <c r="B5288" s="77"/>
      <c r="C5288" s="78"/>
      <c r="D5288" s="78"/>
      <c r="E5288" s="78"/>
    </row>
    <row r="5289" spans="1:5">
      <c r="A5289" s="76" t="s">
        <v>3092</v>
      </c>
      <c r="B5289" s="77" t="s">
        <v>3742</v>
      </c>
      <c r="C5289" s="78"/>
      <c r="D5289" s="78"/>
      <c r="E5289" s="78"/>
    </row>
    <row r="5290" ht="38.25" spans="1:5">
      <c r="A5290" s="76" t="s">
        <v>3743</v>
      </c>
      <c r="B5290" s="77"/>
      <c r="C5290" s="78"/>
      <c r="D5290" s="78"/>
      <c r="E5290" s="78"/>
    </row>
    <row r="5291" spans="1:5">
      <c r="A5291" s="76" t="s">
        <v>2764</v>
      </c>
      <c r="B5291" s="77"/>
      <c r="C5291" s="78"/>
      <c r="D5291" s="78"/>
      <c r="E5291" s="78"/>
    </row>
    <row r="5292" spans="1:5">
      <c r="A5292" s="76"/>
      <c r="B5292" s="77"/>
      <c r="C5292" s="78"/>
      <c r="D5292" s="78"/>
      <c r="E5292" s="78"/>
    </row>
    <row r="5293" spans="1:5">
      <c r="A5293" s="76" t="s">
        <v>2543</v>
      </c>
      <c r="B5293" s="77" t="s">
        <v>135</v>
      </c>
      <c r="C5293" s="78" t="s">
        <v>136</v>
      </c>
      <c r="D5293" s="78" t="s">
        <v>2534</v>
      </c>
      <c r="E5293" s="78" t="s">
        <v>2535</v>
      </c>
    </row>
    <row r="5294" ht="38.25" spans="1:5">
      <c r="A5294" s="76" t="s">
        <v>3740</v>
      </c>
      <c r="B5294" s="77" t="s">
        <v>494</v>
      </c>
      <c r="C5294" s="78">
        <v>1.41e-5</v>
      </c>
      <c r="D5294" s="78">
        <v>755977.34</v>
      </c>
      <c r="E5294" s="78">
        <f>TRUNC(C5294*D5294,2)</f>
        <v>10.65</v>
      </c>
    </row>
    <row r="5295" ht="25.5" spans="1:5">
      <c r="A5295" s="76" t="s">
        <v>3741</v>
      </c>
      <c r="B5295" s="77" t="s">
        <v>494</v>
      </c>
      <c r="C5295" s="78">
        <v>1.46e-5</v>
      </c>
      <c r="D5295" s="78">
        <v>237841.37</v>
      </c>
      <c r="E5295" s="78">
        <f>TRUNC(C5295*D5295,2)</f>
        <v>3.47</v>
      </c>
    </row>
    <row r="5296" spans="1:5">
      <c r="A5296" s="76" t="s">
        <v>122</v>
      </c>
      <c r="B5296" s="77"/>
      <c r="C5296" s="78"/>
      <c r="D5296" s="78"/>
      <c r="E5296" s="78">
        <f>SUM(E5294:E5295)</f>
        <v>14.12</v>
      </c>
    </row>
    <row r="5297" spans="1:5">
      <c r="A5297" s="76"/>
      <c r="B5297" s="77"/>
      <c r="C5297" s="78"/>
      <c r="D5297" s="78"/>
      <c r="E5297" s="78"/>
    </row>
    <row r="5298" spans="1:5">
      <c r="A5298" s="76" t="s">
        <v>2538</v>
      </c>
      <c r="B5298" s="77"/>
      <c r="C5298" s="78"/>
      <c r="D5298" s="78"/>
      <c r="E5298" s="78">
        <f>E5296</f>
        <v>14.12</v>
      </c>
    </row>
    <row r="5299" spans="1:5">
      <c r="A5299" s="76" t="s">
        <v>2539</v>
      </c>
      <c r="B5299" s="77"/>
      <c r="C5299" s="78"/>
      <c r="D5299" s="78">
        <v>0</v>
      </c>
      <c r="E5299" s="78">
        <f>TRUNC(D5299*E5298/100,2)</f>
        <v>0</v>
      </c>
    </row>
    <row r="5300" spans="1:5">
      <c r="A5300" s="76" t="s">
        <v>2540</v>
      </c>
      <c r="B5300" s="77"/>
      <c r="C5300" s="78"/>
      <c r="D5300" s="78"/>
      <c r="E5300" s="78">
        <f>E5298+E5299</f>
        <v>14.12</v>
      </c>
    </row>
    <row r="5301" spans="1:5">
      <c r="A5301" s="76"/>
      <c r="B5301" s="77"/>
      <c r="C5301" s="78"/>
      <c r="D5301" s="78"/>
      <c r="E5301" s="78"/>
    </row>
    <row r="5302" spans="1:5">
      <c r="A5302" s="76" t="s">
        <v>3092</v>
      </c>
      <c r="B5302" s="77" t="s">
        <v>3744</v>
      </c>
      <c r="C5302" s="78"/>
      <c r="D5302" s="78"/>
      <c r="E5302" s="78"/>
    </row>
    <row r="5303" ht="38.25" spans="1:5">
      <c r="A5303" s="76" t="s">
        <v>3745</v>
      </c>
      <c r="B5303" s="77"/>
      <c r="C5303" s="78"/>
      <c r="D5303" s="78"/>
      <c r="E5303" s="78"/>
    </row>
    <row r="5304" spans="1:5">
      <c r="A5304" s="76" t="s">
        <v>2764</v>
      </c>
      <c r="B5304" s="77"/>
      <c r="C5304" s="78"/>
      <c r="D5304" s="78"/>
      <c r="E5304" s="78"/>
    </row>
    <row r="5305" spans="1:5">
      <c r="A5305" s="76"/>
      <c r="B5305" s="77"/>
      <c r="C5305" s="78"/>
      <c r="D5305" s="78"/>
      <c r="E5305" s="78"/>
    </row>
    <row r="5306" spans="1:5">
      <c r="A5306" s="76" t="s">
        <v>2543</v>
      </c>
      <c r="B5306" s="77" t="s">
        <v>135</v>
      </c>
      <c r="C5306" s="78" t="s">
        <v>136</v>
      </c>
      <c r="D5306" s="78" t="s">
        <v>2534</v>
      </c>
      <c r="E5306" s="78" t="s">
        <v>2535</v>
      </c>
    </row>
    <row r="5307" ht="38.25" spans="1:5">
      <c r="A5307" s="76" t="s">
        <v>3740</v>
      </c>
      <c r="B5307" s="77" t="s">
        <v>494</v>
      </c>
      <c r="C5307" s="78">
        <v>6.42e-5</v>
      </c>
      <c r="D5307" s="78">
        <v>755977.34</v>
      </c>
      <c r="E5307" s="78">
        <f>TRUNC(C5307*D5307,2)</f>
        <v>48.53</v>
      </c>
    </row>
    <row r="5308" ht="25.5" spans="1:5">
      <c r="A5308" s="76" t="s">
        <v>3741</v>
      </c>
      <c r="B5308" s="77" t="s">
        <v>494</v>
      </c>
      <c r="C5308" s="78">
        <v>8.49e-5</v>
      </c>
      <c r="D5308" s="78">
        <v>237841.37</v>
      </c>
      <c r="E5308" s="78">
        <f>TRUNC(C5308*D5308,2)</f>
        <v>20.19</v>
      </c>
    </row>
    <row r="5309" spans="1:5">
      <c r="A5309" s="76" t="s">
        <v>122</v>
      </c>
      <c r="B5309" s="77"/>
      <c r="C5309" s="78"/>
      <c r="D5309" s="78"/>
      <c r="E5309" s="78">
        <f>SUM(E5307:E5308)</f>
        <v>68.72</v>
      </c>
    </row>
    <row r="5310" spans="1:5">
      <c r="A5310" s="76"/>
      <c r="B5310" s="77"/>
      <c r="C5310" s="78"/>
      <c r="D5310" s="78"/>
      <c r="E5310" s="78"/>
    </row>
    <row r="5311" spans="1:5">
      <c r="A5311" s="76" t="s">
        <v>2538</v>
      </c>
      <c r="B5311" s="77"/>
      <c r="C5311" s="78"/>
      <c r="D5311" s="78"/>
      <c r="E5311" s="78">
        <f>E5309</f>
        <v>68.72</v>
      </c>
    </row>
    <row r="5312" spans="1:5">
      <c r="A5312" s="76" t="s">
        <v>2539</v>
      </c>
      <c r="B5312" s="77"/>
      <c r="C5312" s="78"/>
      <c r="D5312" s="78">
        <v>0</v>
      </c>
      <c r="E5312" s="78">
        <f>TRUNC(D5312*E5311/100,2)</f>
        <v>0</v>
      </c>
    </row>
    <row r="5313" spans="1:5">
      <c r="A5313" s="76" t="s">
        <v>2540</v>
      </c>
      <c r="B5313" s="77"/>
      <c r="C5313" s="78"/>
      <c r="D5313" s="78"/>
      <c r="E5313" s="78">
        <f>E5311+E5312</f>
        <v>68.72</v>
      </c>
    </row>
    <row r="5314" spans="1:5">
      <c r="A5314" s="76"/>
      <c r="B5314" s="77"/>
      <c r="C5314" s="78"/>
      <c r="D5314" s="78"/>
      <c r="E5314" s="78"/>
    </row>
    <row r="5315" spans="1:5">
      <c r="A5315" s="76" t="s">
        <v>3092</v>
      </c>
      <c r="B5315" s="77" t="s">
        <v>3746</v>
      </c>
      <c r="C5315" s="78"/>
      <c r="D5315" s="78"/>
      <c r="E5315" s="78"/>
    </row>
    <row r="5316" ht="38.25" spans="1:5">
      <c r="A5316" s="76" t="s">
        <v>3747</v>
      </c>
      <c r="B5316" s="77"/>
      <c r="C5316" s="78"/>
      <c r="D5316" s="78"/>
      <c r="E5316" s="78"/>
    </row>
    <row r="5317" spans="1:5">
      <c r="A5317" s="76" t="s">
        <v>2764</v>
      </c>
      <c r="B5317" s="77"/>
      <c r="C5317" s="78"/>
      <c r="D5317" s="78"/>
      <c r="E5317" s="78"/>
    </row>
    <row r="5318" spans="1:5">
      <c r="A5318" s="76"/>
      <c r="B5318" s="77"/>
      <c r="C5318" s="78"/>
      <c r="D5318" s="78"/>
      <c r="E5318" s="78"/>
    </row>
    <row r="5319" spans="1:5">
      <c r="A5319" s="76" t="s">
        <v>2543</v>
      </c>
      <c r="B5319" s="77" t="s">
        <v>135</v>
      </c>
      <c r="C5319" s="78" t="s">
        <v>136</v>
      </c>
      <c r="D5319" s="78" t="s">
        <v>2534</v>
      </c>
      <c r="E5319" s="78" t="s">
        <v>2535</v>
      </c>
    </row>
    <row r="5320" spans="1:5">
      <c r="A5320" s="76" t="s">
        <v>3202</v>
      </c>
      <c r="B5320" s="77" t="s">
        <v>215</v>
      </c>
      <c r="C5320" s="78">
        <v>29.47</v>
      </c>
      <c r="D5320" s="78">
        <v>5.93</v>
      </c>
      <c r="E5320" s="78">
        <f>TRUNC(C5320*D5320,2)</f>
        <v>174.75</v>
      </c>
    </row>
    <row r="5321" spans="1:5">
      <c r="A5321" s="76" t="s">
        <v>122</v>
      </c>
      <c r="B5321" s="77"/>
      <c r="C5321" s="78"/>
      <c r="D5321" s="78"/>
      <c r="E5321" s="78">
        <f>SUM(E5320:E5320)</f>
        <v>174.75</v>
      </c>
    </row>
    <row r="5322" spans="1:5">
      <c r="A5322" s="76"/>
      <c r="B5322" s="77"/>
      <c r="C5322" s="78"/>
      <c r="D5322" s="78"/>
      <c r="E5322" s="78"/>
    </row>
    <row r="5323" spans="1:5">
      <c r="A5323" s="76" t="s">
        <v>2538</v>
      </c>
      <c r="B5323" s="77"/>
      <c r="C5323" s="78"/>
      <c r="D5323" s="78"/>
      <c r="E5323" s="78">
        <f>E5321</f>
        <v>174.75</v>
      </c>
    </row>
    <row r="5324" spans="1:5">
      <c r="A5324" s="76" t="s">
        <v>2539</v>
      </c>
      <c r="B5324" s="77"/>
      <c r="C5324" s="78"/>
      <c r="D5324" s="78">
        <v>0</v>
      </c>
      <c r="E5324" s="78">
        <f>TRUNC(D5324*E5323/100,2)</f>
        <v>0</v>
      </c>
    </row>
    <row r="5325" spans="1:5">
      <c r="A5325" s="76" t="s">
        <v>2540</v>
      </c>
      <c r="B5325" s="77"/>
      <c r="C5325" s="78"/>
      <c r="D5325" s="78"/>
      <c r="E5325" s="78">
        <f>E5323+E5324</f>
        <v>174.75</v>
      </c>
    </row>
    <row r="5326" spans="1:5">
      <c r="A5326" s="76"/>
      <c r="B5326" s="77"/>
      <c r="C5326" s="78"/>
      <c r="D5326" s="78"/>
      <c r="E5326" s="78"/>
    </row>
    <row r="5327" spans="1:5">
      <c r="A5327" s="76" t="s">
        <v>3092</v>
      </c>
      <c r="B5327" s="77" t="s">
        <v>3748</v>
      </c>
      <c r="C5327" s="78"/>
      <c r="D5327" s="78"/>
      <c r="E5327" s="78"/>
    </row>
    <row r="5328" ht="38.25" spans="1:5">
      <c r="A5328" s="76" t="s">
        <v>3749</v>
      </c>
      <c r="B5328" s="77"/>
      <c r="C5328" s="78"/>
      <c r="D5328" s="78"/>
      <c r="E5328" s="78"/>
    </row>
    <row r="5329" spans="1:5">
      <c r="A5329" s="76" t="s">
        <v>2764</v>
      </c>
      <c r="B5329" s="77"/>
      <c r="C5329" s="78"/>
      <c r="D5329" s="78"/>
      <c r="E5329" s="78"/>
    </row>
    <row r="5330" spans="1:5">
      <c r="A5330" s="76"/>
      <c r="B5330" s="77"/>
      <c r="C5330" s="78"/>
      <c r="D5330" s="78"/>
      <c r="E5330" s="78"/>
    </row>
    <row r="5331" spans="1:5">
      <c r="A5331" s="76" t="s">
        <v>2543</v>
      </c>
      <c r="B5331" s="77" t="s">
        <v>135</v>
      </c>
      <c r="C5331" s="78" t="s">
        <v>136</v>
      </c>
      <c r="D5331" s="78" t="s">
        <v>2534</v>
      </c>
      <c r="E5331" s="78" t="s">
        <v>2535</v>
      </c>
    </row>
    <row r="5332" ht="38.25" spans="1:5">
      <c r="A5332" s="76" t="s">
        <v>3740</v>
      </c>
      <c r="B5332" s="77" t="s">
        <v>494</v>
      </c>
      <c r="C5332" s="78">
        <v>5.7e-6</v>
      </c>
      <c r="D5332" s="78">
        <v>755977.34</v>
      </c>
      <c r="E5332" s="78">
        <f>TRUNC(C5332*D5332,2)</f>
        <v>4.3</v>
      </c>
    </row>
    <row r="5333" ht="25.5" spans="1:5">
      <c r="A5333" s="76" t="s">
        <v>3741</v>
      </c>
      <c r="B5333" s="77" t="s">
        <v>494</v>
      </c>
      <c r="C5333" s="78">
        <v>5.9e-6</v>
      </c>
      <c r="D5333" s="78">
        <v>237841.37</v>
      </c>
      <c r="E5333" s="78">
        <f>TRUNC(C5333*D5333,2)</f>
        <v>1.4</v>
      </c>
    </row>
    <row r="5334" spans="1:5">
      <c r="A5334" s="76" t="s">
        <v>122</v>
      </c>
      <c r="B5334" s="77"/>
      <c r="C5334" s="78"/>
      <c r="D5334" s="78"/>
      <c r="E5334" s="78">
        <f>SUM(E5332:E5333)</f>
        <v>5.7</v>
      </c>
    </row>
    <row r="5335" spans="1:5">
      <c r="A5335" s="76"/>
      <c r="B5335" s="77"/>
      <c r="C5335" s="78"/>
      <c r="D5335" s="78"/>
      <c r="E5335" s="78"/>
    </row>
    <row r="5336" spans="1:5">
      <c r="A5336" s="76" t="s">
        <v>2538</v>
      </c>
      <c r="B5336" s="77"/>
      <c r="C5336" s="78"/>
      <c r="D5336" s="78"/>
      <c r="E5336" s="78">
        <f>E5334</f>
        <v>5.7</v>
      </c>
    </row>
    <row r="5337" spans="1:5">
      <c r="A5337" s="76" t="s">
        <v>2539</v>
      </c>
      <c r="B5337" s="77"/>
      <c r="C5337" s="78"/>
      <c r="D5337" s="78">
        <v>0</v>
      </c>
      <c r="E5337" s="78">
        <f>TRUNC(D5337*E5336/100,2)</f>
        <v>0</v>
      </c>
    </row>
    <row r="5338" spans="1:5">
      <c r="A5338" s="76" t="s">
        <v>2540</v>
      </c>
      <c r="B5338" s="77"/>
      <c r="C5338" s="78"/>
      <c r="D5338" s="78"/>
      <c r="E5338" s="78">
        <f>E5336+E5337</f>
        <v>5.7</v>
      </c>
    </row>
    <row r="5339" spans="1:5">
      <c r="A5339" s="76"/>
      <c r="B5339" s="77"/>
      <c r="C5339" s="78"/>
      <c r="D5339" s="78"/>
      <c r="E5339" s="78"/>
    </row>
    <row r="5340" spans="1:5">
      <c r="A5340" s="76" t="s">
        <v>3092</v>
      </c>
      <c r="B5340" s="77" t="s">
        <v>3750</v>
      </c>
      <c r="C5340" s="78"/>
      <c r="D5340" s="78"/>
      <c r="E5340" s="78"/>
    </row>
    <row r="5341" ht="38.25" spans="1:5">
      <c r="A5341" s="76" t="s">
        <v>3751</v>
      </c>
      <c r="B5341" s="77"/>
      <c r="C5341" s="78"/>
      <c r="D5341" s="78"/>
      <c r="E5341" s="78"/>
    </row>
    <row r="5342" spans="1:5">
      <c r="A5342" s="76" t="s">
        <v>3091</v>
      </c>
      <c r="B5342" s="77"/>
      <c r="C5342" s="78"/>
      <c r="D5342" s="78"/>
      <c r="E5342" s="78"/>
    </row>
    <row r="5343" spans="1:5">
      <c r="A5343" s="76"/>
      <c r="B5343" s="77"/>
      <c r="C5343" s="78"/>
      <c r="D5343" s="78"/>
      <c r="E5343" s="78"/>
    </row>
    <row r="5344" spans="1:5">
      <c r="A5344" s="76" t="s">
        <v>2543</v>
      </c>
      <c r="B5344" s="77" t="s">
        <v>135</v>
      </c>
      <c r="C5344" s="78" t="s">
        <v>136</v>
      </c>
      <c r="D5344" s="78" t="s">
        <v>2534</v>
      </c>
      <c r="E5344" s="78" t="s">
        <v>2535</v>
      </c>
    </row>
    <row r="5345" spans="1:5">
      <c r="A5345" s="76" t="s">
        <v>3705</v>
      </c>
      <c r="B5345" s="77" t="s">
        <v>839</v>
      </c>
      <c r="C5345" s="78">
        <v>1</v>
      </c>
      <c r="D5345" s="78">
        <v>30.64</v>
      </c>
      <c r="E5345" s="78">
        <f>TRUNC(C5345*D5345,2)</f>
        <v>30.64</v>
      </c>
    </row>
    <row r="5346" ht="38.25" spans="1:5">
      <c r="A5346" s="76" t="s">
        <v>3733</v>
      </c>
      <c r="B5346" s="77" t="s">
        <v>839</v>
      </c>
      <c r="C5346" s="78">
        <v>1</v>
      </c>
      <c r="D5346" s="78">
        <v>40.19</v>
      </c>
      <c r="E5346" s="78">
        <f>TRUNC(C5346*D5346,2)</f>
        <v>40.19</v>
      </c>
    </row>
    <row r="5347" ht="38.25" spans="1:5">
      <c r="A5347" s="76" t="s">
        <v>3734</v>
      </c>
      <c r="B5347" s="77" t="s">
        <v>839</v>
      </c>
      <c r="C5347" s="78">
        <v>1</v>
      </c>
      <c r="D5347" s="78">
        <v>14.12</v>
      </c>
      <c r="E5347" s="78">
        <f>TRUNC(C5347*D5347,2)</f>
        <v>14.12</v>
      </c>
    </row>
    <row r="5348" ht="51" spans="1:5">
      <c r="A5348" s="76" t="s">
        <v>3737</v>
      </c>
      <c r="B5348" s="77" t="s">
        <v>839</v>
      </c>
      <c r="C5348" s="78">
        <v>1</v>
      </c>
      <c r="D5348" s="78">
        <v>5.7</v>
      </c>
      <c r="E5348" s="78">
        <f>TRUNC(C5348*D5348,2)</f>
        <v>5.7</v>
      </c>
    </row>
    <row r="5349" spans="1:5">
      <c r="A5349" s="76" t="s">
        <v>122</v>
      </c>
      <c r="B5349" s="77"/>
      <c r="C5349" s="78"/>
      <c r="D5349" s="78"/>
      <c r="E5349" s="78">
        <f>SUM(E5345:E5348)</f>
        <v>90.65</v>
      </c>
    </row>
    <row r="5350" spans="1:5">
      <c r="A5350" s="76"/>
      <c r="B5350" s="77"/>
      <c r="C5350" s="78"/>
      <c r="D5350" s="78"/>
      <c r="E5350" s="78"/>
    </row>
    <row r="5351" spans="1:5">
      <c r="A5351" s="76" t="s">
        <v>2538</v>
      </c>
      <c r="B5351" s="77"/>
      <c r="C5351" s="78"/>
      <c r="D5351" s="78"/>
      <c r="E5351" s="78">
        <f>E5349</f>
        <v>90.65</v>
      </c>
    </row>
    <row r="5352" spans="1:5">
      <c r="A5352" s="76" t="s">
        <v>2539</v>
      </c>
      <c r="B5352" s="77"/>
      <c r="C5352" s="78"/>
      <c r="D5352" s="78">
        <v>0</v>
      </c>
      <c r="E5352" s="78">
        <f>TRUNC(D5352*E5351/100,2)</f>
        <v>0</v>
      </c>
    </row>
    <row r="5353" spans="1:5">
      <c r="A5353" s="76" t="s">
        <v>2540</v>
      </c>
      <c r="B5353" s="77"/>
      <c r="C5353" s="78"/>
      <c r="D5353" s="78"/>
      <c r="E5353" s="78">
        <f>E5351+E5352</f>
        <v>90.65</v>
      </c>
    </row>
    <row r="5354" spans="1:5">
      <c r="A5354" s="76"/>
      <c r="B5354" s="77"/>
      <c r="C5354" s="78"/>
      <c r="D5354" s="78"/>
      <c r="E5354" s="78"/>
    </row>
    <row r="5355" spans="1:5">
      <c r="A5355" s="76" t="s">
        <v>3092</v>
      </c>
      <c r="B5355" s="77" t="s">
        <v>3752</v>
      </c>
      <c r="C5355" s="78"/>
      <c r="D5355" s="78"/>
      <c r="E5355" s="78"/>
    </row>
    <row r="5356" ht="38.25" spans="1:5">
      <c r="A5356" s="76" t="s">
        <v>3753</v>
      </c>
      <c r="B5356" s="77"/>
      <c r="C5356" s="78"/>
      <c r="D5356" s="78"/>
      <c r="E5356" s="78"/>
    </row>
    <row r="5357" spans="1:5">
      <c r="A5357" s="76" t="s">
        <v>3085</v>
      </c>
      <c r="B5357" s="77"/>
      <c r="C5357" s="78"/>
      <c r="D5357" s="78"/>
      <c r="E5357" s="78"/>
    </row>
    <row r="5358" spans="1:5">
      <c r="A5358" s="76"/>
      <c r="B5358" s="77"/>
      <c r="C5358" s="78"/>
      <c r="D5358" s="78"/>
      <c r="E5358" s="78"/>
    </row>
    <row r="5359" spans="1:5">
      <c r="A5359" s="76" t="s">
        <v>2543</v>
      </c>
      <c r="B5359" s="77" t="s">
        <v>135</v>
      </c>
      <c r="C5359" s="78" t="s">
        <v>136</v>
      </c>
      <c r="D5359" s="78" t="s">
        <v>2534</v>
      </c>
      <c r="E5359" s="78" t="s">
        <v>2535</v>
      </c>
    </row>
    <row r="5360" spans="1:5">
      <c r="A5360" s="76" t="s">
        <v>3705</v>
      </c>
      <c r="B5360" s="77" t="s">
        <v>839</v>
      </c>
      <c r="C5360" s="78">
        <v>1</v>
      </c>
      <c r="D5360" s="78">
        <v>30.64</v>
      </c>
      <c r="E5360" s="78">
        <f t="shared" ref="E5360:E5365" si="51">TRUNC(C5360*D5360,2)</f>
        <v>30.64</v>
      </c>
    </row>
    <row r="5361" ht="38.25" spans="1:5">
      <c r="A5361" s="76" t="s">
        <v>3754</v>
      </c>
      <c r="B5361" s="77" t="s">
        <v>839</v>
      </c>
      <c r="C5361" s="78">
        <v>1</v>
      </c>
      <c r="D5361" s="78">
        <v>23.16</v>
      </c>
      <c r="E5361" s="78">
        <f t="shared" si="51"/>
        <v>23.16</v>
      </c>
    </row>
    <row r="5362" ht="38.25" spans="1:5">
      <c r="A5362" s="76" t="s">
        <v>3755</v>
      </c>
      <c r="B5362" s="77" t="s">
        <v>839</v>
      </c>
      <c r="C5362" s="78">
        <v>1</v>
      </c>
      <c r="D5362" s="78">
        <v>8.92</v>
      </c>
      <c r="E5362" s="78">
        <f t="shared" si="51"/>
        <v>8.92</v>
      </c>
    </row>
    <row r="5363" ht="38.25" spans="1:5">
      <c r="A5363" s="76" t="s">
        <v>3756</v>
      </c>
      <c r="B5363" s="77" t="s">
        <v>839</v>
      </c>
      <c r="C5363" s="78">
        <v>1</v>
      </c>
      <c r="D5363" s="78">
        <v>80.76</v>
      </c>
      <c r="E5363" s="78">
        <f t="shared" si="51"/>
        <v>80.76</v>
      </c>
    </row>
    <row r="5364" ht="38.25" spans="1:5">
      <c r="A5364" s="76" t="s">
        <v>3757</v>
      </c>
      <c r="B5364" s="77" t="s">
        <v>839</v>
      </c>
      <c r="C5364" s="78">
        <v>1</v>
      </c>
      <c r="D5364" s="78">
        <v>41.76</v>
      </c>
      <c r="E5364" s="78">
        <f t="shared" si="51"/>
        <v>41.76</v>
      </c>
    </row>
    <row r="5365" ht="38.25" spans="1:5">
      <c r="A5365" s="76" t="s">
        <v>3758</v>
      </c>
      <c r="B5365" s="77" t="s">
        <v>839</v>
      </c>
      <c r="C5365" s="78">
        <v>1</v>
      </c>
      <c r="D5365" s="78">
        <v>3.6</v>
      </c>
      <c r="E5365" s="78">
        <f t="shared" si="51"/>
        <v>3.6</v>
      </c>
    </row>
    <row r="5366" spans="1:5">
      <c r="A5366" s="76" t="s">
        <v>122</v>
      </c>
      <c r="B5366" s="77"/>
      <c r="C5366" s="78"/>
      <c r="D5366" s="78"/>
      <c r="E5366" s="78">
        <f>SUM(E5360:E5365)</f>
        <v>188.84</v>
      </c>
    </row>
    <row r="5367" spans="1:5">
      <c r="A5367" s="76"/>
      <c r="B5367" s="77"/>
      <c r="C5367" s="78"/>
      <c r="D5367" s="78"/>
      <c r="E5367" s="78"/>
    </row>
    <row r="5368" spans="1:5">
      <c r="A5368" s="76" t="s">
        <v>2538</v>
      </c>
      <c r="B5368" s="77"/>
      <c r="C5368" s="78"/>
      <c r="D5368" s="78"/>
      <c r="E5368" s="78">
        <f>E5366</f>
        <v>188.84</v>
      </c>
    </row>
    <row r="5369" spans="1:5">
      <c r="A5369" s="76" t="s">
        <v>2539</v>
      </c>
      <c r="B5369" s="77"/>
      <c r="C5369" s="78"/>
      <c r="D5369" s="78">
        <v>0</v>
      </c>
      <c r="E5369" s="78">
        <f>TRUNC(D5369*E5368/100,2)</f>
        <v>0</v>
      </c>
    </row>
    <row r="5370" spans="1:5">
      <c r="A5370" s="76" t="s">
        <v>2540</v>
      </c>
      <c r="B5370" s="77"/>
      <c r="C5370" s="78"/>
      <c r="D5370" s="78"/>
      <c r="E5370" s="78">
        <f>E5368+E5369</f>
        <v>188.84</v>
      </c>
    </row>
    <row r="5371" spans="1:5">
      <c r="A5371" s="76"/>
      <c r="B5371" s="77"/>
      <c r="C5371" s="78"/>
      <c r="D5371" s="78"/>
      <c r="E5371" s="78"/>
    </row>
    <row r="5372" spans="1:5">
      <c r="A5372" s="76" t="s">
        <v>3092</v>
      </c>
      <c r="B5372" s="77" t="s">
        <v>3759</v>
      </c>
      <c r="C5372" s="78"/>
      <c r="D5372" s="78"/>
      <c r="E5372" s="78"/>
    </row>
    <row r="5373" ht="38.25" spans="1:5">
      <c r="A5373" s="76" t="s">
        <v>3760</v>
      </c>
      <c r="B5373" s="77"/>
      <c r="C5373" s="78"/>
      <c r="D5373" s="78"/>
      <c r="E5373" s="78"/>
    </row>
    <row r="5374" spans="1:5">
      <c r="A5374" s="76" t="s">
        <v>2764</v>
      </c>
      <c r="B5374" s="77"/>
      <c r="C5374" s="78"/>
      <c r="D5374" s="78"/>
      <c r="E5374" s="78"/>
    </row>
    <row r="5375" spans="1:5">
      <c r="A5375" s="76"/>
      <c r="B5375" s="77"/>
      <c r="C5375" s="78"/>
      <c r="D5375" s="78"/>
      <c r="E5375" s="78"/>
    </row>
    <row r="5376" spans="1:5">
      <c r="A5376" s="76" t="s">
        <v>279</v>
      </c>
      <c r="B5376" s="77" t="s">
        <v>135</v>
      </c>
      <c r="C5376" s="78" t="s">
        <v>136</v>
      </c>
      <c r="D5376" s="78" t="s">
        <v>2534</v>
      </c>
      <c r="E5376" s="78" t="s">
        <v>2535</v>
      </c>
    </row>
    <row r="5377" ht="38.25" spans="1:5">
      <c r="A5377" s="76" t="s">
        <v>3323</v>
      </c>
      <c r="B5377" s="77" t="s">
        <v>494</v>
      </c>
      <c r="C5377" s="78">
        <v>3.42e-5</v>
      </c>
      <c r="D5377" s="78">
        <v>569580.71</v>
      </c>
      <c r="E5377" s="78">
        <f>TRUNC(C5377*D5377,2)</f>
        <v>19.47</v>
      </c>
    </row>
    <row r="5378" spans="1:5">
      <c r="A5378" s="76" t="s">
        <v>122</v>
      </c>
      <c r="B5378" s="77"/>
      <c r="C5378" s="78"/>
      <c r="D5378" s="78"/>
      <c r="E5378" s="78">
        <f>SUM(E5377:E5377)</f>
        <v>19.47</v>
      </c>
    </row>
    <row r="5379" spans="1:5">
      <c r="A5379" s="76"/>
      <c r="B5379" s="77"/>
      <c r="C5379" s="78"/>
      <c r="D5379" s="78"/>
      <c r="E5379" s="78"/>
    </row>
    <row r="5380" spans="1:5">
      <c r="A5380" s="76" t="s">
        <v>2543</v>
      </c>
      <c r="B5380" s="77" t="s">
        <v>135</v>
      </c>
      <c r="C5380" s="78" t="s">
        <v>136</v>
      </c>
      <c r="D5380" s="78" t="s">
        <v>2534</v>
      </c>
      <c r="E5380" s="78" t="s">
        <v>2535</v>
      </c>
    </row>
    <row r="5381" ht="25.5" spans="1:5">
      <c r="A5381" s="76" t="s">
        <v>3761</v>
      </c>
      <c r="B5381" s="77" t="s">
        <v>494</v>
      </c>
      <c r="C5381" s="78">
        <v>6.03e-5</v>
      </c>
      <c r="D5381" s="78">
        <v>61258.13</v>
      </c>
      <c r="E5381" s="78">
        <f>TRUNC(C5381*D5381,2)</f>
        <v>3.69</v>
      </c>
    </row>
    <row r="5382" spans="1:5">
      <c r="A5382" s="76" t="s">
        <v>122</v>
      </c>
      <c r="B5382" s="77"/>
      <c r="C5382" s="78"/>
      <c r="D5382" s="78"/>
      <c r="E5382" s="78">
        <f>SUM(E5381:E5381)</f>
        <v>3.69</v>
      </c>
    </row>
    <row r="5383" spans="1:5">
      <c r="A5383" s="76"/>
      <c r="B5383" s="77"/>
      <c r="C5383" s="78"/>
      <c r="D5383" s="78"/>
      <c r="E5383" s="78"/>
    </row>
    <row r="5384" spans="1:5">
      <c r="A5384" s="76" t="s">
        <v>2538</v>
      </c>
      <c r="B5384" s="77"/>
      <c r="C5384" s="78"/>
      <c r="D5384" s="78"/>
      <c r="E5384" s="78">
        <f>E5378+E5382</f>
        <v>23.16</v>
      </c>
    </row>
    <row r="5385" spans="1:5">
      <c r="A5385" s="76" t="s">
        <v>2539</v>
      </c>
      <c r="B5385" s="77"/>
      <c r="C5385" s="78"/>
      <c r="D5385" s="78">
        <v>0</v>
      </c>
      <c r="E5385" s="78">
        <f>TRUNC(D5385*E5384/100,2)</f>
        <v>0</v>
      </c>
    </row>
    <row r="5386" spans="1:5">
      <c r="A5386" s="76" t="s">
        <v>2540</v>
      </c>
      <c r="B5386" s="77"/>
      <c r="C5386" s="78"/>
      <c r="D5386" s="78"/>
      <c r="E5386" s="78">
        <f>E5384+E5385</f>
        <v>23.16</v>
      </c>
    </row>
    <row r="5387" spans="1:5">
      <c r="A5387" s="76"/>
      <c r="B5387" s="77"/>
      <c r="C5387" s="78"/>
      <c r="D5387" s="78"/>
      <c r="E5387" s="78"/>
    </row>
    <row r="5388" spans="1:5">
      <c r="A5388" s="76" t="s">
        <v>3092</v>
      </c>
      <c r="B5388" s="77" t="s">
        <v>3762</v>
      </c>
      <c r="C5388" s="78"/>
      <c r="D5388" s="78"/>
      <c r="E5388" s="78"/>
    </row>
    <row r="5389" ht="38.25" spans="1:5">
      <c r="A5389" s="76" t="s">
        <v>3763</v>
      </c>
      <c r="B5389" s="77"/>
      <c r="C5389" s="78"/>
      <c r="D5389" s="78"/>
      <c r="E5389" s="78"/>
    </row>
    <row r="5390" spans="1:5">
      <c r="A5390" s="76" t="s">
        <v>2764</v>
      </c>
      <c r="B5390" s="77"/>
      <c r="C5390" s="78"/>
      <c r="D5390" s="78"/>
      <c r="E5390" s="78"/>
    </row>
    <row r="5391" spans="1:5">
      <c r="A5391" s="76"/>
      <c r="B5391" s="77"/>
      <c r="C5391" s="78"/>
      <c r="D5391" s="78"/>
      <c r="E5391" s="78"/>
    </row>
    <row r="5392" spans="1:5">
      <c r="A5392" s="76" t="s">
        <v>279</v>
      </c>
      <c r="B5392" s="77" t="s">
        <v>135</v>
      </c>
      <c r="C5392" s="78" t="s">
        <v>136</v>
      </c>
      <c r="D5392" s="78" t="s">
        <v>2534</v>
      </c>
      <c r="E5392" s="78" t="s">
        <v>2535</v>
      </c>
    </row>
    <row r="5393" ht="38.25" spans="1:5">
      <c r="A5393" s="76" t="s">
        <v>3323</v>
      </c>
      <c r="B5393" s="77" t="s">
        <v>494</v>
      </c>
      <c r="C5393" s="78">
        <v>1.41e-5</v>
      </c>
      <c r="D5393" s="78">
        <v>569580.71</v>
      </c>
      <c r="E5393" s="78">
        <f>TRUNC(C5393*D5393,2)</f>
        <v>8.03</v>
      </c>
    </row>
    <row r="5394" spans="1:5">
      <c r="A5394" s="76" t="s">
        <v>122</v>
      </c>
      <c r="B5394" s="77"/>
      <c r="C5394" s="78"/>
      <c r="D5394" s="78"/>
      <c r="E5394" s="78">
        <f>SUM(E5393:E5393)</f>
        <v>8.03</v>
      </c>
    </row>
    <row r="5395" spans="1:5">
      <c r="A5395" s="76"/>
      <c r="B5395" s="77"/>
      <c r="C5395" s="78"/>
      <c r="D5395" s="78"/>
      <c r="E5395" s="78"/>
    </row>
    <row r="5396" spans="1:5">
      <c r="A5396" s="76" t="s">
        <v>2543</v>
      </c>
      <c r="B5396" s="77" t="s">
        <v>135</v>
      </c>
      <c r="C5396" s="78" t="s">
        <v>136</v>
      </c>
      <c r="D5396" s="78" t="s">
        <v>2534</v>
      </c>
      <c r="E5396" s="78" t="s">
        <v>2535</v>
      </c>
    </row>
    <row r="5397" ht="25.5" spans="1:5">
      <c r="A5397" s="76" t="s">
        <v>3761</v>
      </c>
      <c r="B5397" s="77" t="s">
        <v>494</v>
      </c>
      <c r="C5397" s="78">
        <v>1.46e-5</v>
      </c>
      <c r="D5397" s="78">
        <v>61258.13</v>
      </c>
      <c r="E5397" s="78">
        <f>TRUNC(C5397*D5397,2)</f>
        <v>0.89</v>
      </c>
    </row>
    <row r="5398" spans="1:5">
      <c r="A5398" s="76" t="s">
        <v>122</v>
      </c>
      <c r="B5398" s="77"/>
      <c r="C5398" s="78"/>
      <c r="D5398" s="78"/>
      <c r="E5398" s="78">
        <f>SUM(E5397:E5397)</f>
        <v>0.89</v>
      </c>
    </row>
    <row r="5399" spans="1:5">
      <c r="A5399" s="76"/>
      <c r="B5399" s="77"/>
      <c r="C5399" s="78"/>
      <c r="D5399" s="78"/>
      <c r="E5399" s="78"/>
    </row>
    <row r="5400" spans="1:5">
      <c r="A5400" s="76" t="s">
        <v>2538</v>
      </c>
      <c r="B5400" s="77"/>
      <c r="C5400" s="78"/>
      <c r="D5400" s="78"/>
      <c r="E5400" s="78">
        <f>E5394+E5398</f>
        <v>8.92</v>
      </c>
    </row>
    <row r="5401" spans="1:5">
      <c r="A5401" s="76" t="s">
        <v>2539</v>
      </c>
      <c r="B5401" s="77"/>
      <c r="C5401" s="78"/>
      <c r="D5401" s="78">
        <v>0</v>
      </c>
      <c r="E5401" s="78">
        <f>TRUNC(D5401*E5400/100,2)</f>
        <v>0</v>
      </c>
    </row>
    <row r="5402" spans="1:5">
      <c r="A5402" s="76" t="s">
        <v>2540</v>
      </c>
      <c r="B5402" s="77"/>
      <c r="C5402" s="78"/>
      <c r="D5402" s="78"/>
      <c r="E5402" s="78">
        <f>E5400+E5401</f>
        <v>8.92</v>
      </c>
    </row>
    <row r="5403" spans="1:5">
      <c r="A5403" s="76"/>
      <c r="B5403" s="77"/>
      <c r="C5403" s="78"/>
      <c r="D5403" s="78"/>
      <c r="E5403" s="78"/>
    </row>
    <row r="5404" spans="1:5">
      <c r="A5404" s="76" t="s">
        <v>3092</v>
      </c>
      <c r="B5404" s="77" t="s">
        <v>3764</v>
      </c>
      <c r="C5404" s="78"/>
      <c r="D5404" s="78"/>
      <c r="E5404" s="78"/>
    </row>
    <row r="5405" ht="38.25" spans="1:5">
      <c r="A5405" s="76" t="s">
        <v>3765</v>
      </c>
      <c r="B5405" s="77"/>
      <c r="C5405" s="78"/>
      <c r="D5405" s="78"/>
      <c r="E5405" s="78"/>
    </row>
    <row r="5406" spans="1:5">
      <c r="A5406" s="76" t="s">
        <v>2764</v>
      </c>
      <c r="B5406" s="77"/>
      <c r="C5406" s="78"/>
      <c r="D5406" s="78"/>
      <c r="E5406" s="78"/>
    </row>
    <row r="5407" spans="1:5">
      <c r="A5407" s="76"/>
      <c r="B5407" s="77"/>
      <c r="C5407" s="78"/>
      <c r="D5407" s="78"/>
      <c r="E5407" s="78"/>
    </row>
    <row r="5408" spans="1:5">
      <c r="A5408" s="76" t="s">
        <v>2543</v>
      </c>
      <c r="B5408" s="77" t="s">
        <v>135</v>
      </c>
      <c r="C5408" s="78" t="s">
        <v>136</v>
      </c>
      <c r="D5408" s="78" t="s">
        <v>2534</v>
      </c>
      <c r="E5408" s="78" t="s">
        <v>2535</v>
      </c>
    </row>
    <row r="5409" spans="1:5">
      <c r="A5409" s="76" t="s">
        <v>3202</v>
      </c>
      <c r="B5409" s="77" t="s">
        <v>215</v>
      </c>
      <c r="C5409" s="78">
        <v>13.62</v>
      </c>
      <c r="D5409" s="78">
        <v>5.93</v>
      </c>
      <c r="E5409" s="78">
        <f>TRUNC(C5409*D5409,2)</f>
        <v>80.76</v>
      </c>
    </row>
    <row r="5410" spans="1:5">
      <c r="A5410" s="76" t="s">
        <v>122</v>
      </c>
      <c r="B5410" s="77"/>
      <c r="C5410" s="78"/>
      <c r="D5410" s="78"/>
      <c r="E5410" s="78">
        <f>SUM(E5409:E5409)</f>
        <v>80.76</v>
      </c>
    </row>
    <row r="5411" spans="1:5">
      <c r="A5411" s="76"/>
      <c r="B5411" s="77"/>
      <c r="C5411" s="78"/>
      <c r="D5411" s="78"/>
      <c r="E5411" s="78"/>
    </row>
    <row r="5412" spans="1:5">
      <c r="A5412" s="76" t="s">
        <v>2538</v>
      </c>
      <c r="B5412" s="77"/>
      <c r="C5412" s="78"/>
      <c r="D5412" s="78"/>
      <c r="E5412" s="78">
        <f>E5410</f>
        <v>80.76</v>
      </c>
    </row>
    <row r="5413" spans="1:5">
      <c r="A5413" s="76" t="s">
        <v>2539</v>
      </c>
      <c r="B5413" s="77"/>
      <c r="C5413" s="78"/>
      <c r="D5413" s="78">
        <v>0</v>
      </c>
      <c r="E5413" s="78">
        <f>TRUNC(D5413*E5412/100,2)</f>
        <v>0</v>
      </c>
    </row>
    <row r="5414" spans="1:5">
      <c r="A5414" s="76" t="s">
        <v>2540</v>
      </c>
      <c r="B5414" s="77"/>
      <c r="C5414" s="78"/>
      <c r="D5414" s="78"/>
      <c r="E5414" s="78">
        <f>E5412+E5413</f>
        <v>80.76</v>
      </c>
    </row>
    <row r="5415" spans="1:5">
      <c r="A5415" s="76"/>
      <c r="B5415" s="77"/>
      <c r="C5415" s="78"/>
      <c r="D5415" s="78"/>
      <c r="E5415" s="78"/>
    </row>
    <row r="5416" spans="1:5">
      <c r="A5416" s="76" t="s">
        <v>3092</v>
      </c>
      <c r="B5416" s="77" t="s">
        <v>3766</v>
      </c>
      <c r="C5416" s="78"/>
      <c r="D5416" s="78"/>
      <c r="E5416" s="78"/>
    </row>
    <row r="5417" ht="38.25" spans="1:5">
      <c r="A5417" s="76" t="s">
        <v>3767</v>
      </c>
      <c r="B5417" s="77"/>
      <c r="C5417" s="78"/>
      <c r="D5417" s="78"/>
      <c r="E5417" s="78"/>
    </row>
    <row r="5418" spans="1:5">
      <c r="A5418" s="76" t="s">
        <v>2764</v>
      </c>
      <c r="B5418" s="77"/>
      <c r="C5418" s="78"/>
      <c r="D5418" s="78"/>
      <c r="E5418" s="78"/>
    </row>
    <row r="5419" spans="1:5">
      <c r="A5419" s="76"/>
      <c r="B5419" s="77"/>
      <c r="C5419" s="78"/>
      <c r="D5419" s="78"/>
      <c r="E5419" s="78"/>
    </row>
    <row r="5420" spans="1:5">
      <c r="A5420" s="76" t="s">
        <v>279</v>
      </c>
      <c r="B5420" s="77" t="s">
        <v>135</v>
      </c>
      <c r="C5420" s="78" t="s">
        <v>136</v>
      </c>
      <c r="D5420" s="78" t="s">
        <v>2534</v>
      </c>
      <c r="E5420" s="78" t="s">
        <v>2535</v>
      </c>
    </row>
    <row r="5421" ht="38.25" spans="1:5">
      <c r="A5421" s="76" t="s">
        <v>3323</v>
      </c>
      <c r="B5421" s="77" t="s">
        <v>494</v>
      </c>
      <c r="C5421" s="78">
        <v>6.42e-5</v>
      </c>
      <c r="D5421" s="78">
        <v>569580.71</v>
      </c>
      <c r="E5421" s="78">
        <f>TRUNC(C5421*D5421,2)</f>
        <v>36.56</v>
      </c>
    </row>
    <row r="5422" spans="1:5">
      <c r="A5422" s="76" t="s">
        <v>122</v>
      </c>
      <c r="B5422" s="77"/>
      <c r="C5422" s="78"/>
      <c r="D5422" s="78"/>
      <c r="E5422" s="78">
        <f>SUM(E5421:E5421)</f>
        <v>36.56</v>
      </c>
    </row>
    <row r="5423" spans="1:5">
      <c r="A5423" s="76"/>
      <c r="B5423" s="77"/>
      <c r="C5423" s="78"/>
      <c r="D5423" s="78"/>
      <c r="E5423" s="78"/>
    </row>
    <row r="5424" spans="1:5">
      <c r="A5424" s="76" t="s">
        <v>2543</v>
      </c>
      <c r="B5424" s="77" t="s">
        <v>135</v>
      </c>
      <c r="C5424" s="78" t="s">
        <v>136</v>
      </c>
      <c r="D5424" s="78" t="s">
        <v>2534</v>
      </c>
      <c r="E5424" s="78" t="s">
        <v>2535</v>
      </c>
    </row>
    <row r="5425" ht="25.5" spans="1:5">
      <c r="A5425" s="76" t="s">
        <v>3761</v>
      </c>
      <c r="B5425" s="77" t="s">
        <v>494</v>
      </c>
      <c r="C5425" s="78">
        <v>8.49e-5</v>
      </c>
      <c r="D5425" s="78">
        <v>61258.13</v>
      </c>
      <c r="E5425" s="78">
        <f>TRUNC(C5425*D5425,2)</f>
        <v>5.2</v>
      </c>
    </row>
    <row r="5426" spans="1:5">
      <c r="A5426" s="76" t="s">
        <v>122</v>
      </c>
      <c r="B5426" s="77"/>
      <c r="C5426" s="78"/>
      <c r="D5426" s="78"/>
      <c r="E5426" s="78">
        <f>SUM(E5425:E5425)</f>
        <v>5.2</v>
      </c>
    </row>
    <row r="5427" spans="1:5">
      <c r="A5427" s="76"/>
      <c r="B5427" s="77"/>
      <c r="C5427" s="78"/>
      <c r="D5427" s="78"/>
      <c r="E5427" s="78"/>
    </row>
    <row r="5428" spans="1:5">
      <c r="A5428" s="76" t="s">
        <v>2538</v>
      </c>
      <c r="B5428" s="77"/>
      <c r="C5428" s="78"/>
      <c r="D5428" s="78"/>
      <c r="E5428" s="78">
        <f>E5422+E5426</f>
        <v>41.76</v>
      </c>
    </row>
    <row r="5429" spans="1:5">
      <c r="A5429" s="76" t="s">
        <v>2539</v>
      </c>
      <c r="B5429" s="77"/>
      <c r="C5429" s="78"/>
      <c r="D5429" s="78">
        <v>0</v>
      </c>
      <c r="E5429" s="78">
        <f>TRUNC(D5429*E5428/100,2)</f>
        <v>0</v>
      </c>
    </row>
    <row r="5430" spans="1:5">
      <c r="A5430" s="76" t="s">
        <v>2540</v>
      </c>
      <c r="B5430" s="77"/>
      <c r="C5430" s="78"/>
      <c r="D5430" s="78"/>
      <c r="E5430" s="78">
        <f>E5428+E5429</f>
        <v>41.76</v>
      </c>
    </row>
    <row r="5431" spans="1:5">
      <c r="A5431" s="76"/>
      <c r="B5431" s="77"/>
      <c r="C5431" s="78"/>
      <c r="D5431" s="78"/>
      <c r="E5431" s="78"/>
    </row>
    <row r="5432" spans="1:5">
      <c r="A5432" s="76" t="s">
        <v>3092</v>
      </c>
      <c r="B5432" s="77" t="s">
        <v>3768</v>
      </c>
      <c r="C5432" s="78"/>
      <c r="D5432" s="78"/>
      <c r="E5432" s="78"/>
    </row>
    <row r="5433" ht="38.25" spans="1:5">
      <c r="A5433" s="76" t="s">
        <v>3769</v>
      </c>
      <c r="B5433" s="77"/>
      <c r="C5433" s="78"/>
      <c r="D5433" s="78"/>
      <c r="E5433" s="78"/>
    </row>
    <row r="5434" spans="1:5">
      <c r="A5434" s="76" t="s">
        <v>2764</v>
      </c>
      <c r="B5434" s="77"/>
      <c r="C5434" s="78"/>
      <c r="D5434" s="78"/>
      <c r="E5434" s="78"/>
    </row>
    <row r="5435" spans="1:5">
      <c r="A5435" s="76"/>
      <c r="B5435" s="77"/>
      <c r="C5435" s="78"/>
      <c r="D5435" s="78"/>
      <c r="E5435" s="78"/>
    </row>
    <row r="5436" spans="1:5">
      <c r="A5436" s="76" t="s">
        <v>279</v>
      </c>
      <c r="B5436" s="77" t="s">
        <v>135</v>
      </c>
      <c r="C5436" s="78" t="s">
        <v>136</v>
      </c>
      <c r="D5436" s="78" t="s">
        <v>2534</v>
      </c>
      <c r="E5436" s="78" t="s">
        <v>2535</v>
      </c>
    </row>
    <row r="5437" ht="38.25" spans="1:5">
      <c r="A5437" s="76" t="s">
        <v>3323</v>
      </c>
      <c r="B5437" s="77" t="s">
        <v>494</v>
      </c>
      <c r="C5437" s="78">
        <v>5.7e-6</v>
      </c>
      <c r="D5437" s="78">
        <v>569580.71</v>
      </c>
      <c r="E5437" s="78">
        <f>TRUNC(C5437*D5437,2)</f>
        <v>3.24</v>
      </c>
    </row>
    <row r="5438" spans="1:5">
      <c r="A5438" s="76" t="s">
        <v>122</v>
      </c>
      <c r="B5438" s="77"/>
      <c r="C5438" s="78"/>
      <c r="D5438" s="78"/>
      <c r="E5438" s="78">
        <f>SUM(E5437:E5437)</f>
        <v>3.24</v>
      </c>
    </row>
    <row r="5439" spans="1:5">
      <c r="A5439" s="76"/>
      <c r="B5439" s="77"/>
      <c r="C5439" s="78"/>
      <c r="D5439" s="78"/>
      <c r="E5439" s="78"/>
    </row>
    <row r="5440" spans="1:5">
      <c r="A5440" s="76" t="s">
        <v>2543</v>
      </c>
      <c r="B5440" s="77" t="s">
        <v>135</v>
      </c>
      <c r="C5440" s="78" t="s">
        <v>136</v>
      </c>
      <c r="D5440" s="78" t="s">
        <v>2534</v>
      </c>
      <c r="E5440" s="78" t="s">
        <v>2535</v>
      </c>
    </row>
    <row r="5441" ht="25.5" spans="1:5">
      <c r="A5441" s="76" t="s">
        <v>3761</v>
      </c>
      <c r="B5441" s="77" t="s">
        <v>494</v>
      </c>
      <c r="C5441" s="78">
        <v>5.9e-6</v>
      </c>
      <c r="D5441" s="78">
        <v>61258.13</v>
      </c>
      <c r="E5441" s="78">
        <f>TRUNC(C5441*D5441,2)</f>
        <v>0.36</v>
      </c>
    </row>
    <row r="5442" spans="1:5">
      <c r="A5442" s="76" t="s">
        <v>122</v>
      </c>
      <c r="B5442" s="77"/>
      <c r="C5442" s="78"/>
      <c r="D5442" s="78"/>
      <c r="E5442" s="78">
        <f>SUM(E5441:E5441)</f>
        <v>0.36</v>
      </c>
    </row>
    <row r="5443" spans="1:5">
      <c r="A5443" s="76"/>
      <c r="B5443" s="77"/>
      <c r="C5443" s="78"/>
      <c r="D5443" s="78"/>
      <c r="E5443" s="78"/>
    </row>
    <row r="5444" spans="1:5">
      <c r="A5444" s="76" t="s">
        <v>2538</v>
      </c>
      <c r="B5444" s="77"/>
      <c r="C5444" s="78"/>
      <c r="D5444" s="78"/>
      <c r="E5444" s="78">
        <f>E5438+E5442</f>
        <v>3.6</v>
      </c>
    </row>
    <row r="5445" spans="1:5">
      <c r="A5445" s="76" t="s">
        <v>2539</v>
      </c>
      <c r="B5445" s="77"/>
      <c r="C5445" s="78"/>
      <c r="D5445" s="78">
        <v>0</v>
      </c>
      <c r="E5445" s="78">
        <f>TRUNC(D5445*E5444/100,2)</f>
        <v>0</v>
      </c>
    </row>
    <row r="5446" spans="1:5">
      <c r="A5446" s="76" t="s">
        <v>2540</v>
      </c>
      <c r="B5446" s="77"/>
      <c r="C5446" s="78"/>
      <c r="D5446" s="78"/>
      <c r="E5446" s="78">
        <f>E5444+E5445</f>
        <v>3.6</v>
      </c>
    </row>
    <row r="5447" spans="1:5">
      <c r="A5447" s="76"/>
      <c r="B5447" s="77"/>
      <c r="C5447" s="78"/>
      <c r="D5447" s="78"/>
      <c r="E5447" s="78"/>
    </row>
    <row r="5448" spans="1:5">
      <c r="A5448" s="76" t="s">
        <v>3092</v>
      </c>
      <c r="B5448" s="77" t="s">
        <v>3770</v>
      </c>
      <c r="C5448" s="78"/>
      <c r="D5448" s="78"/>
      <c r="E5448" s="78"/>
    </row>
    <row r="5449" ht="38.25" spans="1:5">
      <c r="A5449" s="76" t="s">
        <v>3771</v>
      </c>
      <c r="B5449" s="77"/>
      <c r="C5449" s="78"/>
      <c r="D5449" s="78"/>
      <c r="E5449" s="78"/>
    </row>
    <row r="5450" spans="1:5">
      <c r="A5450" s="76" t="s">
        <v>3091</v>
      </c>
      <c r="B5450" s="77"/>
      <c r="C5450" s="78"/>
      <c r="D5450" s="78"/>
      <c r="E5450" s="78"/>
    </row>
    <row r="5451" spans="1:5">
      <c r="A5451" s="76"/>
      <c r="B5451" s="77"/>
      <c r="C5451" s="78"/>
      <c r="D5451" s="78"/>
      <c r="E5451" s="78"/>
    </row>
    <row r="5452" spans="1:5">
      <c r="A5452" s="76" t="s">
        <v>2543</v>
      </c>
      <c r="B5452" s="77" t="s">
        <v>135</v>
      </c>
      <c r="C5452" s="78" t="s">
        <v>136</v>
      </c>
      <c r="D5452" s="78" t="s">
        <v>2534</v>
      </c>
      <c r="E5452" s="78" t="s">
        <v>2535</v>
      </c>
    </row>
    <row r="5453" spans="1:5">
      <c r="A5453" s="76" t="s">
        <v>3705</v>
      </c>
      <c r="B5453" s="77" t="s">
        <v>839</v>
      </c>
      <c r="C5453" s="78">
        <v>1</v>
      </c>
      <c r="D5453" s="78">
        <v>30.64</v>
      </c>
      <c r="E5453" s="78">
        <f>TRUNC(C5453*D5453,2)</f>
        <v>30.64</v>
      </c>
    </row>
    <row r="5454" ht="38.25" spans="1:5">
      <c r="A5454" s="76" t="s">
        <v>3754</v>
      </c>
      <c r="B5454" s="77" t="s">
        <v>839</v>
      </c>
      <c r="C5454" s="78">
        <v>1</v>
      </c>
      <c r="D5454" s="78">
        <v>23.16</v>
      </c>
      <c r="E5454" s="78">
        <f>TRUNC(C5454*D5454,2)</f>
        <v>23.16</v>
      </c>
    </row>
    <row r="5455" ht="38.25" spans="1:5">
      <c r="A5455" s="76" t="s">
        <v>3755</v>
      </c>
      <c r="B5455" s="77" t="s">
        <v>839</v>
      </c>
      <c r="C5455" s="78">
        <v>1</v>
      </c>
      <c r="D5455" s="78">
        <v>8.92</v>
      </c>
      <c r="E5455" s="78">
        <f>TRUNC(C5455*D5455,2)</f>
        <v>8.92</v>
      </c>
    </row>
    <row r="5456" ht="38.25" spans="1:5">
      <c r="A5456" s="76" t="s">
        <v>3758</v>
      </c>
      <c r="B5456" s="77" t="s">
        <v>839</v>
      </c>
      <c r="C5456" s="78">
        <v>1</v>
      </c>
      <c r="D5456" s="78">
        <v>3.6</v>
      </c>
      <c r="E5456" s="78">
        <f>TRUNC(C5456*D5456,2)</f>
        <v>3.6</v>
      </c>
    </row>
    <row r="5457" spans="1:5">
      <c r="A5457" s="76" t="s">
        <v>122</v>
      </c>
      <c r="B5457" s="77"/>
      <c r="C5457" s="78"/>
      <c r="D5457" s="78"/>
      <c r="E5457" s="78">
        <f>SUM(E5453:E5456)</f>
        <v>66.32</v>
      </c>
    </row>
    <row r="5458" spans="1:5">
      <c r="A5458" s="76"/>
      <c r="B5458" s="77"/>
      <c r="C5458" s="78"/>
      <c r="D5458" s="78"/>
      <c r="E5458" s="78"/>
    </row>
    <row r="5459" spans="1:5">
      <c r="A5459" s="76" t="s">
        <v>2538</v>
      </c>
      <c r="B5459" s="77"/>
      <c r="C5459" s="78"/>
      <c r="D5459" s="78"/>
      <c r="E5459" s="78">
        <f>E5457</f>
        <v>66.32</v>
      </c>
    </row>
    <row r="5460" spans="1:5">
      <c r="A5460" s="76" t="s">
        <v>2539</v>
      </c>
      <c r="B5460" s="77"/>
      <c r="C5460" s="78"/>
      <c r="D5460" s="78">
        <v>0</v>
      </c>
      <c r="E5460" s="78">
        <f>TRUNC(D5460*E5459/100,2)</f>
        <v>0</v>
      </c>
    </row>
    <row r="5461" spans="1:5">
      <c r="A5461" s="76" t="s">
        <v>2540</v>
      </c>
      <c r="B5461" s="77"/>
      <c r="C5461" s="78"/>
      <c r="D5461" s="78"/>
      <c r="E5461" s="78">
        <f>E5459+E5460</f>
        <v>66.32</v>
      </c>
    </row>
    <row r="5462" spans="1:5">
      <c r="A5462" s="76"/>
      <c r="B5462" s="77"/>
      <c r="C5462" s="78"/>
      <c r="D5462" s="78"/>
      <c r="E5462" s="78"/>
    </row>
    <row r="5463" spans="1:5">
      <c r="A5463" s="76" t="s">
        <v>3092</v>
      </c>
      <c r="B5463" s="77" t="s">
        <v>3772</v>
      </c>
      <c r="C5463" s="78"/>
      <c r="D5463" s="78"/>
      <c r="E5463" s="78"/>
    </row>
    <row r="5464" ht="25.5" spans="1:5">
      <c r="A5464" s="76" t="s">
        <v>3773</v>
      </c>
      <c r="B5464" s="77"/>
      <c r="C5464" s="78"/>
      <c r="D5464" s="78"/>
      <c r="E5464" s="78"/>
    </row>
    <row r="5465" spans="1:5">
      <c r="A5465" s="76" t="s">
        <v>3085</v>
      </c>
      <c r="B5465" s="77"/>
      <c r="C5465" s="78"/>
      <c r="D5465" s="78"/>
      <c r="E5465" s="78"/>
    </row>
    <row r="5466" spans="1:5">
      <c r="A5466" s="76"/>
      <c r="B5466" s="77"/>
      <c r="C5466" s="78"/>
      <c r="D5466" s="78"/>
      <c r="E5466" s="78"/>
    </row>
    <row r="5467" spans="1:5">
      <c r="A5467" s="76" t="s">
        <v>2543</v>
      </c>
      <c r="B5467" s="77" t="s">
        <v>135</v>
      </c>
      <c r="C5467" s="78" t="s">
        <v>136</v>
      </c>
      <c r="D5467" s="78" t="s">
        <v>2534</v>
      </c>
      <c r="E5467" s="78" t="s">
        <v>2535</v>
      </c>
    </row>
    <row r="5468" spans="1:5">
      <c r="A5468" s="76" t="s">
        <v>3645</v>
      </c>
      <c r="B5468" s="77" t="s">
        <v>839</v>
      </c>
      <c r="C5468" s="78">
        <v>1</v>
      </c>
      <c r="D5468" s="78">
        <v>29.94</v>
      </c>
      <c r="E5468" s="78">
        <f>TRUNC(C5468*D5468,2)</f>
        <v>29.94</v>
      </c>
    </row>
    <row r="5469" ht="25.5" spans="1:5">
      <c r="A5469" s="76" t="s">
        <v>3774</v>
      </c>
      <c r="B5469" s="77" t="s">
        <v>839</v>
      </c>
      <c r="C5469" s="78">
        <v>1</v>
      </c>
      <c r="D5469" s="78">
        <v>67.32</v>
      </c>
      <c r="E5469" s="78">
        <f>TRUNC(C5469*D5469,2)</f>
        <v>67.32</v>
      </c>
    </row>
    <row r="5470" ht="25.5" spans="1:5">
      <c r="A5470" s="76" t="s">
        <v>3775</v>
      </c>
      <c r="B5470" s="77" t="s">
        <v>839</v>
      </c>
      <c r="C5470" s="78">
        <v>1</v>
      </c>
      <c r="D5470" s="78">
        <v>14.23</v>
      </c>
      <c r="E5470" s="78">
        <f>TRUNC(C5470*D5470,2)</f>
        <v>14.23</v>
      </c>
    </row>
    <row r="5471" ht="25.5" spans="1:5">
      <c r="A5471" s="76" t="s">
        <v>3776</v>
      </c>
      <c r="B5471" s="77" t="s">
        <v>839</v>
      </c>
      <c r="C5471" s="78">
        <v>1</v>
      </c>
      <c r="D5471" s="78">
        <v>53.86</v>
      </c>
      <c r="E5471" s="78">
        <f>TRUNC(C5471*D5471,2)</f>
        <v>53.86</v>
      </c>
    </row>
    <row r="5472" ht="38.25" spans="1:5">
      <c r="A5472" s="76" t="s">
        <v>3777</v>
      </c>
      <c r="B5472" s="77" t="s">
        <v>839</v>
      </c>
      <c r="C5472" s="78">
        <v>1</v>
      </c>
      <c r="D5472" s="78">
        <v>89.12</v>
      </c>
      <c r="E5472" s="78">
        <f>TRUNC(C5472*D5472,2)</f>
        <v>89.12</v>
      </c>
    </row>
    <row r="5473" spans="1:5">
      <c r="A5473" s="76" t="s">
        <v>122</v>
      </c>
      <c r="B5473" s="77"/>
      <c r="C5473" s="78"/>
      <c r="D5473" s="78"/>
      <c r="E5473" s="78">
        <f>SUM(E5468:E5472)</f>
        <v>254.47</v>
      </c>
    </row>
    <row r="5474" spans="1:5">
      <c r="A5474" s="76"/>
      <c r="B5474" s="77"/>
      <c r="C5474" s="78"/>
      <c r="D5474" s="78"/>
      <c r="E5474" s="78"/>
    </row>
    <row r="5475" spans="1:5">
      <c r="A5475" s="76" t="s">
        <v>2538</v>
      </c>
      <c r="B5475" s="77"/>
      <c r="C5475" s="78"/>
      <c r="D5475" s="78"/>
      <c r="E5475" s="78">
        <f>E5473</f>
        <v>254.47</v>
      </c>
    </row>
    <row r="5476" spans="1:5">
      <c r="A5476" s="76" t="s">
        <v>2539</v>
      </c>
      <c r="B5476" s="77"/>
      <c r="C5476" s="78"/>
      <c r="D5476" s="78">
        <v>0</v>
      </c>
      <c r="E5476" s="78">
        <f>TRUNC(D5476*E5475/100,2)</f>
        <v>0</v>
      </c>
    </row>
    <row r="5477" spans="1:5">
      <c r="A5477" s="76" t="s">
        <v>2540</v>
      </c>
      <c r="B5477" s="77"/>
      <c r="C5477" s="78"/>
      <c r="D5477" s="78"/>
      <c r="E5477" s="78">
        <f>E5475+E5476</f>
        <v>254.47</v>
      </c>
    </row>
    <row r="5478" spans="1:5">
      <c r="A5478" s="76"/>
      <c r="B5478" s="77"/>
      <c r="C5478" s="78"/>
      <c r="D5478" s="78"/>
      <c r="E5478" s="78"/>
    </row>
    <row r="5479" spans="1:5">
      <c r="A5479" s="76" t="s">
        <v>3092</v>
      </c>
      <c r="B5479" s="77" t="s">
        <v>3778</v>
      </c>
      <c r="C5479" s="78"/>
      <c r="D5479" s="78"/>
      <c r="E5479" s="78"/>
    </row>
    <row r="5480" ht="25.5" spans="1:5">
      <c r="A5480" s="76" t="s">
        <v>3779</v>
      </c>
      <c r="B5480" s="77"/>
      <c r="C5480" s="78"/>
      <c r="D5480" s="78"/>
      <c r="E5480" s="78"/>
    </row>
    <row r="5481" spans="1:5">
      <c r="A5481" s="76" t="s">
        <v>2764</v>
      </c>
      <c r="B5481" s="77"/>
      <c r="C5481" s="78"/>
      <c r="D5481" s="78"/>
      <c r="E5481" s="78"/>
    </row>
    <row r="5482" spans="1:5">
      <c r="A5482" s="76"/>
      <c r="B5482" s="77"/>
      <c r="C5482" s="78"/>
      <c r="D5482" s="78"/>
      <c r="E5482" s="78"/>
    </row>
    <row r="5483" spans="1:5">
      <c r="A5483" s="76" t="s">
        <v>279</v>
      </c>
      <c r="B5483" s="77" t="s">
        <v>135</v>
      </c>
      <c r="C5483" s="78" t="s">
        <v>136</v>
      </c>
      <c r="D5483" s="78" t="s">
        <v>2534</v>
      </c>
      <c r="E5483" s="78" t="s">
        <v>2535</v>
      </c>
    </row>
    <row r="5484" ht="25.5" spans="1:5">
      <c r="A5484" s="76" t="s">
        <v>3780</v>
      </c>
      <c r="B5484" s="77" t="s">
        <v>494</v>
      </c>
      <c r="C5484" s="78">
        <v>7e-5</v>
      </c>
      <c r="D5484" s="78">
        <v>961801.77</v>
      </c>
      <c r="E5484" s="78">
        <f>TRUNC(C5484*D5484,2)</f>
        <v>67.32</v>
      </c>
    </row>
    <row r="5485" spans="1:5">
      <c r="A5485" s="76" t="s">
        <v>122</v>
      </c>
      <c r="B5485" s="77"/>
      <c r="C5485" s="78"/>
      <c r="D5485" s="78"/>
      <c r="E5485" s="78">
        <f>SUM(E5484:E5484)</f>
        <v>67.32</v>
      </c>
    </row>
    <row r="5486" spans="1:5">
      <c r="A5486" s="76"/>
      <c r="B5486" s="77"/>
      <c r="C5486" s="78"/>
      <c r="D5486" s="78"/>
      <c r="E5486" s="78"/>
    </row>
    <row r="5487" spans="1:5">
      <c r="A5487" s="76" t="s">
        <v>2538</v>
      </c>
      <c r="B5487" s="77"/>
      <c r="C5487" s="78"/>
      <c r="D5487" s="78"/>
      <c r="E5487" s="78">
        <f>E5485</f>
        <v>67.32</v>
      </c>
    </row>
    <row r="5488" spans="1:5">
      <c r="A5488" s="76" t="s">
        <v>2539</v>
      </c>
      <c r="B5488" s="77"/>
      <c r="C5488" s="78"/>
      <c r="D5488" s="78">
        <v>0</v>
      </c>
      <c r="E5488" s="78">
        <f>TRUNC(D5488*E5487/100,2)</f>
        <v>0</v>
      </c>
    </row>
    <row r="5489" spans="1:5">
      <c r="A5489" s="76" t="s">
        <v>2540</v>
      </c>
      <c r="B5489" s="77"/>
      <c r="C5489" s="78"/>
      <c r="D5489" s="78"/>
      <c r="E5489" s="78">
        <f>E5487+E5488</f>
        <v>67.32</v>
      </c>
    </row>
    <row r="5490" spans="1:5">
      <c r="A5490" s="76"/>
      <c r="B5490" s="77"/>
      <c r="C5490" s="78"/>
      <c r="D5490" s="78"/>
      <c r="E5490" s="78"/>
    </row>
    <row r="5491" spans="1:5">
      <c r="A5491" s="76" t="s">
        <v>3092</v>
      </c>
      <c r="B5491" s="77" t="s">
        <v>3781</v>
      </c>
      <c r="C5491" s="78"/>
      <c r="D5491" s="78"/>
      <c r="E5491" s="78"/>
    </row>
    <row r="5492" ht="25.5" spans="1:5">
      <c r="A5492" s="76" t="s">
        <v>3782</v>
      </c>
      <c r="B5492" s="77"/>
      <c r="C5492" s="78"/>
      <c r="D5492" s="78"/>
      <c r="E5492" s="78"/>
    </row>
    <row r="5493" spans="1:5">
      <c r="A5493" s="76" t="s">
        <v>2764</v>
      </c>
      <c r="B5493" s="77"/>
      <c r="C5493" s="78"/>
      <c r="D5493" s="78"/>
      <c r="E5493" s="78"/>
    </row>
    <row r="5494" spans="1:5">
      <c r="A5494" s="76"/>
      <c r="B5494" s="77"/>
      <c r="C5494" s="78"/>
      <c r="D5494" s="78"/>
      <c r="E5494" s="78"/>
    </row>
    <row r="5495" spans="1:5">
      <c r="A5495" s="76" t="s">
        <v>279</v>
      </c>
      <c r="B5495" s="77" t="s">
        <v>135</v>
      </c>
      <c r="C5495" s="78" t="s">
        <v>136</v>
      </c>
      <c r="D5495" s="78" t="s">
        <v>2534</v>
      </c>
      <c r="E5495" s="78" t="s">
        <v>2535</v>
      </c>
    </row>
    <row r="5496" ht="25.5" spans="1:5">
      <c r="A5496" s="76" t="s">
        <v>3780</v>
      </c>
      <c r="B5496" s="77" t="s">
        <v>494</v>
      </c>
      <c r="C5496" s="78">
        <v>1.48e-5</v>
      </c>
      <c r="D5496" s="78">
        <v>961801.77</v>
      </c>
      <c r="E5496" s="78">
        <f>TRUNC(C5496*D5496,2)</f>
        <v>14.23</v>
      </c>
    </row>
    <row r="5497" spans="1:5">
      <c r="A5497" s="76" t="s">
        <v>122</v>
      </c>
      <c r="B5497" s="77"/>
      <c r="C5497" s="78"/>
      <c r="D5497" s="78"/>
      <c r="E5497" s="78">
        <f>SUM(E5496:E5496)</f>
        <v>14.23</v>
      </c>
    </row>
    <row r="5498" spans="1:5">
      <c r="A5498" s="76"/>
      <c r="B5498" s="77"/>
      <c r="C5498" s="78"/>
      <c r="D5498" s="78"/>
      <c r="E5498" s="78"/>
    </row>
    <row r="5499" spans="1:5">
      <c r="A5499" s="76" t="s">
        <v>2538</v>
      </c>
      <c r="B5499" s="77"/>
      <c r="C5499" s="78"/>
      <c r="D5499" s="78"/>
      <c r="E5499" s="78">
        <f>E5497</f>
        <v>14.23</v>
      </c>
    </row>
    <row r="5500" spans="1:5">
      <c r="A5500" s="76" t="s">
        <v>2539</v>
      </c>
      <c r="B5500" s="77"/>
      <c r="C5500" s="78"/>
      <c r="D5500" s="78">
        <v>0</v>
      </c>
      <c r="E5500" s="78">
        <f>TRUNC(D5500*E5499/100,2)</f>
        <v>0</v>
      </c>
    </row>
    <row r="5501" spans="1:5">
      <c r="A5501" s="76" t="s">
        <v>2540</v>
      </c>
      <c r="B5501" s="77"/>
      <c r="C5501" s="78"/>
      <c r="D5501" s="78"/>
      <c r="E5501" s="78">
        <f>E5499+E5500</f>
        <v>14.23</v>
      </c>
    </row>
    <row r="5502" spans="1:5">
      <c r="A5502" s="76"/>
      <c r="B5502" s="77"/>
      <c r="C5502" s="78"/>
      <c r="D5502" s="78"/>
      <c r="E5502" s="78"/>
    </row>
    <row r="5503" spans="1:5">
      <c r="A5503" s="76" t="s">
        <v>3092</v>
      </c>
      <c r="B5503" s="77" t="s">
        <v>3783</v>
      </c>
      <c r="C5503" s="78"/>
      <c r="D5503" s="78"/>
      <c r="E5503" s="78"/>
    </row>
    <row r="5504" ht="25.5" spans="1:5">
      <c r="A5504" s="76" t="s">
        <v>3784</v>
      </c>
      <c r="B5504" s="77"/>
      <c r="C5504" s="78"/>
      <c r="D5504" s="78"/>
      <c r="E5504" s="78"/>
    </row>
    <row r="5505" spans="1:5">
      <c r="A5505" s="76" t="s">
        <v>2764</v>
      </c>
      <c r="B5505" s="77"/>
      <c r="C5505" s="78"/>
      <c r="D5505" s="78"/>
      <c r="E5505" s="78"/>
    </row>
    <row r="5506" spans="1:5">
      <c r="A5506" s="76"/>
      <c r="B5506" s="77"/>
      <c r="C5506" s="78"/>
      <c r="D5506" s="78"/>
      <c r="E5506" s="78"/>
    </row>
    <row r="5507" spans="1:5">
      <c r="A5507" s="76" t="s">
        <v>279</v>
      </c>
      <c r="B5507" s="77" t="s">
        <v>135</v>
      </c>
      <c r="C5507" s="78" t="s">
        <v>136</v>
      </c>
      <c r="D5507" s="78" t="s">
        <v>2534</v>
      </c>
      <c r="E5507" s="78" t="s">
        <v>2535</v>
      </c>
    </row>
    <row r="5508" ht="25.5" spans="1:5">
      <c r="A5508" s="76" t="s">
        <v>3780</v>
      </c>
      <c r="B5508" s="77" t="s">
        <v>494</v>
      </c>
      <c r="C5508" s="78">
        <v>5.6e-5</v>
      </c>
      <c r="D5508" s="78">
        <v>961801.77</v>
      </c>
      <c r="E5508" s="78">
        <f>TRUNC(C5508*D5508,2)</f>
        <v>53.86</v>
      </c>
    </row>
    <row r="5509" spans="1:5">
      <c r="A5509" s="76" t="s">
        <v>122</v>
      </c>
      <c r="B5509" s="77"/>
      <c r="C5509" s="78"/>
      <c r="D5509" s="78"/>
      <c r="E5509" s="78">
        <f>SUM(E5508:E5508)</f>
        <v>53.86</v>
      </c>
    </row>
    <row r="5510" spans="1:5">
      <c r="A5510" s="76"/>
      <c r="B5510" s="77"/>
      <c r="C5510" s="78"/>
      <c r="D5510" s="78"/>
      <c r="E5510" s="78"/>
    </row>
    <row r="5511" spans="1:5">
      <c r="A5511" s="76" t="s">
        <v>2538</v>
      </c>
      <c r="B5511" s="77"/>
      <c r="C5511" s="78"/>
      <c r="D5511" s="78"/>
      <c r="E5511" s="78">
        <f>E5509</f>
        <v>53.86</v>
      </c>
    </row>
    <row r="5512" spans="1:5">
      <c r="A5512" s="76" t="s">
        <v>2539</v>
      </c>
      <c r="B5512" s="77"/>
      <c r="C5512" s="78"/>
      <c r="D5512" s="78">
        <v>0</v>
      </c>
      <c r="E5512" s="78">
        <f>TRUNC(D5512*E5511/100,2)</f>
        <v>0</v>
      </c>
    </row>
    <row r="5513" spans="1:5">
      <c r="A5513" s="76" t="s">
        <v>2540</v>
      </c>
      <c r="B5513" s="77"/>
      <c r="C5513" s="78"/>
      <c r="D5513" s="78"/>
      <c r="E5513" s="78">
        <f>E5511+E5512</f>
        <v>53.86</v>
      </c>
    </row>
    <row r="5514" spans="1:5">
      <c r="A5514" s="76"/>
      <c r="B5514" s="77"/>
      <c r="C5514" s="78"/>
      <c r="D5514" s="78"/>
      <c r="E5514" s="78"/>
    </row>
    <row r="5515" spans="1:5">
      <c r="A5515" s="76" t="s">
        <v>3092</v>
      </c>
      <c r="B5515" s="77" t="s">
        <v>3785</v>
      </c>
      <c r="C5515" s="78"/>
      <c r="D5515" s="78"/>
      <c r="E5515" s="78"/>
    </row>
    <row r="5516" ht="25.5" spans="1:5">
      <c r="A5516" s="76" t="s">
        <v>3786</v>
      </c>
      <c r="B5516" s="77"/>
      <c r="C5516" s="78"/>
      <c r="D5516" s="78"/>
      <c r="E5516" s="78"/>
    </row>
    <row r="5517" spans="1:5">
      <c r="A5517" s="76" t="s">
        <v>2764</v>
      </c>
      <c r="B5517" s="77"/>
      <c r="C5517" s="78"/>
      <c r="D5517" s="78"/>
      <c r="E5517" s="78"/>
    </row>
    <row r="5518" spans="1:5">
      <c r="A5518" s="76"/>
      <c r="B5518" s="77"/>
      <c r="C5518" s="78"/>
      <c r="D5518" s="78"/>
      <c r="E5518" s="78"/>
    </row>
    <row r="5519" spans="1:5">
      <c r="A5519" s="76" t="s">
        <v>2543</v>
      </c>
      <c r="B5519" s="77" t="s">
        <v>135</v>
      </c>
      <c r="C5519" s="78" t="s">
        <v>136</v>
      </c>
      <c r="D5519" s="78" t="s">
        <v>2534</v>
      </c>
      <c r="E5519" s="78" t="s">
        <v>2535</v>
      </c>
    </row>
    <row r="5520" spans="1:5">
      <c r="A5520" s="76" t="s">
        <v>3202</v>
      </c>
      <c r="B5520" s="77" t="s">
        <v>215</v>
      </c>
      <c r="C5520" s="78">
        <v>15.03</v>
      </c>
      <c r="D5520" s="78">
        <v>5.93</v>
      </c>
      <c r="E5520" s="78">
        <f>TRUNC(C5520*D5520,2)</f>
        <v>89.12</v>
      </c>
    </row>
    <row r="5521" spans="1:5">
      <c r="A5521" s="76" t="s">
        <v>122</v>
      </c>
      <c r="B5521" s="77"/>
      <c r="C5521" s="78"/>
      <c r="D5521" s="78"/>
      <c r="E5521" s="78">
        <f>SUM(E5520:E5520)</f>
        <v>89.12</v>
      </c>
    </row>
    <row r="5522" spans="1:5">
      <c r="A5522" s="76"/>
      <c r="B5522" s="77"/>
      <c r="C5522" s="78"/>
      <c r="D5522" s="78"/>
      <c r="E5522" s="78"/>
    </row>
    <row r="5523" spans="1:5">
      <c r="A5523" s="76" t="s">
        <v>2538</v>
      </c>
      <c r="B5523" s="77"/>
      <c r="C5523" s="78"/>
      <c r="D5523" s="78"/>
      <c r="E5523" s="78">
        <f>E5521</f>
        <v>89.12</v>
      </c>
    </row>
    <row r="5524" spans="1:5">
      <c r="A5524" s="76" t="s">
        <v>2539</v>
      </c>
      <c r="B5524" s="77"/>
      <c r="C5524" s="78"/>
      <c r="D5524" s="78">
        <v>0</v>
      </c>
      <c r="E5524" s="78">
        <f>TRUNC(D5524*E5523/100,2)</f>
        <v>0</v>
      </c>
    </row>
    <row r="5525" spans="1:5">
      <c r="A5525" s="76" t="s">
        <v>2540</v>
      </c>
      <c r="B5525" s="77"/>
      <c r="C5525" s="78"/>
      <c r="D5525" s="78"/>
      <c r="E5525" s="78">
        <f>E5523+E5524</f>
        <v>89.12</v>
      </c>
    </row>
    <row r="5526" spans="1:5">
      <c r="A5526" s="76"/>
      <c r="B5526" s="77"/>
      <c r="C5526" s="78"/>
      <c r="D5526" s="78"/>
      <c r="E5526" s="78"/>
    </row>
    <row r="5527" spans="1:5">
      <c r="A5527" s="76" t="s">
        <v>3092</v>
      </c>
      <c r="B5527" s="77" t="s">
        <v>3787</v>
      </c>
      <c r="C5527" s="78"/>
      <c r="D5527" s="78"/>
      <c r="E5527" s="78"/>
    </row>
    <row r="5528" ht="25.5" spans="1:5">
      <c r="A5528" s="76" t="s">
        <v>3788</v>
      </c>
      <c r="B5528" s="77"/>
      <c r="C5528" s="78"/>
      <c r="D5528" s="78"/>
      <c r="E5528" s="78"/>
    </row>
    <row r="5529" spans="1:5">
      <c r="A5529" s="76" t="s">
        <v>3091</v>
      </c>
      <c r="B5529" s="77"/>
      <c r="C5529" s="78"/>
      <c r="D5529" s="78"/>
      <c r="E5529" s="78"/>
    </row>
    <row r="5530" spans="1:5">
      <c r="A5530" s="76"/>
      <c r="B5530" s="77"/>
      <c r="C5530" s="78"/>
      <c r="D5530" s="78"/>
      <c r="E5530" s="78"/>
    </row>
    <row r="5531" spans="1:5">
      <c r="A5531" s="76" t="s">
        <v>2543</v>
      </c>
      <c r="B5531" s="77" t="s">
        <v>135</v>
      </c>
      <c r="C5531" s="78" t="s">
        <v>136</v>
      </c>
      <c r="D5531" s="78" t="s">
        <v>2534</v>
      </c>
      <c r="E5531" s="78" t="s">
        <v>2535</v>
      </c>
    </row>
    <row r="5532" spans="1:5">
      <c r="A5532" s="76" t="s">
        <v>3645</v>
      </c>
      <c r="B5532" s="77" t="s">
        <v>839</v>
      </c>
      <c r="C5532" s="78">
        <v>1</v>
      </c>
      <c r="D5532" s="78">
        <v>29.94</v>
      </c>
      <c r="E5532" s="78">
        <f>TRUNC(C5532*D5532,2)</f>
        <v>29.94</v>
      </c>
    </row>
    <row r="5533" ht="25.5" spans="1:5">
      <c r="A5533" s="76" t="s">
        <v>3775</v>
      </c>
      <c r="B5533" s="77" t="s">
        <v>839</v>
      </c>
      <c r="C5533" s="78">
        <v>1</v>
      </c>
      <c r="D5533" s="78">
        <v>14.23</v>
      </c>
      <c r="E5533" s="78">
        <f>TRUNC(C5533*D5533,2)</f>
        <v>14.23</v>
      </c>
    </row>
    <row r="5534" ht="25.5" spans="1:5">
      <c r="A5534" s="76" t="s">
        <v>3776</v>
      </c>
      <c r="B5534" s="77" t="s">
        <v>839</v>
      </c>
      <c r="C5534" s="78">
        <v>1</v>
      </c>
      <c r="D5534" s="78">
        <v>53.86</v>
      </c>
      <c r="E5534" s="78">
        <f>TRUNC(C5534*D5534,2)</f>
        <v>53.86</v>
      </c>
    </row>
    <row r="5535" spans="1:5">
      <c r="A5535" s="76" t="s">
        <v>122</v>
      </c>
      <c r="B5535" s="77"/>
      <c r="C5535" s="78"/>
      <c r="D5535" s="78"/>
      <c r="E5535" s="78">
        <f>SUM(E5532:E5534)</f>
        <v>98.03</v>
      </c>
    </row>
    <row r="5536" spans="1:5">
      <c r="A5536" s="76"/>
      <c r="B5536" s="77"/>
      <c r="C5536" s="78"/>
      <c r="D5536" s="78"/>
      <c r="E5536" s="78"/>
    </row>
    <row r="5537" spans="1:5">
      <c r="A5537" s="76" t="s">
        <v>2538</v>
      </c>
      <c r="B5537" s="77"/>
      <c r="C5537" s="78"/>
      <c r="D5537" s="78"/>
      <c r="E5537" s="78">
        <f>E5535</f>
        <v>98.03</v>
      </c>
    </row>
    <row r="5538" spans="1:5">
      <c r="A5538" s="76" t="s">
        <v>2539</v>
      </c>
      <c r="B5538" s="77"/>
      <c r="C5538" s="78"/>
      <c r="D5538" s="78">
        <v>0</v>
      </c>
      <c r="E5538" s="78">
        <f>TRUNC(D5538*E5537/100,2)</f>
        <v>0</v>
      </c>
    </row>
    <row r="5539" spans="1:5">
      <c r="A5539" s="76" t="s">
        <v>2540</v>
      </c>
      <c r="B5539" s="77"/>
      <c r="C5539" s="78"/>
      <c r="D5539" s="78"/>
      <c r="E5539" s="78">
        <f>E5537+E5538</f>
        <v>98.03</v>
      </c>
    </row>
    <row r="5540" spans="1:5">
      <c r="A5540" s="76"/>
      <c r="B5540" s="77"/>
      <c r="C5540" s="78"/>
      <c r="D5540" s="78"/>
      <c r="E5540" s="78"/>
    </row>
    <row r="5541" spans="1:5">
      <c r="A5541" s="76" t="s">
        <v>3092</v>
      </c>
      <c r="B5541" s="77" t="s">
        <v>3789</v>
      </c>
      <c r="C5541" s="78"/>
      <c r="D5541" s="78"/>
      <c r="E5541" s="78"/>
    </row>
    <row r="5542" ht="38.25" spans="1:5">
      <c r="A5542" s="76" t="s">
        <v>3790</v>
      </c>
      <c r="B5542" s="77"/>
      <c r="C5542" s="78"/>
      <c r="D5542" s="78"/>
      <c r="E5542" s="78"/>
    </row>
    <row r="5543" spans="1:5">
      <c r="A5543" s="76" t="s">
        <v>3085</v>
      </c>
      <c r="B5543" s="77"/>
      <c r="C5543" s="78"/>
      <c r="D5543" s="78"/>
      <c r="E5543" s="78"/>
    </row>
    <row r="5544" spans="1:5">
      <c r="A5544" s="76"/>
      <c r="B5544" s="77"/>
      <c r="C5544" s="78"/>
      <c r="D5544" s="78"/>
      <c r="E5544" s="78"/>
    </row>
    <row r="5545" spans="1:5">
      <c r="A5545" s="76" t="s">
        <v>2543</v>
      </c>
      <c r="B5545" s="77" t="s">
        <v>135</v>
      </c>
      <c r="C5545" s="78" t="s">
        <v>136</v>
      </c>
      <c r="D5545" s="78" t="s">
        <v>2534</v>
      </c>
      <c r="E5545" s="78" t="s">
        <v>2535</v>
      </c>
    </row>
    <row r="5546" ht="25.5" spans="1:5">
      <c r="A5546" s="76" t="s">
        <v>3791</v>
      </c>
      <c r="B5546" s="77" t="s">
        <v>839</v>
      </c>
      <c r="C5546" s="78">
        <v>1</v>
      </c>
      <c r="D5546" s="78">
        <v>26</v>
      </c>
      <c r="E5546" s="78">
        <f>TRUNC(C5546*D5546,2)</f>
        <v>26</v>
      </c>
    </row>
    <row r="5547" ht="38.25" spans="1:5">
      <c r="A5547" s="76" t="s">
        <v>3792</v>
      </c>
      <c r="B5547" s="77" t="s">
        <v>839</v>
      </c>
      <c r="C5547" s="78">
        <v>1</v>
      </c>
      <c r="D5547" s="78">
        <v>43.97</v>
      </c>
      <c r="E5547" s="78">
        <f>TRUNC(C5547*D5547,2)</f>
        <v>43.97</v>
      </c>
    </row>
    <row r="5548" ht="38.25" spans="1:5">
      <c r="A5548" s="76" t="s">
        <v>3793</v>
      </c>
      <c r="B5548" s="77" t="s">
        <v>839</v>
      </c>
      <c r="C5548" s="78">
        <v>1</v>
      </c>
      <c r="D5548" s="78">
        <v>35.13</v>
      </c>
      <c r="E5548" s="78">
        <f>TRUNC(C5548*D5548,2)</f>
        <v>35.13</v>
      </c>
    </row>
    <row r="5549" ht="38.25" spans="1:5">
      <c r="A5549" s="76" t="s">
        <v>3794</v>
      </c>
      <c r="B5549" s="77" t="s">
        <v>839</v>
      </c>
      <c r="C5549" s="78">
        <v>1</v>
      </c>
      <c r="D5549" s="78">
        <v>9.49</v>
      </c>
      <c r="E5549" s="78">
        <f>TRUNC(C5549*D5549,2)</f>
        <v>9.49</v>
      </c>
    </row>
    <row r="5550" ht="38.25" spans="1:5">
      <c r="A5550" s="76" t="s">
        <v>3795</v>
      </c>
      <c r="B5550" s="77" t="s">
        <v>839</v>
      </c>
      <c r="C5550" s="78">
        <v>1</v>
      </c>
      <c r="D5550" s="78">
        <v>56.63</v>
      </c>
      <c r="E5550" s="78">
        <f>TRUNC(C5550*D5550,2)</f>
        <v>56.63</v>
      </c>
    </row>
    <row r="5551" spans="1:5">
      <c r="A5551" s="76" t="s">
        <v>122</v>
      </c>
      <c r="B5551" s="77"/>
      <c r="C5551" s="78"/>
      <c r="D5551" s="78"/>
      <c r="E5551" s="78">
        <f>SUM(E5546:E5550)</f>
        <v>171.22</v>
      </c>
    </row>
    <row r="5552" spans="1:5">
      <c r="A5552" s="76"/>
      <c r="B5552" s="77"/>
      <c r="C5552" s="78"/>
      <c r="D5552" s="78"/>
      <c r="E5552" s="78"/>
    </row>
    <row r="5553" spans="1:5">
      <c r="A5553" s="76" t="s">
        <v>2538</v>
      </c>
      <c r="B5553" s="77"/>
      <c r="C5553" s="78"/>
      <c r="D5553" s="78"/>
      <c r="E5553" s="78">
        <f>E5551</f>
        <v>171.22</v>
      </c>
    </row>
    <row r="5554" spans="1:5">
      <c r="A5554" s="76" t="s">
        <v>2539</v>
      </c>
      <c r="B5554" s="77"/>
      <c r="C5554" s="78"/>
      <c r="D5554" s="78">
        <v>0</v>
      </c>
      <c r="E5554" s="78">
        <f>TRUNC(D5554*E5553/100,2)</f>
        <v>0</v>
      </c>
    </row>
    <row r="5555" spans="1:5">
      <c r="A5555" s="76" t="s">
        <v>2540</v>
      </c>
      <c r="B5555" s="77"/>
      <c r="C5555" s="78"/>
      <c r="D5555" s="78"/>
      <c r="E5555" s="78">
        <f>E5553+E5554</f>
        <v>171.22</v>
      </c>
    </row>
    <row r="5556" spans="1:5">
      <c r="A5556" s="76"/>
      <c r="B5556" s="77"/>
      <c r="C5556" s="78"/>
      <c r="D5556" s="78"/>
      <c r="E5556" s="78"/>
    </row>
    <row r="5557" spans="1:5">
      <c r="A5557" s="76" t="s">
        <v>3092</v>
      </c>
      <c r="B5557" s="77" t="s">
        <v>3796</v>
      </c>
      <c r="C5557" s="78"/>
      <c r="D5557" s="78"/>
      <c r="E5557" s="78"/>
    </row>
    <row r="5558" spans="1:5">
      <c r="A5558" s="76" t="s">
        <v>3797</v>
      </c>
      <c r="B5558" s="77"/>
      <c r="C5558" s="78"/>
      <c r="D5558" s="78"/>
      <c r="E5558" s="78"/>
    </row>
    <row r="5559" spans="1:5">
      <c r="A5559" s="76" t="s">
        <v>2764</v>
      </c>
      <c r="B5559" s="77"/>
      <c r="C5559" s="78"/>
      <c r="D5559" s="78"/>
      <c r="E5559" s="78"/>
    </row>
    <row r="5560" spans="1:5">
      <c r="A5560" s="76"/>
      <c r="B5560" s="77"/>
      <c r="C5560" s="78"/>
      <c r="D5560" s="78"/>
      <c r="E5560" s="78"/>
    </row>
    <row r="5561" spans="1:5">
      <c r="A5561" s="76" t="s">
        <v>279</v>
      </c>
      <c r="B5561" s="77" t="s">
        <v>135</v>
      </c>
      <c r="C5561" s="78" t="s">
        <v>136</v>
      </c>
      <c r="D5561" s="78" t="s">
        <v>2534</v>
      </c>
      <c r="E5561" s="78" t="s">
        <v>2535</v>
      </c>
    </row>
    <row r="5562" ht="25.5" spans="1:5">
      <c r="A5562" s="76" t="s">
        <v>3111</v>
      </c>
      <c r="B5562" s="77" t="s">
        <v>839</v>
      </c>
      <c r="C5562" s="78">
        <v>1</v>
      </c>
      <c r="D5562" s="78">
        <v>1.5</v>
      </c>
      <c r="E5562" s="78">
        <f>TRUNC(C5562*D5562,2)</f>
        <v>1.5</v>
      </c>
    </row>
    <row r="5563" spans="1:5">
      <c r="A5563" s="76" t="s">
        <v>122</v>
      </c>
      <c r="B5563" s="77"/>
      <c r="C5563" s="78"/>
      <c r="D5563" s="78"/>
      <c r="E5563" s="78">
        <f>SUM(E5562:E5562)</f>
        <v>1.5</v>
      </c>
    </row>
    <row r="5564" spans="1:5">
      <c r="A5564" s="76"/>
      <c r="B5564" s="77"/>
      <c r="C5564" s="78"/>
      <c r="D5564" s="78"/>
      <c r="E5564" s="78"/>
    </row>
    <row r="5565" spans="1:5">
      <c r="A5565" s="76" t="s">
        <v>280</v>
      </c>
      <c r="B5565" s="77" t="s">
        <v>135</v>
      </c>
      <c r="C5565" s="78" t="s">
        <v>136</v>
      </c>
      <c r="D5565" s="78" t="s">
        <v>2534</v>
      </c>
      <c r="E5565" s="78" t="s">
        <v>2535</v>
      </c>
    </row>
    <row r="5566" ht="25.5" spans="1:5">
      <c r="A5566" s="76" t="s">
        <v>3112</v>
      </c>
      <c r="B5566" s="77" t="s">
        <v>839</v>
      </c>
      <c r="C5566" s="78">
        <v>1</v>
      </c>
      <c r="D5566" s="78">
        <v>3.95</v>
      </c>
      <c r="E5566" s="78">
        <f>TRUNC(C5566*D5566,2)</f>
        <v>3.95</v>
      </c>
    </row>
    <row r="5567" spans="1:5">
      <c r="A5567" s="76" t="s">
        <v>3798</v>
      </c>
      <c r="B5567" s="77" t="s">
        <v>839</v>
      </c>
      <c r="C5567" s="78">
        <v>1</v>
      </c>
      <c r="D5567" s="78">
        <v>18</v>
      </c>
      <c r="E5567" s="78">
        <f>TRUNC(C5567*D5567,2)</f>
        <v>18</v>
      </c>
    </row>
    <row r="5568" ht="25.5" spans="1:5">
      <c r="A5568" s="76" t="s">
        <v>3113</v>
      </c>
      <c r="B5568" s="77" t="s">
        <v>839</v>
      </c>
      <c r="C5568" s="78">
        <v>1</v>
      </c>
      <c r="D5568" s="78">
        <v>0.08</v>
      </c>
      <c r="E5568" s="78">
        <f>TRUNC(C5568*D5568,2)</f>
        <v>0.08</v>
      </c>
    </row>
    <row r="5569" spans="1:5">
      <c r="A5569" s="76" t="s">
        <v>122</v>
      </c>
      <c r="B5569" s="77"/>
      <c r="C5569" s="78"/>
      <c r="D5569" s="78"/>
      <c r="E5569" s="78">
        <f>SUM(E5566:E5568)</f>
        <v>22.03</v>
      </c>
    </row>
    <row r="5570" spans="1:5">
      <c r="A5570" s="76" t="s">
        <v>117</v>
      </c>
      <c r="B5570" s="77"/>
      <c r="C5570" s="78"/>
      <c r="D5570" s="78"/>
      <c r="E5570" s="78" t="str">
        <f>"0"</f>
        <v>0</v>
      </c>
    </row>
    <row r="5571" spans="1:5">
      <c r="A5571" s="76" t="s">
        <v>2537</v>
      </c>
      <c r="B5571" s="77"/>
      <c r="C5571" s="78"/>
      <c r="D5571" s="78"/>
      <c r="E5571" s="78">
        <f>E5569+E5570</f>
        <v>22.03</v>
      </c>
    </row>
    <row r="5572" spans="1:5">
      <c r="A5572" s="76"/>
      <c r="B5572" s="77"/>
      <c r="C5572" s="78"/>
      <c r="D5572" s="78"/>
      <c r="E5572" s="78"/>
    </row>
    <row r="5573" spans="1:5">
      <c r="A5573" s="76" t="s">
        <v>2543</v>
      </c>
      <c r="B5573" s="77" t="s">
        <v>135</v>
      </c>
      <c r="C5573" s="78" t="s">
        <v>136</v>
      </c>
      <c r="D5573" s="78" t="s">
        <v>2534</v>
      </c>
      <c r="E5573" s="78" t="s">
        <v>2535</v>
      </c>
    </row>
    <row r="5574" ht="25.5" spans="1:5">
      <c r="A5574" s="76" t="s">
        <v>3195</v>
      </c>
      <c r="B5574" s="77" t="s">
        <v>839</v>
      </c>
      <c r="C5574" s="78">
        <v>1</v>
      </c>
      <c r="D5574" s="78">
        <v>0.89</v>
      </c>
      <c r="E5574" s="78">
        <f>TRUNC(C5574*D5574,2)</f>
        <v>0.89</v>
      </c>
    </row>
    <row r="5575" spans="1:5">
      <c r="A5575" s="76" t="s">
        <v>3116</v>
      </c>
      <c r="B5575" s="77" t="s">
        <v>839</v>
      </c>
      <c r="C5575" s="78">
        <v>1</v>
      </c>
      <c r="D5575" s="78">
        <v>1.43</v>
      </c>
      <c r="E5575" s="78">
        <f>TRUNC(C5575*D5575,2)</f>
        <v>1.43</v>
      </c>
    </row>
    <row r="5576" ht="25.5" spans="1:5">
      <c r="A5576" s="76" t="s">
        <v>3196</v>
      </c>
      <c r="B5576" s="77" t="s">
        <v>839</v>
      </c>
      <c r="C5576" s="78">
        <v>1</v>
      </c>
      <c r="D5576" s="78">
        <v>0.01</v>
      </c>
      <c r="E5576" s="78">
        <f>TRUNC(C5576*D5576,2)</f>
        <v>0.01</v>
      </c>
    </row>
    <row r="5577" ht="25.5" spans="1:5">
      <c r="A5577" s="76" t="s">
        <v>3799</v>
      </c>
      <c r="B5577" s="77" t="s">
        <v>839</v>
      </c>
      <c r="C5577" s="78">
        <v>1</v>
      </c>
      <c r="D5577" s="78">
        <v>0.14</v>
      </c>
      <c r="E5577" s="78">
        <f>TRUNC(C5577*D5577,2)</f>
        <v>0.14</v>
      </c>
    </row>
    <row r="5578" spans="1:5">
      <c r="A5578" s="76" t="s">
        <v>122</v>
      </c>
      <c r="B5578" s="77"/>
      <c r="C5578" s="78"/>
      <c r="D5578" s="78"/>
      <c r="E5578" s="78">
        <f>SUM(E5574:E5577)</f>
        <v>2.47</v>
      </c>
    </row>
    <row r="5579" spans="1:5">
      <c r="A5579" s="76"/>
      <c r="B5579" s="77"/>
      <c r="C5579" s="78"/>
      <c r="D5579" s="78"/>
      <c r="E5579" s="78"/>
    </row>
    <row r="5580" spans="1:5">
      <c r="A5580" s="76" t="s">
        <v>2538</v>
      </c>
      <c r="B5580" s="77"/>
      <c r="C5580" s="78"/>
      <c r="D5580" s="78"/>
      <c r="E5580" s="78">
        <f>E5563+E5571+E5578</f>
        <v>26</v>
      </c>
    </row>
    <row r="5581" spans="1:5">
      <c r="A5581" s="76" t="s">
        <v>2539</v>
      </c>
      <c r="B5581" s="77"/>
      <c r="C5581" s="78"/>
      <c r="D5581" s="78">
        <v>0</v>
      </c>
      <c r="E5581" s="78">
        <f>TRUNC(D5581*E5580/100,2)</f>
        <v>0</v>
      </c>
    </row>
    <row r="5582" spans="1:5">
      <c r="A5582" s="76" t="s">
        <v>2540</v>
      </c>
      <c r="B5582" s="77"/>
      <c r="C5582" s="78"/>
      <c r="D5582" s="78"/>
      <c r="E5582" s="78">
        <f>E5580+E5581</f>
        <v>26</v>
      </c>
    </row>
    <row r="5583" spans="1:5">
      <c r="A5583" s="76"/>
      <c r="B5583" s="77"/>
      <c r="C5583" s="78"/>
      <c r="D5583" s="78"/>
      <c r="E5583" s="78"/>
    </row>
    <row r="5584" spans="1:5">
      <c r="A5584" s="76" t="s">
        <v>3092</v>
      </c>
      <c r="B5584" s="77" t="s">
        <v>3800</v>
      </c>
      <c r="C5584" s="78"/>
      <c r="D5584" s="78"/>
      <c r="E5584" s="78"/>
    </row>
    <row r="5585" ht="25.5" spans="1:5">
      <c r="A5585" s="76" t="s">
        <v>3801</v>
      </c>
      <c r="B5585" s="77"/>
      <c r="C5585" s="78"/>
      <c r="D5585" s="78"/>
      <c r="E5585" s="78"/>
    </row>
    <row r="5586" spans="1:5">
      <c r="A5586" s="76" t="s">
        <v>2764</v>
      </c>
      <c r="B5586" s="77"/>
      <c r="C5586" s="78"/>
      <c r="D5586" s="78"/>
      <c r="E5586" s="78"/>
    </row>
    <row r="5587" spans="1:5">
      <c r="A5587" s="76"/>
      <c r="B5587" s="77"/>
      <c r="C5587" s="78"/>
      <c r="D5587" s="78"/>
      <c r="E5587" s="78"/>
    </row>
    <row r="5588" spans="1:5">
      <c r="A5588" s="76" t="s">
        <v>280</v>
      </c>
      <c r="B5588" s="77" t="s">
        <v>135</v>
      </c>
      <c r="C5588" s="78" t="s">
        <v>136</v>
      </c>
      <c r="D5588" s="78" t="s">
        <v>2534</v>
      </c>
      <c r="E5588" s="78" t="s">
        <v>2535</v>
      </c>
    </row>
    <row r="5589" spans="1:5">
      <c r="A5589" s="76" t="s">
        <v>3798</v>
      </c>
      <c r="B5589" s="77" t="s">
        <v>839</v>
      </c>
      <c r="C5589" s="78">
        <v>0.00831</v>
      </c>
      <c r="D5589" s="78">
        <v>18</v>
      </c>
      <c r="E5589" s="78">
        <f>TRUNC(C5589*D5589,2)</f>
        <v>0.14</v>
      </c>
    </row>
    <row r="5590" spans="1:5">
      <c r="A5590" s="76" t="s">
        <v>122</v>
      </c>
      <c r="B5590" s="77"/>
      <c r="C5590" s="78"/>
      <c r="D5590" s="78"/>
      <c r="E5590" s="78">
        <f>SUM(E5589:E5589)</f>
        <v>0.14</v>
      </c>
    </row>
    <row r="5591" spans="1:5">
      <c r="A5591" s="76" t="s">
        <v>117</v>
      </c>
      <c r="B5591" s="77"/>
      <c r="C5591" s="78"/>
      <c r="D5591" s="78"/>
      <c r="E5591" s="78" t="str">
        <f>"0"</f>
        <v>0</v>
      </c>
    </row>
    <row r="5592" spans="1:5">
      <c r="A5592" s="76" t="s">
        <v>2537</v>
      </c>
      <c r="B5592" s="77"/>
      <c r="C5592" s="78"/>
      <c r="D5592" s="78"/>
      <c r="E5592" s="78">
        <f>E5590+E5591</f>
        <v>0.14</v>
      </c>
    </row>
    <row r="5593" spans="1:5">
      <c r="A5593" s="76"/>
      <c r="B5593" s="77"/>
      <c r="C5593" s="78"/>
      <c r="D5593" s="78"/>
      <c r="E5593" s="78"/>
    </row>
    <row r="5594" spans="1:5">
      <c r="A5594" s="76" t="s">
        <v>2538</v>
      </c>
      <c r="B5594" s="77"/>
      <c r="C5594" s="78"/>
      <c r="D5594" s="78"/>
      <c r="E5594" s="78">
        <f>E5592</f>
        <v>0.14</v>
      </c>
    </row>
    <row r="5595" spans="1:5">
      <c r="A5595" s="76" t="s">
        <v>2539</v>
      </c>
      <c r="B5595" s="77"/>
      <c r="C5595" s="78"/>
      <c r="D5595" s="78">
        <v>0</v>
      </c>
      <c r="E5595" s="78">
        <f>TRUNC(D5595*E5594/100,2)</f>
        <v>0</v>
      </c>
    </row>
    <row r="5596" spans="1:5">
      <c r="A5596" s="76" t="s">
        <v>2540</v>
      </c>
      <c r="B5596" s="77"/>
      <c r="C5596" s="78"/>
      <c r="D5596" s="78"/>
      <c r="E5596" s="78">
        <f>E5594+E5595</f>
        <v>0.14</v>
      </c>
    </row>
    <row r="5597" spans="1:5">
      <c r="A5597" s="76"/>
      <c r="B5597" s="77"/>
      <c r="C5597" s="78"/>
      <c r="D5597" s="78"/>
      <c r="E5597" s="78"/>
    </row>
    <row r="5598" spans="1:5">
      <c r="A5598" s="76" t="s">
        <v>3092</v>
      </c>
      <c r="B5598" s="77" t="s">
        <v>3802</v>
      </c>
      <c r="C5598" s="78"/>
      <c r="D5598" s="78"/>
      <c r="E5598" s="78"/>
    </row>
    <row r="5599" ht="38.25" spans="1:5">
      <c r="A5599" s="76" t="s">
        <v>3803</v>
      </c>
      <c r="B5599" s="77"/>
      <c r="C5599" s="78"/>
      <c r="D5599" s="78"/>
      <c r="E5599" s="78"/>
    </row>
    <row r="5600" spans="1:5">
      <c r="A5600" s="76" t="s">
        <v>2764</v>
      </c>
      <c r="B5600" s="77"/>
      <c r="C5600" s="78"/>
      <c r="D5600" s="78"/>
      <c r="E5600" s="78"/>
    </row>
    <row r="5601" spans="1:5">
      <c r="A5601" s="76"/>
      <c r="B5601" s="77"/>
      <c r="C5601" s="78"/>
      <c r="D5601" s="78"/>
      <c r="E5601" s="78"/>
    </row>
    <row r="5602" spans="1:5">
      <c r="A5602" s="76" t="s">
        <v>2543</v>
      </c>
      <c r="B5602" s="77" t="s">
        <v>135</v>
      </c>
      <c r="C5602" s="78" t="s">
        <v>136</v>
      </c>
      <c r="D5602" s="78" t="s">
        <v>2534</v>
      </c>
      <c r="E5602" s="78" t="s">
        <v>2535</v>
      </c>
    </row>
    <row r="5603" ht="25.5" spans="1:5">
      <c r="A5603" s="76" t="s">
        <v>3804</v>
      </c>
      <c r="B5603" s="77" t="s">
        <v>494</v>
      </c>
      <c r="C5603" s="78">
        <v>6.67e-5</v>
      </c>
      <c r="D5603" s="78">
        <v>659269.78</v>
      </c>
      <c r="E5603" s="78">
        <f>TRUNC(C5603*D5603,2)</f>
        <v>43.97</v>
      </c>
    </row>
    <row r="5604" spans="1:5">
      <c r="A5604" s="76" t="s">
        <v>122</v>
      </c>
      <c r="B5604" s="77"/>
      <c r="C5604" s="78"/>
      <c r="D5604" s="78"/>
      <c r="E5604" s="78">
        <f>SUM(E5603:E5603)</f>
        <v>43.97</v>
      </c>
    </row>
    <row r="5605" spans="1:5">
      <c r="A5605" s="76"/>
      <c r="B5605" s="77"/>
      <c r="C5605" s="78"/>
      <c r="D5605" s="78"/>
      <c r="E5605" s="78"/>
    </row>
    <row r="5606" spans="1:5">
      <c r="A5606" s="76" t="s">
        <v>2538</v>
      </c>
      <c r="B5606" s="77"/>
      <c r="C5606" s="78"/>
      <c r="D5606" s="78"/>
      <c r="E5606" s="78">
        <f>E5604</f>
        <v>43.97</v>
      </c>
    </row>
    <row r="5607" spans="1:5">
      <c r="A5607" s="76" t="s">
        <v>2539</v>
      </c>
      <c r="B5607" s="77"/>
      <c r="C5607" s="78"/>
      <c r="D5607" s="78">
        <v>0</v>
      </c>
      <c r="E5607" s="78">
        <f>TRUNC(D5607*E5606/100,2)</f>
        <v>0</v>
      </c>
    </row>
    <row r="5608" spans="1:5">
      <c r="A5608" s="76" t="s">
        <v>2540</v>
      </c>
      <c r="B5608" s="77"/>
      <c r="C5608" s="78"/>
      <c r="D5608" s="78"/>
      <c r="E5608" s="78">
        <f>E5606+E5607</f>
        <v>43.97</v>
      </c>
    </row>
    <row r="5609" spans="1:5">
      <c r="A5609" s="76"/>
      <c r="B5609" s="77"/>
      <c r="C5609" s="78"/>
      <c r="D5609" s="78"/>
      <c r="E5609" s="78"/>
    </row>
    <row r="5610" spans="1:5">
      <c r="A5610" s="76" t="s">
        <v>3092</v>
      </c>
      <c r="B5610" s="77" t="s">
        <v>3805</v>
      </c>
      <c r="C5610" s="78"/>
      <c r="D5610" s="78"/>
      <c r="E5610" s="78"/>
    </row>
    <row r="5611" ht="38.25" spans="1:5">
      <c r="A5611" s="76" t="s">
        <v>3806</v>
      </c>
      <c r="B5611" s="77"/>
      <c r="C5611" s="78"/>
      <c r="D5611" s="78"/>
      <c r="E5611" s="78"/>
    </row>
    <row r="5612" spans="1:5">
      <c r="A5612" s="76" t="s">
        <v>2764</v>
      </c>
      <c r="B5612" s="77"/>
      <c r="C5612" s="78"/>
      <c r="D5612" s="78"/>
      <c r="E5612" s="78"/>
    </row>
    <row r="5613" spans="1:5">
      <c r="A5613" s="76"/>
      <c r="B5613" s="77"/>
      <c r="C5613" s="78"/>
      <c r="D5613" s="78"/>
      <c r="E5613" s="78"/>
    </row>
    <row r="5614" spans="1:5">
      <c r="A5614" s="76" t="s">
        <v>2543</v>
      </c>
      <c r="B5614" s="77" t="s">
        <v>135</v>
      </c>
      <c r="C5614" s="78" t="s">
        <v>136</v>
      </c>
      <c r="D5614" s="78" t="s">
        <v>2534</v>
      </c>
      <c r="E5614" s="78" t="s">
        <v>2535</v>
      </c>
    </row>
    <row r="5615" ht="25.5" spans="1:5">
      <c r="A5615" s="76" t="s">
        <v>3804</v>
      </c>
      <c r="B5615" s="77" t="s">
        <v>494</v>
      </c>
      <c r="C5615" s="78">
        <v>5.33e-5</v>
      </c>
      <c r="D5615" s="78">
        <v>659269.78</v>
      </c>
      <c r="E5615" s="78">
        <f>TRUNC(C5615*D5615,2)</f>
        <v>35.13</v>
      </c>
    </row>
    <row r="5616" spans="1:5">
      <c r="A5616" s="76" t="s">
        <v>122</v>
      </c>
      <c r="B5616" s="77"/>
      <c r="C5616" s="78"/>
      <c r="D5616" s="78"/>
      <c r="E5616" s="78">
        <f>SUM(E5615:E5615)</f>
        <v>35.13</v>
      </c>
    </row>
    <row r="5617" spans="1:5">
      <c r="A5617" s="76"/>
      <c r="B5617" s="77"/>
      <c r="C5617" s="78"/>
      <c r="D5617" s="78"/>
      <c r="E5617" s="78"/>
    </row>
    <row r="5618" spans="1:5">
      <c r="A5618" s="76" t="s">
        <v>2538</v>
      </c>
      <c r="B5618" s="77"/>
      <c r="C5618" s="78"/>
      <c r="D5618" s="78"/>
      <c r="E5618" s="78">
        <f>E5616</f>
        <v>35.13</v>
      </c>
    </row>
    <row r="5619" spans="1:5">
      <c r="A5619" s="76" t="s">
        <v>2539</v>
      </c>
      <c r="B5619" s="77"/>
      <c r="C5619" s="78"/>
      <c r="D5619" s="78">
        <v>0</v>
      </c>
      <c r="E5619" s="78">
        <f>TRUNC(D5619*E5618/100,2)</f>
        <v>0</v>
      </c>
    </row>
    <row r="5620" spans="1:5">
      <c r="A5620" s="76" t="s">
        <v>2540</v>
      </c>
      <c r="B5620" s="77"/>
      <c r="C5620" s="78"/>
      <c r="D5620" s="78"/>
      <c r="E5620" s="78">
        <f>E5618+E5619</f>
        <v>35.13</v>
      </c>
    </row>
    <row r="5621" spans="1:5">
      <c r="A5621" s="76"/>
      <c r="B5621" s="77"/>
      <c r="C5621" s="78"/>
      <c r="D5621" s="78"/>
      <c r="E5621" s="78"/>
    </row>
    <row r="5622" spans="1:5">
      <c r="A5622" s="76" t="s">
        <v>3092</v>
      </c>
      <c r="B5622" s="77" t="s">
        <v>3807</v>
      </c>
      <c r="C5622" s="78"/>
      <c r="D5622" s="78"/>
      <c r="E5622" s="78"/>
    </row>
    <row r="5623" ht="38.25" spans="1:5">
      <c r="A5623" s="76" t="s">
        <v>3808</v>
      </c>
      <c r="B5623" s="77"/>
      <c r="C5623" s="78"/>
      <c r="D5623" s="78"/>
      <c r="E5623" s="78"/>
    </row>
    <row r="5624" spans="1:5">
      <c r="A5624" s="76" t="s">
        <v>2764</v>
      </c>
      <c r="B5624" s="77"/>
      <c r="C5624" s="78"/>
      <c r="D5624" s="78"/>
      <c r="E5624" s="78"/>
    </row>
    <row r="5625" spans="1:5">
      <c r="A5625" s="76"/>
      <c r="B5625" s="77"/>
      <c r="C5625" s="78"/>
      <c r="D5625" s="78"/>
      <c r="E5625" s="78"/>
    </row>
    <row r="5626" spans="1:5">
      <c r="A5626" s="76" t="s">
        <v>2543</v>
      </c>
      <c r="B5626" s="77" t="s">
        <v>135</v>
      </c>
      <c r="C5626" s="78" t="s">
        <v>136</v>
      </c>
      <c r="D5626" s="78" t="s">
        <v>2534</v>
      </c>
      <c r="E5626" s="78" t="s">
        <v>2535</v>
      </c>
    </row>
    <row r="5627" ht="25.5" spans="1:5">
      <c r="A5627" s="76" t="s">
        <v>3804</v>
      </c>
      <c r="B5627" s="77" t="s">
        <v>494</v>
      </c>
      <c r="C5627" s="78">
        <v>1.44e-5</v>
      </c>
      <c r="D5627" s="78">
        <v>659269.78</v>
      </c>
      <c r="E5627" s="78">
        <f>TRUNC(C5627*D5627,2)</f>
        <v>9.49</v>
      </c>
    </row>
    <row r="5628" spans="1:5">
      <c r="A5628" s="76" t="s">
        <v>122</v>
      </c>
      <c r="B5628" s="77"/>
      <c r="C5628" s="78"/>
      <c r="D5628" s="78"/>
      <c r="E5628" s="78">
        <f>SUM(E5627:E5627)</f>
        <v>9.49</v>
      </c>
    </row>
    <row r="5629" spans="1:5">
      <c r="A5629" s="76"/>
      <c r="B5629" s="77"/>
      <c r="C5629" s="78"/>
      <c r="D5629" s="78"/>
      <c r="E5629" s="78"/>
    </row>
    <row r="5630" spans="1:5">
      <c r="A5630" s="76" t="s">
        <v>2538</v>
      </c>
      <c r="B5630" s="77"/>
      <c r="C5630" s="78"/>
      <c r="D5630" s="78"/>
      <c r="E5630" s="78">
        <f>E5628</f>
        <v>9.49</v>
      </c>
    </row>
    <row r="5631" spans="1:5">
      <c r="A5631" s="76" t="s">
        <v>2539</v>
      </c>
      <c r="B5631" s="77"/>
      <c r="C5631" s="78"/>
      <c r="D5631" s="78">
        <v>0</v>
      </c>
      <c r="E5631" s="78">
        <f>TRUNC(D5631*E5630/100,2)</f>
        <v>0</v>
      </c>
    </row>
    <row r="5632" spans="1:5">
      <c r="A5632" s="76" t="s">
        <v>2540</v>
      </c>
      <c r="B5632" s="77"/>
      <c r="C5632" s="78"/>
      <c r="D5632" s="78"/>
      <c r="E5632" s="78">
        <f>E5630+E5631</f>
        <v>9.49</v>
      </c>
    </row>
    <row r="5633" spans="1:5">
      <c r="A5633" s="76"/>
      <c r="B5633" s="77"/>
      <c r="C5633" s="78"/>
      <c r="D5633" s="78"/>
      <c r="E5633" s="78"/>
    </row>
    <row r="5634" spans="1:5">
      <c r="A5634" s="76" t="s">
        <v>3092</v>
      </c>
      <c r="B5634" s="77" t="s">
        <v>3809</v>
      </c>
      <c r="C5634" s="78"/>
      <c r="D5634" s="78"/>
      <c r="E5634" s="78"/>
    </row>
    <row r="5635" ht="38.25" spans="1:5">
      <c r="A5635" s="76" t="s">
        <v>3810</v>
      </c>
      <c r="B5635" s="77"/>
      <c r="C5635" s="78"/>
      <c r="D5635" s="78"/>
      <c r="E5635" s="78"/>
    </row>
    <row r="5636" spans="1:5">
      <c r="A5636" s="76" t="s">
        <v>2764</v>
      </c>
      <c r="B5636" s="77"/>
      <c r="C5636" s="78"/>
      <c r="D5636" s="78"/>
      <c r="E5636" s="78"/>
    </row>
    <row r="5637" spans="1:5">
      <c r="A5637" s="76"/>
      <c r="B5637" s="77"/>
      <c r="C5637" s="78"/>
      <c r="D5637" s="78"/>
      <c r="E5637" s="78"/>
    </row>
    <row r="5638" spans="1:5">
      <c r="A5638" s="76" t="s">
        <v>2543</v>
      </c>
      <c r="B5638" s="77" t="s">
        <v>135</v>
      </c>
      <c r="C5638" s="78" t="s">
        <v>136</v>
      </c>
      <c r="D5638" s="78" t="s">
        <v>2534</v>
      </c>
      <c r="E5638" s="78" t="s">
        <v>2535</v>
      </c>
    </row>
    <row r="5639" spans="1:5">
      <c r="A5639" s="76" t="s">
        <v>3202</v>
      </c>
      <c r="B5639" s="77" t="s">
        <v>215</v>
      </c>
      <c r="C5639" s="78">
        <v>9.55</v>
      </c>
      <c r="D5639" s="78">
        <v>5.93</v>
      </c>
      <c r="E5639" s="78">
        <f>TRUNC(C5639*D5639,2)</f>
        <v>56.63</v>
      </c>
    </row>
    <row r="5640" spans="1:5">
      <c r="A5640" s="76" t="s">
        <v>122</v>
      </c>
      <c r="B5640" s="77"/>
      <c r="C5640" s="78"/>
      <c r="D5640" s="78"/>
      <c r="E5640" s="78">
        <f>SUM(E5639:E5639)</f>
        <v>56.63</v>
      </c>
    </row>
    <row r="5641" spans="1:5">
      <c r="A5641" s="76"/>
      <c r="B5641" s="77"/>
      <c r="C5641" s="78"/>
      <c r="D5641" s="78"/>
      <c r="E5641" s="78"/>
    </row>
    <row r="5642" spans="1:5">
      <c r="A5642" s="76" t="s">
        <v>2538</v>
      </c>
      <c r="B5642" s="77"/>
      <c r="C5642" s="78"/>
      <c r="D5642" s="78"/>
      <c r="E5642" s="78">
        <f>E5640</f>
        <v>56.63</v>
      </c>
    </row>
    <row r="5643" spans="1:5">
      <c r="A5643" s="76" t="s">
        <v>2539</v>
      </c>
      <c r="B5643" s="77"/>
      <c r="C5643" s="78"/>
      <c r="D5643" s="78">
        <v>0</v>
      </c>
      <c r="E5643" s="78">
        <f>TRUNC(D5643*E5642/100,2)</f>
        <v>0</v>
      </c>
    </row>
    <row r="5644" spans="1:5">
      <c r="A5644" s="76" t="s">
        <v>2540</v>
      </c>
      <c r="B5644" s="77"/>
      <c r="C5644" s="78"/>
      <c r="D5644" s="78"/>
      <c r="E5644" s="78">
        <f>E5642+E5643</f>
        <v>56.63</v>
      </c>
    </row>
    <row r="5645" spans="1:5">
      <c r="A5645" s="76"/>
      <c r="B5645" s="77"/>
      <c r="C5645" s="78"/>
      <c r="D5645" s="78"/>
      <c r="E5645" s="78"/>
    </row>
    <row r="5646" spans="1:5">
      <c r="A5646" s="76" t="s">
        <v>3092</v>
      </c>
      <c r="B5646" s="77" t="s">
        <v>3811</v>
      </c>
      <c r="C5646" s="78"/>
      <c r="D5646" s="78"/>
      <c r="E5646" s="78"/>
    </row>
    <row r="5647" ht="38.25" spans="1:5">
      <c r="A5647" s="76" t="s">
        <v>3812</v>
      </c>
      <c r="B5647" s="77"/>
      <c r="C5647" s="78"/>
      <c r="D5647" s="78"/>
      <c r="E5647" s="78"/>
    </row>
    <row r="5648" spans="1:5">
      <c r="A5648" s="76" t="s">
        <v>3091</v>
      </c>
      <c r="B5648" s="77"/>
      <c r="C5648" s="78"/>
      <c r="D5648" s="78"/>
      <c r="E5648" s="78"/>
    </row>
    <row r="5649" spans="1:5">
      <c r="A5649" s="76"/>
      <c r="B5649" s="77"/>
      <c r="C5649" s="78"/>
      <c r="D5649" s="78"/>
      <c r="E5649" s="78"/>
    </row>
    <row r="5650" spans="1:5">
      <c r="A5650" s="76" t="s">
        <v>2543</v>
      </c>
      <c r="B5650" s="77" t="s">
        <v>135</v>
      </c>
      <c r="C5650" s="78" t="s">
        <v>136</v>
      </c>
      <c r="D5650" s="78" t="s">
        <v>2534</v>
      </c>
      <c r="E5650" s="78" t="s">
        <v>2535</v>
      </c>
    </row>
    <row r="5651" ht="25.5" spans="1:5">
      <c r="A5651" s="76" t="s">
        <v>3791</v>
      </c>
      <c r="B5651" s="77" t="s">
        <v>839</v>
      </c>
      <c r="C5651" s="78">
        <v>1</v>
      </c>
      <c r="D5651" s="78">
        <v>26</v>
      </c>
      <c r="E5651" s="78">
        <f>TRUNC(C5651*D5651,2)</f>
        <v>26</v>
      </c>
    </row>
    <row r="5652" ht="38.25" spans="1:5">
      <c r="A5652" s="76" t="s">
        <v>3793</v>
      </c>
      <c r="B5652" s="77" t="s">
        <v>839</v>
      </c>
      <c r="C5652" s="78">
        <v>1</v>
      </c>
      <c r="D5652" s="78">
        <v>35.13</v>
      </c>
      <c r="E5652" s="78">
        <f>TRUNC(C5652*D5652,2)</f>
        <v>35.13</v>
      </c>
    </row>
    <row r="5653" ht="38.25" spans="1:5">
      <c r="A5653" s="76" t="s">
        <v>3794</v>
      </c>
      <c r="B5653" s="77" t="s">
        <v>839</v>
      </c>
      <c r="C5653" s="78">
        <v>1</v>
      </c>
      <c r="D5653" s="78">
        <v>9.49</v>
      </c>
      <c r="E5653" s="78">
        <f>TRUNC(C5653*D5653,2)</f>
        <v>9.49</v>
      </c>
    </row>
    <row r="5654" spans="1:5">
      <c r="A5654" s="76" t="s">
        <v>122</v>
      </c>
      <c r="B5654" s="77"/>
      <c r="C5654" s="78"/>
      <c r="D5654" s="78"/>
      <c r="E5654" s="78">
        <f>SUM(E5651:E5653)</f>
        <v>70.62</v>
      </c>
    </row>
    <row r="5655" spans="1:5">
      <c r="A5655" s="76"/>
      <c r="B5655" s="77"/>
      <c r="C5655" s="78"/>
      <c r="D5655" s="78"/>
      <c r="E5655" s="78"/>
    </row>
    <row r="5656" spans="1:5">
      <c r="A5656" s="76" t="s">
        <v>2538</v>
      </c>
      <c r="B5656" s="77"/>
      <c r="C5656" s="78"/>
      <c r="D5656" s="78"/>
      <c r="E5656" s="78">
        <f>E5654</f>
        <v>70.62</v>
      </c>
    </row>
    <row r="5657" spans="1:5">
      <c r="A5657" s="76" t="s">
        <v>2539</v>
      </c>
      <c r="B5657" s="77"/>
      <c r="C5657" s="78"/>
      <c r="D5657" s="78">
        <v>0</v>
      </c>
      <c r="E5657" s="78">
        <f>TRUNC(D5657*E5656/100,2)</f>
        <v>0</v>
      </c>
    </row>
    <row r="5658" spans="1:5">
      <c r="A5658" s="76" t="s">
        <v>2540</v>
      </c>
      <c r="B5658" s="77"/>
      <c r="C5658" s="78"/>
      <c r="D5658" s="78"/>
      <c r="E5658" s="78">
        <f>E5656+E5657</f>
        <v>70.62</v>
      </c>
    </row>
    <row r="5659" spans="1:5">
      <c r="A5659" s="76"/>
      <c r="B5659" s="77"/>
      <c r="C5659" s="78"/>
      <c r="D5659" s="78"/>
      <c r="E5659" s="78"/>
    </row>
    <row r="5660" spans="1:5">
      <c r="A5660" s="76" t="s">
        <v>3092</v>
      </c>
      <c r="B5660" s="77" t="s">
        <v>3813</v>
      </c>
      <c r="C5660" s="78"/>
      <c r="D5660" s="78"/>
      <c r="E5660" s="78"/>
    </row>
    <row r="5661" ht="25.5" spans="1:5">
      <c r="A5661" s="76" t="s">
        <v>3814</v>
      </c>
      <c r="B5661" s="77"/>
      <c r="C5661" s="78"/>
      <c r="D5661" s="78"/>
      <c r="E5661" s="78"/>
    </row>
    <row r="5662" spans="1:5">
      <c r="A5662" s="76" t="s">
        <v>3085</v>
      </c>
      <c r="B5662" s="77"/>
      <c r="C5662" s="78"/>
      <c r="D5662" s="78"/>
      <c r="E5662" s="78"/>
    </row>
    <row r="5663" spans="1:5">
      <c r="A5663" s="76"/>
      <c r="B5663" s="77"/>
      <c r="C5663" s="78"/>
      <c r="D5663" s="78"/>
      <c r="E5663" s="78"/>
    </row>
    <row r="5664" spans="1:5">
      <c r="A5664" s="76" t="s">
        <v>2543</v>
      </c>
      <c r="B5664" s="77" t="s">
        <v>135</v>
      </c>
      <c r="C5664" s="78" t="s">
        <v>136</v>
      </c>
      <c r="D5664" s="78" t="s">
        <v>2534</v>
      </c>
      <c r="E5664" s="78" t="s">
        <v>2535</v>
      </c>
    </row>
    <row r="5665" ht="25.5" spans="1:5">
      <c r="A5665" s="76" t="s">
        <v>3815</v>
      </c>
      <c r="B5665" s="77" t="s">
        <v>839</v>
      </c>
      <c r="C5665" s="78">
        <v>1</v>
      </c>
      <c r="D5665" s="78">
        <v>26</v>
      </c>
      <c r="E5665" s="78">
        <f>TRUNC(C5665*D5665,2)</f>
        <v>26</v>
      </c>
    </row>
    <row r="5666" ht="25.5" spans="1:5">
      <c r="A5666" s="76" t="s">
        <v>3816</v>
      </c>
      <c r="B5666" s="77" t="s">
        <v>839</v>
      </c>
      <c r="C5666" s="78">
        <v>1</v>
      </c>
      <c r="D5666" s="78">
        <v>1.98</v>
      </c>
      <c r="E5666" s="78">
        <f>TRUNC(C5666*D5666,2)</f>
        <v>1.98</v>
      </c>
    </row>
    <row r="5667" ht="25.5" spans="1:5">
      <c r="A5667" s="76" t="s">
        <v>3817</v>
      </c>
      <c r="B5667" s="77" t="s">
        <v>839</v>
      </c>
      <c r="C5667" s="78">
        <v>1</v>
      </c>
      <c r="D5667" s="78">
        <v>0.36</v>
      </c>
      <c r="E5667" s="78">
        <f>TRUNC(C5667*D5667,2)</f>
        <v>0.36</v>
      </c>
    </row>
    <row r="5668" ht="25.5" spans="1:5">
      <c r="A5668" s="76" t="s">
        <v>3818</v>
      </c>
      <c r="B5668" s="77" t="s">
        <v>839</v>
      </c>
      <c r="C5668" s="78">
        <v>1</v>
      </c>
      <c r="D5668" s="78">
        <v>1.58</v>
      </c>
      <c r="E5668" s="78">
        <f>TRUNC(C5668*D5668,2)</f>
        <v>1.58</v>
      </c>
    </row>
    <row r="5669" spans="1:5">
      <c r="A5669" s="76" t="s">
        <v>122</v>
      </c>
      <c r="B5669" s="77"/>
      <c r="C5669" s="78"/>
      <c r="D5669" s="78"/>
      <c r="E5669" s="78">
        <f>SUM(E5665:E5668)</f>
        <v>29.92</v>
      </c>
    </row>
    <row r="5670" spans="1:5">
      <c r="A5670" s="76"/>
      <c r="B5670" s="77"/>
      <c r="C5670" s="78"/>
      <c r="D5670" s="78"/>
      <c r="E5670" s="78"/>
    </row>
    <row r="5671" spans="1:5">
      <c r="A5671" s="76" t="s">
        <v>2538</v>
      </c>
      <c r="B5671" s="77"/>
      <c r="C5671" s="78"/>
      <c r="D5671" s="78"/>
      <c r="E5671" s="78">
        <f>E5669</f>
        <v>29.92</v>
      </c>
    </row>
    <row r="5672" spans="1:5">
      <c r="A5672" s="76" t="s">
        <v>2539</v>
      </c>
      <c r="B5672" s="77"/>
      <c r="C5672" s="78"/>
      <c r="D5672" s="78">
        <v>0</v>
      </c>
      <c r="E5672" s="78">
        <f>TRUNC(D5672*E5671/100,2)</f>
        <v>0</v>
      </c>
    </row>
    <row r="5673" spans="1:5">
      <c r="A5673" s="76" t="s">
        <v>2540</v>
      </c>
      <c r="B5673" s="77"/>
      <c r="C5673" s="78"/>
      <c r="D5673" s="78"/>
      <c r="E5673" s="78">
        <f>E5671+E5672</f>
        <v>29.92</v>
      </c>
    </row>
    <row r="5674" spans="1:5">
      <c r="A5674" s="76"/>
      <c r="B5674" s="77"/>
      <c r="C5674" s="78"/>
      <c r="D5674" s="78"/>
      <c r="E5674" s="78"/>
    </row>
    <row r="5675" spans="1:5">
      <c r="A5675" s="76" t="s">
        <v>3092</v>
      </c>
      <c r="B5675" s="77" t="s">
        <v>3819</v>
      </c>
      <c r="C5675" s="78"/>
      <c r="D5675" s="78"/>
      <c r="E5675" s="78"/>
    </row>
    <row r="5676" ht="25.5" spans="1:5">
      <c r="A5676" s="76" t="s">
        <v>3820</v>
      </c>
      <c r="B5676" s="77"/>
      <c r="C5676" s="78"/>
      <c r="D5676" s="78"/>
      <c r="E5676" s="78"/>
    </row>
    <row r="5677" spans="1:5">
      <c r="A5677" s="76" t="s">
        <v>2764</v>
      </c>
      <c r="B5677" s="77"/>
      <c r="C5677" s="78"/>
      <c r="D5677" s="78"/>
      <c r="E5677" s="78"/>
    </row>
    <row r="5678" spans="1:5">
      <c r="A5678" s="76"/>
      <c r="B5678" s="77"/>
      <c r="C5678" s="78"/>
      <c r="D5678" s="78"/>
      <c r="E5678" s="78"/>
    </row>
    <row r="5679" spans="1:5">
      <c r="A5679" s="76" t="s">
        <v>279</v>
      </c>
      <c r="B5679" s="77" t="s">
        <v>135</v>
      </c>
      <c r="C5679" s="78" t="s">
        <v>136</v>
      </c>
      <c r="D5679" s="78" t="s">
        <v>2534</v>
      </c>
      <c r="E5679" s="78" t="s">
        <v>2535</v>
      </c>
    </row>
    <row r="5680" ht="25.5" spans="1:5">
      <c r="A5680" s="76" t="s">
        <v>3111</v>
      </c>
      <c r="B5680" s="77" t="s">
        <v>839</v>
      </c>
      <c r="C5680" s="78">
        <v>1</v>
      </c>
      <c r="D5680" s="78">
        <v>1.5</v>
      </c>
      <c r="E5680" s="78">
        <f>TRUNC(C5680*D5680,2)</f>
        <v>1.5</v>
      </c>
    </row>
    <row r="5681" spans="1:5">
      <c r="A5681" s="76" t="s">
        <v>122</v>
      </c>
      <c r="B5681" s="77"/>
      <c r="C5681" s="78"/>
      <c r="D5681" s="78"/>
      <c r="E5681" s="78">
        <f>SUM(E5680:E5680)</f>
        <v>1.5</v>
      </c>
    </row>
    <row r="5682" spans="1:5">
      <c r="A5682" s="76"/>
      <c r="B5682" s="77"/>
      <c r="C5682" s="78"/>
      <c r="D5682" s="78"/>
      <c r="E5682" s="78"/>
    </row>
    <row r="5683" spans="1:5">
      <c r="A5683" s="76" t="s">
        <v>280</v>
      </c>
      <c r="B5683" s="77" t="s">
        <v>135</v>
      </c>
      <c r="C5683" s="78" t="s">
        <v>136</v>
      </c>
      <c r="D5683" s="78" t="s">
        <v>2534</v>
      </c>
      <c r="E5683" s="78" t="s">
        <v>2535</v>
      </c>
    </row>
    <row r="5684" ht="25.5" spans="1:5">
      <c r="A5684" s="76" t="s">
        <v>3112</v>
      </c>
      <c r="B5684" s="77" t="s">
        <v>839</v>
      </c>
      <c r="C5684" s="78">
        <v>1</v>
      </c>
      <c r="D5684" s="78">
        <v>3.95</v>
      </c>
      <c r="E5684" s="78">
        <f>TRUNC(C5684*D5684,2)</f>
        <v>3.95</v>
      </c>
    </row>
    <row r="5685" spans="1:5">
      <c r="A5685" s="76" t="s">
        <v>3821</v>
      </c>
      <c r="B5685" s="77" t="s">
        <v>839</v>
      </c>
      <c r="C5685" s="78">
        <v>1</v>
      </c>
      <c r="D5685" s="78">
        <v>18</v>
      </c>
      <c r="E5685" s="78">
        <f>TRUNC(C5685*D5685,2)</f>
        <v>18</v>
      </c>
    </row>
    <row r="5686" ht="25.5" spans="1:5">
      <c r="A5686" s="76" t="s">
        <v>3113</v>
      </c>
      <c r="B5686" s="77" t="s">
        <v>839</v>
      </c>
      <c r="C5686" s="78">
        <v>1</v>
      </c>
      <c r="D5686" s="78">
        <v>0.08</v>
      </c>
      <c r="E5686" s="78">
        <f>TRUNC(C5686*D5686,2)</f>
        <v>0.08</v>
      </c>
    </row>
    <row r="5687" spans="1:5">
      <c r="A5687" s="76" t="s">
        <v>122</v>
      </c>
      <c r="B5687" s="77"/>
      <c r="C5687" s="78"/>
      <c r="D5687" s="78"/>
      <c r="E5687" s="78">
        <f>SUM(E5684:E5686)</f>
        <v>22.03</v>
      </c>
    </row>
    <row r="5688" spans="1:5">
      <c r="A5688" s="76" t="s">
        <v>117</v>
      </c>
      <c r="B5688" s="77"/>
      <c r="C5688" s="78"/>
      <c r="D5688" s="78"/>
      <c r="E5688" s="78" t="str">
        <f>"0"</f>
        <v>0</v>
      </c>
    </row>
    <row r="5689" spans="1:5">
      <c r="A5689" s="76" t="s">
        <v>2537</v>
      </c>
      <c r="B5689" s="77"/>
      <c r="C5689" s="78"/>
      <c r="D5689" s="78"/>
      <c r="E5689" s="78">
        <f>E5687+E5688</f>
        <v>22.03</v>
      </c>
    </row>
    <row r="5690" spans="1:5">
      <c r="A5690" s="76"/>
      <c r="B5690" s="77"/>
      <c r="C5690" s="78"/>
      <c r="D5690" s="78"/>
      <c r="E5690" s="78"/>
    </row>
    <row r="5691" spans="1:5">
      <c r="A5691" s="76" t="s">
        <v>2543</v>
      </c>
      <c r="B5691" s="77" t="s">
        <v>135</v>
      </c>
      <c r="C5691" s="78" t="s">
        <v>136</v>
      </c>
      <c r="D5691" s="78" t="s">
        <v>2534</v>
      </c>
      <c r="E5691" s="78" t="s">
        <v>2535</v>
      </c>
    </row>
    <row r="5692" ht="25.5" spans="1:5">
      <c r="A5692" s="76" t="s">
        <v>3195</v>
      </c>
      <c r="B5692" s="77" t="s">
        <v>839</v>
      </c>
      <c r="C5692" s="78">
        <v>1</v>
      </c>
      <c r="D5692" s="78">
        <v>0.89</v>
      </c>
      <c r="E5692" s="78">
        <f>TRUNC(C5692*D5692,2)</f>
        <v>0.89</v>
      </c>
    </row>
    <row r="5693" spans="1:5">
      <c r="A5693" s="76" t="s">
        <v>3116</v>
      </c>
      <c r="B5693" s="77" t="s">
        <v>839</v>
      </c>
      <c r="C5693" s="78">
        <v>1</v>
      </c>
      <c r="D5693" s="78">
        <v>1.43</v>
      </c>
      <c r="E5693" s="78">
        <f>TRUNC(C5693*D5693,2)</f>
        <v>1.43</v>
      </c>
    </row>
    <row r="5694" ht="25.5" spans="1:5">
      <c r="A5694" s="76" t="s">
        <v>3196</v>
      </c>
      <c r="B5694" s="77" t="s">
        <v>839</v>
      </c>
      <c r="C5694" s="78">
        <v>1</v>
      </c>
      <c r="D5694" s="78">
        <v>0.01</v>
      </c>
      <c r="E5694" s="78">
        <f>TRUNC(C5694*D5694,2)</f>
        <v>0.01</v>
      </c>
    </row>
    <row r="5695" ht="25.5" spans="1:5">
      <c r="A5695" s="76" t="s">
        <v>3822</v>
      </c>
      <c r="B5695" s="77" t="s">
        <v>839</v>
      </c>
      <c r="C5695" s="78">
        <v>1</v>
      </c>
      <c r="D5695" s="78">
        <v>0.14</v>
      </c>
      <c r="E5695" s="78">
        <f>TRUNC(C5695*D5695,2)</f>
        <v>0.14</v>
      </c>
    </row>
    <row r="5696" spans="1:5">
      <c r="A5696" s="76" t="s">
        <v>122</v>
      </c>
      <c r="B5696" s="77"/>
      <c r="C5696" s="78"/>
      <c r="D5696" s="78"/>
      <c r="E5696" s="78">
        <f>SUM(E5692:E5695)</f>
        <v>2.47</v>
      </c>
    </row>
    <row r="5697" spans="1:5">
      <c r="A5697" s="76"/>
      <c r="B5697" s="77"/>
      <c r="C5697" s="78"/>
      <c r="D5697" s="78"/>
      <c r="E5697" s="78"/>
    </row>
    <row r="5698" spans="1:5">
      <c r="A5698" s="76" t="s">
        <v>2538</v>
      </c>
      <c r="B5698" s="77"/>
      <c r="C5698" s="78"/>
      <c r="D5698" s="78"/>
      <c r="E5698" s="78">
        <f>E5681+E5689+E5696</f>
        <v>26</v>
      </c>
    </row>
    <row r="5699" spans="1:5">
      <c r="A5699" s="76" t="s">
        <v>2539</v>
      </c>
      <c r="B5699" s="77"/>
      <c r="C5699" s="78"/>
      <c r="D5699" s="78">
        <v>0</v>
      </c>
      <c r="E5699" s="78">
        <f>TRUNC(D5699*E5698/100,2)</f>
        <v>0</v>
      </c>
    </row>
    <row r="5700" spans="1:5">
      <c r="A5700" s="76" t="s">
        <v>2540</v>
      </c>
      <c r="B5700" s="77"/>
      <c r="C5700" s="78"/>
      <c r="D5700" s="78"/>
      <c r="E5700" s="78">
        <f>E5698+E5699</f>
        <v>26</v>
      </c>
    </row>
    <row r="5701" spans="1:5">
      <c r="A5701" s="76"/>
      <c r="B5701" s="77"/>
      <c r="C5701" s="78"/>
      <c r="D5701" s="78"/>
      <c r="E5701" s="78"/>
    </row>
    <row r="5702" spans="1:5">
      <c r="A5702" s="76" t="s">
        <v>3092</v>
      </c>
      <c r="B5702" s="77" t="s">
        <v>3823</v>
      </c>
      <c r="C5702" s="78"/>
      <c r="D5702" s="78"/>
      <c r="E5702" s="78"/>
    </row>
    <row r="5703" ht="25.5" spans="1:5">
      <c r="A5703" s="76" t="s">
        <v>3824</v>
      </c>
      <c r="B5703" s="77"/>
      <c r="C5703" s="78"/>
      <c r="D5703" s="78"/>
      <c r="E5703" s="78"/>
    </row>
    <row r="5704" spans="1:5">
      <c r="A5704" s="76" t="s">
        <v>2764</v>
      </c>
      <c r="B5704" s="77"/>
      <c r="C5704" s="78"/>
      <c r="D5704" s="78"/>
      <c r="E5704" s="78"/>
    </row>
    <row r="5705" spans="1:5">
      <c r="A5705" s="76"/>
      <c r="B5705" s="77"/>
      <c r="C5705" s="78"/>
      <c r="D5705" s="78"/>
      <c r="E5705" s="78"/>
    </row>
    <row r="5706" spans="1:5">
      <c r="A5706" s="76" t="s">
        <v>280</v>
      </c>
      <c r="B5706" s="77" t="s">
        <v>135</v>
      </c>
      <c r="C5706" s="78" t="s">
        <v>136</v>
      </c>
      <c r="D5706" s="78" t="s">
        <v>2534</v>
      </c>
      <c r="E5706" s="78" t="s">
        <v>2535</v>
      </c>
    </row>
    <row r="5707" spans="1:5">
      <c r="A5707" s="76" t="s">
        <v>3821</v>
      </c>
      <c r="B5707" s="77" t="s">
        <v>839</v>
      </c>
      <c r="C5707" s="78">
        <v>0.00831</v>
      </c>
      <c r="D5707" s="78">
        <v>18</v>
      </c>
      <c r="E5707" s="78">
        <f>TRUNC(C5707*D5707,2)</f>
        <v>0.14</v>
      </c>
    </row>
    <row r="5708" spans="1:5">
      <c r="A5708" s="76" t="s">
        <v>122</v>
      </c>
      <c r="B5708" s="77"/>
      <c r="C5708" s="78"/>
      <c r="D5708" s="78"/>
      <c r="E5708" s="78">
        <f>SUM(E5707:E5707)</f>
        <v>0.14</v>
      </c>
    </row>
    <row r="5709" spans="1:5">
      <c r="A5709" s="76" t="s">
        <v>117</v>
      </c>
      <c r="B5709" s="77"/>
      <c r="C5709" s="78"/>
      <c r="D5709" s="78"/>
      <c r="E5709" s="78" t="str">
        <f>"0"</f>
        <v>0</v>
      </c>
    </row>
    <row r="5710" spans="1:5">
      <c r="A5710" s="76" t="s">
        <v>2537</v>
      </c>
      <c r="B5710" s="77"/>
      <c r="C5710" s="78"/>
      <c r="D5710" s="78"/>
      <c r="E5710" s="78">
        <f>E5708+E5709</f>
        <v>0.14</v>
      </c>
    </row>
    <row r="5711" spans="1:5">
      <c r="A5711" s="76"/>
      <c r="B5711" s="77"/>
      <c r="C5711" s="78"/>
      <c r="D5711" s="78"/>
      <c r="E5711" s="78"/>
    </row>
    <row r="5712" spans="1:5">
      <c r="A5712" s="76" t="s">
        <v>2538</v>
      </c>
      <c r="B5712" s="77"/>
      <c r="C5712" s="78"/>
      <c r="D5712" s="78"/>
      <c r="E5712" s="78">
        <f>E5710</f>
        <v>0.14</v>
      </c>
    </row>
    <row r="5713" spans="1:5">
      <c r="A5713" s="76" t="s">
        <v>2539</v>
      </c>
      <c r="B5713" s="77"/>
      <c r="C5713" s="78"/>
      <c r="D5713" s="78">
        <v>0</v>
      </c>
      <c r="E5713" s="78">
        <f>TRUNC(D5713*E5712/100,2)</f>
        <v>0</v>
      </c>
    </row>
    <row r="5714" spans="1:5">
      <c r="A5714" s="76" t="s">
        <v>2540</v>
      </c>
      <c r="B5714" s="77"/>
      <c r="C5714" s="78"/>
      <c r="D5714" s="78"/>
      <c r="E5714" s="78">
        <f>E5712+E5713</f>
        <v>0.14</v>
      </c>
    </row>
    <row r="5715" spans="1:5">
      <c r="A5715" s="76"/>
      <c r="B5715" s="77"/>
      <c r="C5715" s="78"/>
      <c r="D5715" s="78"/>
      <c r="E5715" s="78"/>
    </row>
    <row r="5716" spans="1:5">
      <c r="A5716" s="76" t="s">
        <v>3092</v>
      </c>
      <c r="B5716" s="77" t="s">
        <v>3825</v>
      </c>
      <c r="C5716" s="78"/>
      <c r="D5716" s="78"/>
      <c r="E5716" s="78"/>
    </row>
    <row r="5717" ht="25.5" spans="1:5">
      <c r="A5717" s="76" t="s">
        <v>3826</v>
      </c>
      <c r="B5717" s="77"/>
      <c r="C5717" s="78"/>
      <c r="D5717" s="78"/>
      <c r="E5717" s="78"/>
    </row>
    <row r="5718" spans="1:5">
      <c r="A5718" s="76" t="s">
        <v>2764</v>
      </c>
      <c r="B5718" s="77"/>
      <c r="C5718" s="78"/>
      <c r="D5718" s="78"/>
      <c r="E5718" s="78"/>
    </row>
    <row r="5719" spans="1:5">
      <c r="A5719" s="76"/>
      <c r="B5719" s="77"/>
      <c r="C5719" s="78"/>
      <c r="D5719" s="78"/>
      <c r="E5719" s="78"/>
    </row>
    <row r="5720" spans="1:5">
      <c r="A5720" s="76" t="s">
        <v>2543</v>
      </c>
      <c r="B5720" s="77" t="s">
        <v>135</v>
      </c>
      <c r="C5720" s="78" t="s">
        <v>136</v>
      </c>
      <c r="D5720" s="78" t="s">
        <v>2534</v>
      </c>
      <c r="E5720" s="78" t="s">
        <v>2535</v>
      </c>
    </row>
    <row r="5721" ht="25.5" spans="1:5">
      <c r="A5721" s="76" t="s">
        <v>3827</v>
      </c>
      <c r="B5721" s="77" t="s">
        <v>494</v>
      </c>
      <c r="C5721" s="78">
        <v>8e-5</v>
      </c>
      <c r="D5721" s="78">
        <v>24832.13</v>
      </c>
      <c r="E5721" s="78">
        <f>TRUNC(C5721*D5721,2)</f>
        <v>1.98</v>
      </c>
    </row>
    <row r="5722" spans="1:5">
      <c r="A5722" s="76" t="s">
        <v>122</v>
      </c>
      <c r="B5722" s="77"/>
      <c r="C5722" s="78"/>
      <c r="D5722" s="78"/>
      <c r="E5722" s="78">
        <f>SUM(E5721:E5721)</f>
        <v>1.98</v>
      </c>
    </row>
    <row r="5723" spans="1:5">
      <c r="A5723" s="76"/>
      <c r="B5723" s="77"/>
      <c r="C5723" s="78"/>
      <c r="D5723" s="78"/>
      <c r="E5723" s="78"/>
    </row>
    <row r="5724" spans="1:5">
      <c r="A5724" s="76" t="s">
        <v>2538</v>
      </c>
      <c r="B5724" s="77"/>
      <c r="C5724" s="78"/>
      <c r="D5724" s="78"/>
      <c r="E5724" s="78">
        <f>E5722</f>
        <v>1.98</v>
      </c>
    </row>
    <row r="5725" spans="1:5">
      <c r="A5725" s="76" t="s">
        <v>2539</v>
      </c>
      <c r="B5725" s="77"/>
      <c r="C5725" s="78"/>
      <c r="D5725" s="78">
        <v>0</v>
      </c>
      <c r="E5725" s="78">
        <f>TRUNC(D5725*E5724/100,2)</f>
        <v>0</v>
      </c>
    </row>
    <row r="5726" spans="1:5">
      <c r="A5726" s="76" t="s">
        <v>2540</v>
      </c>
      <c r="B5726" s="77"/>
      <c r="C5726" s="78"/>
      <c r="D5726" s="78"/>
      <c r="E5726" s="78">
        <f>E5724+E5725</f>
        <v>1.98</v>
      </c>
    </row>
    <row r="5727" spans="1:5">
      <c r="A5727" s="76"/>
      <c r="B5727" s="77"/>
      <c r="C5727" s="78"/>
      <c r="D5727" s="78"/>
      <c r="E5727" s="78"/>
    </row>
    <row r="5728" spans="1:5">
      <c r="A5728" s="76" t="s">
        <v>3092</v>
      </c>
      <c r="B5728" s="77" t="s">
        <v>3828</v>
      </c>
      <c r="C5728" s="78"/>
      <c r="D5728" s="78"/>
      <c r="E5728" s="78"/>
    </row>
    <row r="5729" ht="25.5" spans="1:5">
      <c r="A5729" s="76" t="s">
        <v>3829</v>
      </c>
      <c r="B5729" s="77"/>
      <c r="C5729" s="78"/>
      <c r="D5729" s="78"/>
      <c r="E5729" s="78"/>
    </row>
    <row r="5730" spans="1:5">
      <c r="A5730" s="76" t="s">
        <v>2764</v>
      </c>
      <c r="B5730" s="77"/>
      <c r="C5730" s="78"/>
      <c r="D5730" s="78"/>
      <c r="E5730" s="78"/>
    </row>
    <row r="5731" spans="1:5">
      <c r="A5731" s="76"/>
      <c r="B5731" s="77"/>
      <c r="C5731" s="78"/>
      <c r="D5731" s="78"/>
      <c r="E5731" s="78"/>
    </row>
    <row r="5732" spans="1:5">
      <c r="A5732" s="76" t="s">
        <v>2543</v>
      </c>
      <c r="B5732" s="77" t="s">
        <v>135</v>
      </c>
      <c r="C5732" s="78" t="s">
        <v>136</v>
      </c>
      <c r="D5732" s="78" t="s">
        <v>2534</v>
      </c>
      <c r="E5732" s="78" t="s">
        <v>2535</v>
      </c>
    </row>
    <row r="5733" ht="25.5" spans="1:5">
      <c r="A5733" s="76" t="s">
        <v>3827</v>
      </c>
      <c r="B5733" s="77" t="s">
        <v>494</v>
      </c>
      <c r="C5733" s="78">
        <v>1.48e-5</v>
      </c>
      <c r="D5733" s="78">
        <v>24832.13</v>
      </c>
      <c r="E5733" s="78">
        <f>TRUNC(C5733*D5733,2)</f>
        <v>0.36</v>
      </c>
    </row>
    <row r="5734" spans="1:5">
      <c r="A5734" s="76" t="s">
        <v>122</v>
      </c>
      <c r="B5734" s="77"/>
      <c r="C5734" s="78"/>
      <c r="D5734" s="78"/>
      <c r="E5734" s="78">
        <f>SUM(E5733:E5733)</f>
        <v>0.36</v>
      </c>
    </row>
    <row r="5735" spans="1:5">
      <c r="A5735" s="76"/>
      <c r="B5735" s="77"/>
      <c r="C5735" s="78"/>
      <c r="D5735" s="78"/>
      <c r="E5735" s="78"/>
    </row>
    <row r="5736" spans="1:5">
      <c r="A5736" s="76" t="s">
        <v>2538</v>
      </c>
      <c r="B5736" s="77"/>
      <c r="C5736" s="78"/>
      <c r="D5736" s="78"/>
      <c r="E5736" s="78">
        <f>E5734</f>
        <v>0.36</v>
      </c>
    </row>
    <row r="5737" spans="1:5">
      <c r="A5737" s="76" t="s">
        <v>2539</v>
      </c>
      <c r="B5737" s="77"/>
      <c r="C5737" s="78"/>
      <c r="D5737" s="78">
        <v>0</v>
      </c>
      <c r="E5737" s="78">
        <f>TRUNC(D5737*E5736/100,2)</f>
        <v>0</v>
      </c>
    </row>
    <row r="5738" spans="1:5">
      <c r="A5738" s="76" t="s">
        <v>2540</v>
      </c>
      <c r="B5738" s="77"/>
      <c r="C5738" s="78"/>
      <c r="D5738" s="78"/>
      <c r="E5738" s="78">
        <f>E5736+E5737</f>
        <v>0.36</v>
      </c>
    </row>
    <row r="5739" spans="1:5">
      <c r="A5739" s="76"/>
      <c r="B5739" s="77"/>
      <c r="C5739" s="78"/>
      <c r="D5739" s="78"/>
      <c r="E5739" s="78"/>
    </row>
    <row r="5740" spans="1:5">
      <c r="A5740" s="76" t="s">
        <v>3092</v>
      </c>
      <c r="B5740" s="77" t="s">
        <v>3830</v>
      </c>
      <c r="C5740" s="78"/>
      <c r="D5740" s="78"/>
      <c r="E5740" s="78"/>
    </row>
    <row r="5741" ht="25.5" spans="1:5">
      <c r="A5741" s="76" t="s">
        <v>3831</v>
      </c>
      <c r="B5741" s="77"/>
      <c r="C5741" s="78"/>
      <c r="D5741" s="78"/>
      <c r="E5741" s="78"/>
    </row>
    <row r="5742" spans="1:5">
      <c r="A5742" s="76" t="s">
        <v>2764</v>
      </c>
      <c r="B5742" s="77"/>
      <c r="C5742" s="78"/>
      <c r="D5742" s="78"/>
      <c r="E5742" s="78"/>
    </row>
    <row r="5743" spans="1:5">
      <c r="A5743" s="76"/>
      <c r="B5743" s="77"/>
      <c r="C5743" s="78"/>
      <c r="D5743" s="78"/>
      <c r="E5743" s="78"/>
    </row>
    <row r="5744" spans="1:5">
      <c r="A5744" s="76" t="s">
        <v>2543</v>
      </c>
      <c r="B5744" s="77" t="s">
        <v>135</v>
      </c>
      <c r="C5744" s="78" t="s">
        <v>136</v>
      </c>
      <c r="D5744" s="78" t="s">
        <v>2534</v>
      </c>
      <c r="E5744" s="78" t="s">
        <v>2535</v>
      </c>
    </row>
    <row r="5745" ht="25.5" spans="1:5">
      <c r="A5745" s="76" t="s">
        <v>3827</v>
      </c>
      <c r="B5745" s="77" t="s">
        <v>494</v>
      </c>
      <c r="C5745" s="78">
        <v>6.4e-5</v>
      </c>
      <c r="D5745" s="78">
        <v>24832.13</v>
      </c>
      <c r="E5745" s="78">
        <f>TRUNC(C5745*D5745,2)</f>
        <v>1.58</v>
      </c>
    </row>
    <row r="5746" spans="1:5">
      <c r="A5746" s="76" t="s">
        <v>122</v>
      </c>
      <c r="B5746" s="77"/>
      <c r="C5746" s="78"/>
      <c r="D5746" s="78"/>
      <c r="E5746" s="78">
        <f>SUM(E5745:E5745)</f>
        <v>1.58</v>
      </c>
    </row>
    <row r="5747" spans="1:5">
      <c r="A5747" s="76"/>
      <c r="B5747" s="77"/>
      <c r="C5747" s="78"/>
      <c r="D5747" s="78"/>
      <c r="E5747" s="78"/>
    </row>
    <row r="5748" spans="1:5">
      <c r="A5748" s="76" t="s">
        <v>2538</v>
      </c>
      <c r="B5748" s="77"/>
      <c r="C5748" s="78"/>
      <c r="D5748" s="78"/>
      <c r="E5748" s="78">
        <f>E5746</f>
        <v>1.58</v>
      </c>
    </row>
    <row r="5749" spans="1:5">
      <c r="A5749" s="76" t="s">
        <v>2539</v>
      </c>
      <c r="B5749" s="77"/>
      <c r="C5749" s="78"/>
      <c r="D5749" s="78">
        <v>0</v>
      </c>
      <c r="E5749" s="78">
        <f>TRUNC(D5749*E5748/100,2)</f>
        <v>0</v>
      </c>
    </row>
    <row r="5750" spans="1:5">
      <c r="A5750" s="76" t="s">
        <v>2540</v>
      </c>
      <c r="B5750" s="77"/>
      <c r="C5750" s="78"/>
      <c r="D5750" s="78"/>
      <c r="E5750" s="78">
        <f>E5748+E5749</f>
        <v>1.58</v>
      </c>
    </row>
    <row r="5751" spans="1:5">
      <c r="A5751" s="76"/>
      <c r="B5751" s="77"/>
      <c r="C5751" s="78"/>
      <c r="D5751" s="78"/>
      <c r="E5751" s="78"/>
    </row>
    <row r="5752" spans="1:5">
      <c r="A5752" s="76" t="s">
        <v>3092</v>
      </c>
      <c r="B5752" s="77" t="s">
        <v>3832</v>
      </c>
      <c r="C5752" s="78"/>
      <c r="D5752" s="78"/>
      <c r="E5752" s="78"/>
    </row>
    <row r="5753" ht="25.5" spans="1:5">
      <c r="A5753" s="76" t="s">
        <v>3833</v>
      </c>
      <c r="B5753" s="77"/>
      <c r="C5753" s="78"/>
      <c r="D5753" s="78"/>
      <c r="E5753" s="78"/>
    </row>
    <row r="5754" spans="1:5">
      <c r="A5754" s="76" t="s">
        <v>3085</v>
      </c>
      <c r="B5754" s="77"/>
      <c r="C5754" s="78"/>
      <c r="D5754" s="78"/>
      <c r="E5754" s="78"/>
    </row>
    <row r="5755" spans="1:5">
      <c r="A5755" s="76"/>
      <c r="B5755" s="77"/>
      <c r="C5755" s="78"/>
      <c r="D5755" s="78"/>
      <c r="E5755" s="78"/>
    </row>
    <row r="5756" spans="1:5">
      <c r="A5756" s="76" t="s">
        <v>2543</v>
      </c>
      <c r="B5756" s="77" t="s">
        <v>135</v>
      </c>
      <c r="C5756" s="78" t="s">
        <v>136</v>
      </c>
      <c r="D5756" s="78" t="s">
        <v>2534</v>
      </c>
      <c r="E5756" s="78" t="s">
        <v>2535</v>
      </c>
    </row>
    <row r="5757" ht="38.25" spans="1:5">
      <c r="A5757" s="76" t="s">
        <v>3834</v>
      </c>
      <c r="B5757" s="77" t="s">
        <v>839</v>
      </c>
      <c r="C5757" s="78">
        <v>1</v>
      </c>
      <c r="D5757" s="78">
        <v>46.72</v>
      </c>
      <c r="E5757" s="78">
        <f>TRUNC(C5757*D5757,2)</f>
        <v>46.72</v>
      </c>
    </row>
    <row r="5758" ht="38.25" spans="1:5">
      <c r="A5758" s="76" t="s">
        <v>3835</v>
      </c>
      <c r="B5758" s="77" t="s">
        <v>839</v>
      </c>
      <c r="C5758" s="78">
        <v>1</v>
      </c>
      <c r="D5758" s="78">
        <v>6.57</v>
      </c>
      <c r="E5758" s="78">
        <f>TRUNC(C5758*D5758,2)</f>
        <v>6.57</v>
      </c>
    </row>
    <row r="5759" ht="38.25" spans="1:5">
      <c r="A5759" s="76" t="s">
        <v>3836</v>
      </c>
      <c r="B5759" s="77" t="s">
        <v>839</v>
      </c>
      <c r="C5759" s="78">
        <v>1</v>
      </c>
      <c r="D5759" s="78">
        <v>5.25</v>
      </c>
      <c r="E5759" s="78">
        <f>TRUNC(C5759*D5759,2)</f>
        <v>5.25</v>
      </c>
    </row>
    <row r="5760" ht="25.5" spans="1:5">
      <c r="A5760" s="76" t="s">
        <v>3837</v>
      </c>
      <c r="B5760" s="77" t="s">
        <v>839</v>
      </c>
      <c r="C5760" s="78">
        <v>1</v>
      </c>
      <c r="D5760" s="78">
        <v>1.4</v>
      </c>
      <c r="E5760" s="78">
        <f>TRUNC(C5760*D5760,2)</f>
        <v>1.4</v>
      </c>
    </row>
    <row r="5761" spans="1:5">
      <c r="A5761" s="76" t="s">
        <v>122</v>
      </c>
      <c r="B5761" s="77"/>
      <c r="C5761" s="78"/>
      <c r="D5761" s="78"/>
      <c r="E5761" s="78">
        <f>SUM(E5757:E5760)</f>
        <v>59.94</v>
      </c>
    </row>
    <row r="5762" spans="1:5">
      <c r="A5762" s="76"/>
      <c r="B5762" s="77"/>
      <c r="C5762" s="78"/>
      <c r="D5762" s="78"/>
      <c r="E5762" s="78"/>
    </row>
    <row r="5763" spans="1:5">
      <c r="A5763" s="76" t="s">
        <v>2538</v>
      </c>
      <c r="B5763" s="77"/>
      <c r="C5763" s="78"/>
      <c r="D5763" s="78"/>
      <c r="E5763" s="78">
        <f>E5761</f>
        <v>59.94</v>
      </c>
    </row>
    <row r="5764" spans="1:5">
      <c r="A5764" s="76" t="s">
        <v>2539</v>
      </c>
      <c r="B5764" s="77"/>
      <c r="C5764" s="78"/>
      <c r="D5764" s="78">
        <v>0</v>
      </c>
      <c r="E5764" s="78">
        <f>TRUNC(D5764*E5763/100,2)</f>
        <v>0</v>
      </c>
    </row>
    <row r="5765" spans="1:5">
      <c r="A5765" s="76" t="s">
        <v>2540</v>
      </c>
      <c r="B5765" s="77"/>
      <c r="C5765" s="78"/>
      <c r="D5765" s="78"/>
      <c r="E5765" s="78">
        <f>E5763+E5764</f>
        <v>59.94</v>
      </c>
    </row>
    <row r="5766" spans="1:5">
      <c r="A5766" s="76"/>
      <c r="B5766" s="77"/>
      <c r="C5766" s="78"/>
      <c r="D5766" s="78"/>
      <c r="E5766" s="78"/>
    </row>
    <row r="5767" spans="1:5">
      <c r="A5767" s="76" t="s">
        <v>3092</v>
      </c>
      <c r="B5767" s="77" t="s">
        <v>3838</v>
      </c>
      <c r="C5767" s="78"/>
      <c r="D5767" s="78"/>
      <c r="E5767" s="78"/>
    </row>
    <row r="5768" ht="38.25" spans="1:5">
      <c r="A5768" s="76" t="s">
        <v>3839</v>
      </c>
      <c r="B5768" s="77"/>
      <c r="C5768" s="78"/>
      <c r="D5768" s="78"/>
      <c r="E5768" s="78"/>
    </row>
    <row r="5769" spans="1:5">
      <c r="A5769" s="76" t="s">
        <v>2764</v>
      </c>
      <c r="B5769" s="77"/>
      <c r="C5769" s="78"/>
      <c r="D5769" s="78"/>
      <c r="E5769" s="78"/>
    </row>
    <row r="5770" spans="1:5">
      <c r="A5770" s="76"/>
      <c r="B5770" s="77"/>
      <c r="C5770" s="78"/>
      <c r="D5770" s="78"/>
      <c r="E5770" s="78"/>
    </row>
    <row r="5771" spans="1:5">
      <c r="A5771" s="76" t="s">
        <v>2543</v>
      </c>
      <c r="B5771" s="77" t="s">
        <v>135</v>
      </c>
      <c r="C5771" s="78" t="s">
        <v>136</v>
      </c>
      <c r="D5771" s="78" t="s">
        <v>2534</v>
      </c>
      <c r="E5771" s="78" t="s">
        <v>2535</v>
      </c>
    </row>
    <row r="5772" spans="1:5">
      <c r="A5772" s="76" t="s">
        <v>3202</v>
      </c>
      <c r="B5772" s="77" t="s">
        <v>215</v>
      </c>
      <c r="C5772" s="78">
        <v>7.88</v>
      </c>
      <c r="D5772" s="78">
        <v>5.93</v>
      </c>
      <c r="E5772" s="78">
        <f>TRUNC(C5772*D5772,2)</f>
        <v>46.72</v>
      </c>
    </row>
    <row r="5773" spans="1:5">
      <c r="A5773" s="76" t="s">
        <v>122</v>
      </c>
      <c r="B5773" s="77"/>
      <c r="C5773" s="78"/>
      <c r="D5773" s="78"/>
      <c r="E5773" s="78">
        <f>SUM(E5772:E5772)</f>
        <v>46.72</v>
      </c>
    </row>
    <row r="5774" spans="1:5">
      <c r="A5774" s="76"/>
      <c r="B5774" s="77"/>
      <c r="C5774" s="78"/>
      <c r="D5774" s="78"/>
      <c r="E5774" s="78"/>
    </row>
    <row r="5775" spans="1:5">
      <c r="A5775" s="76" t="s">
        <v>2538</v>
      </c>
      <c r="B5775" s="77"/>
      <c r="C5775" s="78"/>
      <c r="D5775" s="78"/>
      <c r="E5775" s="78">
        <f>E5773</f>
        <v>46.72</v>
      </c>
    </row>
    <row r="5776" spans="1:5">
      <c r="A5776" s="76" t="s">
        <v>2539</v>
      </c>
      <c r="B5776" s="77"/>
      <c r="C5776" s="78"/>
      <c r="D5776" s="78">
        <v>0</v>
      </c>
      <c r="E5776" s="78">
        <f>TRUNC(D5776*E5775/100,2)</f>
        <v>0</v>
      </c>
    </row>
    <row r="5777" spans="1:5">
      <c r="A5777" s="76" t="s">
        <v>2540</v>
      </c>
      <c r="B5777" s="77"/>
      <c r="C5777" s="78"/>
      <c r="D5777" s="78"/>
      <c r="E5777" s="78">
        <f>E5775+E5776</f>
        <v>46.72</v>
      </c>
    </row>
    <row r="5778" spans="1:5">
      <c r="A5778" s="76"/>
      <c r="B5778" s="77"/>
      <c r="C5778" s="78"/>
      <c r="D5778" s="78"/>
      <c r="E5778" s="78"/>
    </row>
    <row r="5779" spans="1:5">
      <c r="A5779" s="76" t="s">
        <v>3092</v>
      </c>
      <c r="B5779" s="77" t="s">
        <v>3840</v>
      </c>
      <c r="C5779" s="78"/>
      <c r="D5779" s="78"/>
      <c r="E5779" s="78"/>
    </row>
    <row r="5780" ht="25.5" spans="1:5">
      <c r="A5780" s="76" t="s">
        <v>3841</v>
      </c>
      <c r="B5780" s="77"/>
      <c r="C5780" s="78"/>
      <c r="D5780" s="78"/>
      <c r="E5780" s="78"/>
    </row>
    <row r="5781" spans="1:5">
      <c r="A5781" s="76" t="s">
        <v>2764</v>
      </c>
      <c r="B5781" s="77"/>
      <c r="C5781" s="78"/>
      <c r="D5781" s="78"/>
      <c r="E5781" s="78"/>
    </row>
    <row r="5782" spans="1:5">
      <c r="A5782" s="76"/>
      <c r="B5782" s="77"/>
      <c r="C5782" s="78"/>
      <c r="D5782" s="78"/>
      <c r="E5782" s="78"/>
    </row>
    <row r="5783" spans="1:5">
      <c r="A5783" s="76" t="s">
        <v>2543</v>
      </c>
      <c r="B5783" s="77" t="s">
        <v>135</v>
      </c>
      <c r="C5783" s="78" t="s">
        <v>136</v>
      </c>
      <c r="D5783" s="78" t="s">
        <v>2534</v>
      </c>
      <c r="E5783" s="78" t="s">
        <v>2535</v>
      </c>
    </row>
    <row r="5784" ht="25.5" spans="1:5">
      <c r="A5784" s="76" t="s">
        <v>3842</v>
      </c>
      <c r="B5784" s="77" t="s">
        <v>494</v>
      </c>
      <c r="C5784" s="78">
        <v>6.67e-5</v>
      </c>
      <c r="D5784" s="78">
        <v>98588.33</v>
      </c>
      <c r="E5784" s="78">
        <f>TRUNC(C5784*D5784,2)</f>
        <v>6.57</v>
      </c>
    </row>
    <row r="5785" spans="1:5">
      <c r="A5785" s="76" t="s">
        <v>122</v>
      </c>
      <c r="B5785" s="77"/>
      <c r="C5785" s="78"/>
      <c r="D5785" s="78"/>
      <c r="E5785" s="78">
        <f>SUM(E5784:E5784)</f>
        <v>6.57</v>
      </c>
    </row>
    <row r="5786" spans="1:5">
      <c r="A5786" s="76"/>
      <c r="B5786" s="77"/>
      <c r="C5786" s="78"/>
      <c r="D5786" s="78"/>
      <c r="E5786" s="78"/>
    </row>
    <row r="5787" spans="1:5">
      <c r="A5787" s="76" t="s">
        <v>2538</v>
      </c>
      <c r="B5787" s="77"/>
      <c r="C5787" s="78"/>
      <c r="D5787" s="78"/>
      <c r="E5787" s="78">
        <f>E5785</f>
        <v>6.57</v>
      </c>
    </row>
    <row r="5788" spans="1:5">
      <c r="A5788" s="76" t="s">
        <v>2539</v>
      </c>
      <c r="B5788" s="77"/>
      <c r="C5788" s="78"/>
      <c r="D5788" s="78">
        <v>0</v>
      </c>
      <c r="E5788" s="78">
        <f>TRUNC(D5788*E5787/100,2)</f>
        <v>0</v>
      </c>
    </row>
    <row r="5789" spans="1:5">
      <c r="A5789" s="76" t="s">
        <v>2540</v>
      </c>
      <c r="B5789" s="77"/>
      <c r="C5789" s="78"/>
      <c r="D5789" s="78"/>
      <c r="E5789" s="78">
        <f>E5787+E5788</f>
        <v>6.57</v>
      </c>
    </row>
    <row r="5790" spans="1:5">
      <c r="A5790" s="76"/>
      <c r="B5790" s="77"/>
      <c r="C5790" s="78"/>
      <c r="D5790" s="78"/>
      <c r="E5790" s="78"/>
    </row>
    <row r="5791" spans="1:5">
      <c r="A5791" s="76" t="s">
        <v>3092</v>
      </c>
      <c r="B5791" s="77" t="s">
        <v>3843</v>
      </c>
      <c r="C5791" s="78"/>
      <c r="D5791" s="78"/>
      <c r="E5791" s="78"/>
    </row>
    <row r="5792" ht="25.5" spans="1:5">
      <c r="A5792" s="76" t="s">
        <v>3844</v>
      </c>
      <c r="B5792" s="77"/>
      <c r="C5792" s="78"/>
      <c r="D5792" s="78"/>
      <c r="E5792" s="78"/>
    </row>
    <row r="5793" spans="1:5">
      <c r="A5793" s="76" t="s">
        <v>2764</v>
      </c>
      <c r="B5793" s="77"/>
      <c r="C5793" s="78"/>
      <c r="D5793" s="78"/>
      <c r="E5793" s="78"/>
    </row>
    <row r="5794" spans="1:5">
      <c r="A5794" s="76"/>
      <c r="B5794" s="77"/>
      <c r="C5794" s="78"/>
      <c r="D5794" s="78"/>
      <c r="E5794" s="78"/>
    </row>
    <row r="5795" spans="1:5">
      <c r="A5795" s="76" t="s">
        <v>2543</v>
      </c>
      <c r="B5795" s="77" t="s">
        <v>135</v>
      </c>
      <c r="C5795" s="78" t="s">
        <v>136</v>
      </c>
      <c r="D5795" s="78" t="s">
        <v>2534</v>
      </c>
      <c r="E5795" s="78" t="s">
        <v>2535</v>
      </c>
    </row>
    <row r="5796" ht="25.5" spans="1:5">
      <c r="A5796" s="76" t="s">
        <v>3842</v>
      </c>
      <c r="B5796" s="77" t="s">
        <v>494</v>
      </c>
      <c r="C5796" s="78">
        <v>5.33e-5</v>
      </c>
      <c r="D5796" s="78">
        <v>98588.33</v>
      </c>
      <c r="E5796" s="78">
        <f>TRUNC(C5796*D5796,2)</f>
        <v>5.25</v>
      </c>
    </row>
    <row r="5797" spans="1:5">
      <c r="A5797" s="76" t="s">
        <v>122</v>
      </c>
      <c r="B5797" s="77"/>
      <c r="C5797" s="78"/>
      <c r="D5797" s="78"/>
      <c r="E5797" s="78">
        <f>SUM(E5796:E5796)</f>
        <v>5.25</v>
      </c>
    </row>
    <row r="5798" spans="1:5">
      <c r="A5798" s="76"/>
      <c r="B5798" s="77"/>
      <c r="C5798" s="78"/>
      <c r="D5798" s="78"/>
      <c r="E5798" s="78"/>
    </row>
    <row r="5799" spans="1:5">
      <c r="A5799" s="76" t="s">
        <v>2538</v>
      </c>
      <c r="B5799" s="77"/>
      <c r="C5799" s="78"/>
      <c r="D5799" s="78"/>
      <c r="E5799" s="78">
        <f>E5797</f>
        <v>5.25</v>
      </c>
    </row>
    <row r="5800" spans="1:5">
      <c r="A5800" s="76" t="s">
        <v>2539</v>
      </c>
      <c r="B5800" s="77"/>
      <c r="C5800" s="78"/>
      <c r="D5800" s="78">
        <v>0</v>
      </c>
      <c r="E5800" s="78">
        <f>TRUNC(D5800*E5799/100,2)</f>
        <v>0</v>
      </c>
    </row>
    <row r="5801" spans="1:5">
      <c r="A5801" s="76" t="s">
        <v>2540</v>
      </c>
      <c r="B5801" s="77"/>
      <c r="C5801" s="78"/>
      <c r="D5801" s="78"/>
      <c r="E5801" s="78">
        <f>E5799+E5800</f>
        <v>5.25</v>
      </c>
    </row>
    <row r="5802" spans="1:5">
      <c r="A5802" s="76"/>
      <c r="B5802" s="77"/>
      <c r="C5802" s="78"/>
      <c r="D5802" s="78"/>
      <c r="E5802" s="78"/>
    </row>
    <row r="5803" spans="1:5">
      <c r="A5803" s="76" t="s">
        <v>3092</v>
      </c>
      <c r="B5803" s="77" t="s">
        <v>3845</v>
      </c>
      <c r="C5803" s="78"/>
      <c r="D5803" s="78"/>
      <c r="E5803" s="78"/>
    </row>
    <row r="5804" ht="25.5" spans="1:5">
      <c r="A5804" s="76" t="s">
        <v>3846</v>
      </c>
      <c r="B5804" s="77"/>
      <c r="C5804" s="78"/>
      <c r="D5804" s="78"/>
      <c r="E5804" s="78"/>
    </row>
    <row r="5805" spans="1:5">
      <c r="A5805" s="76" t="s">
        <v>2764</v>
      </c>
      <c r="B5805" s="77"/>
      <c r="C5805" s="78"/>
      <c r="D5805" s="78"/>
      <c r="E5805" s="78"/>
    </row>
    <row r="5806" spans="1:5">
      <c r="A5806" s="76"/>
      <c r="B5806" s="77"/>
      <c r="C5806" s="78"/>
      <c r="D5806" s="78"/>
      <c r="E5806" s="78"/>
    </row>
    <row r="5807" spans="1:5">
      <c r="A5807" s="76" t="s">
        <v>2543</v>
      </c>
      <c r="B5807" s="77" t="s">
        <v>135</v>
      </c>
      <c r="C5807" s="78" t="s">
        <v>136</v>
      </c>
      <c r="D5807" s="78" t="s">
        <v>2534</v>
      </c>
      <c r="E5807" s="78" t="s">
        <v>2535</v>
      </c>
    </row>
    <row r="5808" ht="25.5" spans="1:5">
      <c r="A5808" s="76" t="s">
        <v>3842</v>
      </c>
      <c r="B5808" s="77" t="s">
        <v>494</v>
      </c>
      <c r="C5808" s="78">
        <v>1.43e-5</v>
      </c>
      <c r="D5808" s="78">
        <v>98588.33</v>
      </c>
      <c r="E5808" s="78">
        <f>TRUNC(C5808*D5808,2)</f>
        <v>1.4</v>
      </c>
    </row>
    <row r="5809" spans="1:5">
      <c r="A5809" s="76" t="s">
        <v>122</v>
      </c>
      <c r="B5809" s="77"/>
      <c r="C5809" s="78"/>
      <c r="D5809" s="78"/>
      <c r="E5809" s="78">
        <f>SUM(E5808:E5808)</f>
        <v>1.4</v>
      </c>
    </row>
    <row r="5810" spans="1:5">
      <c r="A5810" s="76"/>
      <c r="B5810" s="77"/>
      <c r="C5810" s="78"/>
      <c r="D5810" s="78"/>
      <c r="E5810" s="78"/>
    </row>
    <row r="5811" spans="1:5">
      <c r="A5811" s="76" t="s">
        <v>2538</v>
      </c>
      <c r="B5811" s="77"/>
      <c r="C5811" s="78"/>
      <c r="D5811" s="78"/>
      <c r="E5811" s="78">
        <f>E5809</f>
        <v>1.4</v>
      </c>
    </row>
    <row r="5812" spans="1:5">
      <c r="A5812" s="76" t="s">
        <v>2539</v>
      </c>
      <c r="B5812" s="77"/>
      <c r="C5812" s="78"/>
      <c r="D5812" s="78">
        <v>0</v>
      </c>
      <c r="E5812" s="78">
        <f>TRUNC(D5812*E5811/100,2)</f>
        <v>0</v>
      </c>
    </row>
    <row r="5813" spans="1:5">
      <c r="A5813" s="76" t="s">
        <v>2540</v>
      </c>
      <c r="B5813" s="77"/>
      <c r="C5813" s="78"/>
      <c r="D5813" s="78"/>
      <c r="E5813" s="78">
        <f>E5811+E5812</f>
        <v>1.4</v>
      </c>
    </row>
    <row r="5814" spans="1:5">
      <c r="A5814" s="76"/>
      <c r="B5814" s="77"/>
      <c r="C5814" s="78"/>
      <c r="D5814" s="78"/>
      <c r="E5814" s="78"/>
    </row>
    <row r="5815" spans="1:5">
      <c r="A5815" s="76" t="s">
        <v>3092</v>
      </c>
      <c r="B5815" s="77" t="s">
        <v>3847</v>
      </c>
      <c r="C5815" s="78"/>
      <c r="D5815" s="78"/>
      <c r="E5815" s="78"/>
    </row>
    <row r="5816" ht="25.5" spans="1:5">
      <c r="A5816" s="76" t="s">
        <v>3848</v>
      </c>
      <c r="B5816" s="77"/>
      <c r="C5816" s="78"/>
      <c r="D5816" s="78"/>
      <c r="E5816" s="78"/>
    </row>
    <row r="5817" spans="1:5">
      <c r="A5817" s="76" t="s">
        <v>3091</v>
      </c>
      <c r="B5817" s="77"/>
      <c r="C5817" s="78"/>
      <c r="D5817" s="78"/>
      <c r="E5817" s="78"/>
    </row>
    <row r="5818" spans="1:5">
      <c r="A5818" s="76"/>
      <c r="B5818" s="77"/>
      <c r="C5818" s="78"/>
      <c r="D5818" s="78"/>
      <c r="E5818" s="78"/>
    </row>
    <row r="5819" spans="1:5">
      <c r="A5819" s="76" t="s">
        <v>2543</v>
      </c>
      <c r="B5819" s="77" t="s">
        <v>135</v>
      </c>
      <c r="C5819" s="78" t="s">
        <v>136</v>
      </c>
      <c r="D5819" s="78" t="s">
        <v>2534</v>
      </c>
      <c r="E5819" s="78" t="s">
        <v>2535</v>
      </c>
    </row>
    <row r="5820" ht="25.5" spans="1:5">
      <c r="A5820" s="76" t="s">
        <v>3815</v>
      </c>
      <c r="B5820" s="77" t="s">
        <v>839</v>
      </c>
      <c r="C5820" s="78">
        <v>1</v>
      </c>
      <c r="D5820" s="78">
        <v>26</v>
      </c>
      <c r="E5820" s="78">
        <f>TRUNC(C5820*D5820,2)</f>
        <v>26</v>
      </c>
    </row>
    <row r="5821" ht="25.5" spans="1:5">
      <c r="A5821" s="76" t="s">
        <v>3817</v>
      </c>
      <c r="B5821" s="77" t="s">
        <v>839</v>
      </c>
      <c r="C5821" s="78">
        <v>1</v>
      </c>
      <c r="D5821" s="78">
        <v>0.36</v>
      </c>
      <c r="E5821" s="78">
        <f>TRUNC(C5821*D5821,2)</f>
        <v>0.36</v>
      </c>
    </row>
    <row r="5822" ht="25.5" spans="1:5">
      <c r="A5822" s="76" t="s">
        <v>3818</v>
      </c>
      <c r="B5822" s="77" t="s">
        <v>839</v>
      </c>
      <c r="C5822" s="78">
        <v>1</v>
      </c>
      <c r="D5822" s="78">
        <v>1.58</v>
      </c>
      <c r="E5822" s="78">
        <f>TRUNC(C5822*D5822,2)</f>
        <v>1.58</v>
      </c>
    </row>
    <row r="5823" spans="1:5">
      <c r="A5823" s="76" t="s">
        <v>122</v>
      </c>
      <c r="B5823" s="77"/>
      <c r="C5823" s="78"/>
      <c r="D5823" s="78"/>
      <c r="E5823" s="78">
        <f>SUM(E5820:E5822)</f>
        <v>27.94</v>
      </c>
    </row>
    <row r="5824" spans="1:5">
      <c r="A5824" s="76"/>
      <c r="B5824" s="77"/>
      <c r="C5824" s="78"/>
      <c r="D5824" s="78"/>
      <c r="E5824" s="78"/>
    </row>
    <row r="5825" spans="1:5">
      <c r="A5825" s="76" t="s">
        <v>2538</v>
      </c>
      <c r="B5825" s="77"/>
      <c r="C5825" s="78"/>
      <c r="D5825" s="78"/>
      <c r="E5825" s="78">
        <f>E5823</f>
        <v>27.94</v>
      </c>
    </row>
    <row r="5826" spans="1:5">
      <c r="A5826" s="76" t="s">
        <v>2539</v>
      </c>
      <c r="B5826" s="77"/>
      <c r="C5826" s="78"/>
      <c r="D5826" s="78">
        <v>0</v>
      </c>
      <c r="E5826" s="78">
        <f>TRUNC(D5826*E5825/100,2)</f>
        <v>0</v>
      </c>
    </row>
    <row r="5827" spans="1:5">
      <c r="A5827" s="76" t="s">
        <v>2540</v>
      </c>
      <c r="B5827" s="77"/>
      <c r="C5827" s="78"/>
      <c r="D5827" s="78"/>
      <c r="E5827" s="78">
        <f>E5825+E5826</f>
        <v>27.94</v>
      </c>
    </row>
    <row r="5828" spans="1:5">
      <c r="A5828" s="76"/>
      <c r="B5828" s="77"/>
      <c r="C5828" s="78"/>
      <c r="D5828" s="78"/>
      <c r="E5828" s="78"/>
    </row>
    <row r="5829" spans="1:5">
      <c r="A5829" s="76" t="s">
        <v>3092</v>
      </c>
      <c r="B5829" s="77" t="s">
        <v>3849</v>
      </c>
      <c r="C5829" s="78"/>
      <c r="D5829" s="78"/>
      <c r="E5829" s="78"/>
    </row>
    <row r="5830" ht="25.5" spans="1:5">
      <c r="A5830" s="76" t="s">
        <v>3850</v>
      </c>
      <c r="B5830" s="77"/>
      <c r="C5830" s="78"/>
      <c r="D5830" s="78"/>
      <c r="E5830" s="78"/>
    </row>
    <row r="5831" spans="1:5">
      <c r="A5831" s="76" t="s">
        <v>3091</v>
      </c>
      <c r="B5831" s="77"/>
      <c r="C5831" s="78"/>
      <c r="D5831" s="78"/>
      <c r="E5831" s="78"/>
    </row>
    <row r="5832" spans="1:5">
      <c r="A5832" s="76"/>
      <c r="B5832" s="77"/>
      <c r="C5832" s="78"/>
      <c r="D5832" s="78"/>
      <c r="E5832" s="78"/>
    </row>
    <row r="5833" spans="1:5">
      <c r="A5833" s="76" t="s">
        <v>2543</v>
      </c>
      <c r="B5833" s="77" t="s">
        <v>135</v>
      </c>
      <c r="C5833" s="78" t="s">
        <v>136</v>
      </c>
      <c r="D5833" s="78" t="s">
        <v>2534</v>
      </c>
      <c r="E5833" s="78" t="s">
        <v>2535</v>
      </c>
    </row>
    <row r="5834" ht="38.25" spans="1:5">
      <c r="A5834" s="76" t="s">
        <v>3836</v>
      </c>
      <c r="B5834" s="77" t="s">
        <v>839</v>
      </c>
      <c r="C5834" s="78">
        <v>1</v>
      </c>
      <c r="D5834" s="78">
        <v>5.25</v>
      </c>
      <c r="E5834" s="78">
        <f>TRUNC(C5834*D5834,2)</f>
        <v>5.25</v>
      </c>
    </row>
    <row r="5835" ht="25.5" spans="1:5">
      <c r="A5835" s="76" t="s">
        <v>3837</v>
      </c>
      <c r="B5835" s="77" t="s">
        <v>839</v>
      </c>
      <c r="C5835" s="78">
        <v>1</v>
      </c>
      <c r="D5835" s="78">
        <v>1.4</v>
      </c>
      <c r="E5835" s="78">
        <f>TRUNC(C5835*D5835,2)</f>
        <v>1.4</v>
      </c>
    </row>
    <row r="5836" spans="1:5">
      <c r="A5836" s="76" t="s">
        <v>122</v>
      </c>
      <c r="B5836" s="77"/>
      <c r="C5836" s="78"/>
      <c r="D5836" s="78"/>
      <c r="E5836" s="78">
        <f>SUM(E5834:E5835)</f>
        <v>6.65</v>
      </c>
    </row>
    <row r="5837" spans="1:5">
      <c r="A5837" s="76"/>
      <c r="B5837" s="77"/>
      <c r="C5837" s="78"/>
      <c r="D5837" s="78"/>
      <c r="E5837" s="78"/>
    </row>
    <row r="5838" spans="1:5">
      <c r="A5838" s="76" t="s">
        <v>2538</v>
      </c>
      <c r="B5838" s="77"/>
      <c r="C5838" s="78"/>
      <c r="D5838" s="78"/>
      <c r="E5838" s="78">
        <f>E5836</f>
        <v>6.65</v>
      </c>
    </row>
    <row r="5839" spans="1:5">
      <c r="A5839" s="76" t="s">
        <v>2539</v>
      </c>
      <c r="B5839" s="77"/>
      <c r="C5839" s="78"/>
      <c r="D5839" s="78">
        <v>0</v>
      </c>
      <c r="E5839" s="78">
        <f>TRUNC(D5839*E5838/100,2)</f>
        <v>0</v>
      </c>
    </row>
    <row r="5840" spans="1:5">
      <c r="A5840" s="76" t="s">
        <v>2540</v>
      </c>
      <c r="B5840" s="77"/>
      <c r="C5840" s="78"/>
      <c r="D5840" s="78"/>
      <c r="E5840" s="78">
        <f>E5838+E5839</f>
        <v>6.65</v>
      </c>
    </row>
    <row r="5841" spans="1:5">
      <c r="A5841" s="76"/>
      <c r="B5841" s="77"/>
      <c r="C5841" s="78"/>
      <c r="D5841" s="78"/>
      <c r="E5841" s="78"/>
    </row>
    <row r="5842" spans="1:5">
      <c r="A5842" s="76" t="s">
        <v>3092</v>
      </c>
      <c r="B5842" s="77" t="s">
        <v>3851</v>
      </c>
      <c r="C5842" s="78"/>
      <c r="D5842" s="78"/>
      <c r="E5842" s="78"/>
    </row>
    <row r="5843" ht="51" spans="1:5">
      <c r="A5843" s="76" t="s">
        <v>3852</v>
      </c>
      <c r="B5843" s="77"/>
      <c r="C5843" s="78"/>
      <c r="D5843" s="78"/>
      <c r="E5843" s="78"/>
    </row>
    <row r="5844" spans="1:5">
      <c r="A5844" s="76" t="s">
        <v>3085</v>
      </c>
      <c r="B5844" s="77"/>
      <c r="C5844" s="78"/>
      <c r="D5844" s="78"/>
      <c r="E5844" s="78"/>
    </row>
    <row r="5845" spans="1:5">
      <c r="A5845" s="76"/>
      <c r="B5845" s="77"/>
      <c r="C5845" s="78"/>
      <c r="D5845" s="78"/>
      <c r="E5845" s="78"/>
    </row>
    <row r="5846" spans="1:5">
      <c r="A5846" s="76" t="s">
        <v>2543</v>
      </c>
      <c r="B5846" s="77" t="s">
        <v>135</v>
      </c>
      <c r="C5846" s="78" t="s">
        <v>136</v>
      </c>
      <c r="D5846" s="78" t="s">
        <v>2534</v>
      </c>
      <c r="E5846" s="78" t="s">
        <v>2535</v>
      </c>
    </row>
    <row r="5847" spans="1:5">
      <c r="A5847" s="76" t="s">
        <v>3645</v>
      </c>
      <c r="B5847" s="77" t="s">
        <v>839</v>
      </c>
      <c r="C5847" s="78">
        <v>1</v>
      </c>
      <c r="D5847" s="78">
        <v>29.94</v>
      </c>
      <c r="E5847" s="78">
        <f>TRUNC(C5847*D5847,2)</f>
        <v>29.94</v>
      </c>
    </row>
    <row r="5848" ht="51" spans="1:5">
      <c r="A5848" s="76" t="s">
        <v>3853</v>
      </c>
      <c r="B5848" s="77" t="s">
        <v>839</v>
      </c>
      <c r="C5848" s="78">
        <v>1</v>
      </c>
      <c r="D5848" s="78">
        <v>50.58</v>
      </c>
      <c r="E5848" s="78">
        <f>TRUNC(C5848*D5848,2)</f>
        <v>50.58</v>
      </c>
    </row>
    <row r="5849" ht="51" spans="1:5">
      <c r="A5849" s="76" t="s">
        <v>3854</v>
      </c>
      <c r="B5849" s="77" t="s">
        <v>839</v>
      </c>
      <c r="C5849" s="78">
        <v>1</v>
      </c>
      <c r="D5849" s="78">
        <v>32.65</v>
      </c>
      <c r="E5849" s="78">
        <f>TRUNC(C5849*D5849,2)</f>
        <v>32.65</v>
      </c>
    </row>
    <row r="5850" ht="51" spans="1:5">
      <c r="A5850" s="76" t="s">
        <v>3855</v>
      </c>
      <c r="B5850" s="77" t="s">
        <v>839</v>
      </c>
      <c r="C5850" s="78">
        <v>1</v>
      </c>
      <c r="D5850" s="78">
        <v>26.12</v>
      </c>
      <c r="E5850" s="78">
        <f>TRUNC(C5850*D5850,2)</f>
        <v>26.12</v>
      </c>
    </row>
    <row r="5851" ht="51" spans="1:5">
      <c r="A5851" s="76" t="s">
        <v>3856</v>
      </c>
      <c r="B5851" s="77" t="s">
        <v>839</v>
      </c>
      <c r="C5851" s="78">
        <v>1</v>
      </c>
      <c r="D5851" s="78">
        <v>6.9</v>
      </c>
      <c r="E5851" s="78">
        <f>TRUNC(C5851*D5851,2)</f>
        <v>6.9</v>
      </c>
    </row>
    <row r="5852" spans="1:5">
      <c r="A5852" s="76" t="s">
        <v>122</v>
      </c>
      <c r="B5852" s="77"/>
      <c r="C5852" s="78"/>
      <c r="D5852" s="78"/>
      <c r="E5852" s="78">
        <f>SUM(E5847:E5851)</f>
        <v>146.19</v>
      </c>
    </row>
    <row r="5853" spans="1:5">
      <c r="A5853" s="76"/>
      <c r="B5853" s="77"/>
      <c r="C5853" s="78"/>
      <c r="D5853" s="78"/>
      <c r="E5853" s="78"/>
    </row>
    <row r="5854" spans="1:5">
      <c r="A5854" s="76" t="s">
        <v>2538</v>
      </c>
      <c r="B5854" s="77"/>
      <c r="C5854" s="78"/>
      <c r="D5854" s="78"/>
      <c r="E5854" s="78">
        <f>E5852</f>
        <v>146.19</v>
      </c>
    </row>
    <row r="5855" spans="1:5">
      <c r="A5855" s="76" t="s">
        <v>2539</v>
      </c>
      <c r="B5855" s="77"/>
      <c r="C5855" s="78"/>
      <c r="D5855" s="78">
        <v>0</v>
      </c>
      <c r="E5855" s="78">
        <f>TRUNC(D5855*E5854/100,2)</f>
        <v>0</v>
      </c>
    </row>
    <row r="5856" spans="1:5">
      <c r="A5856" s="76" t="s">
        <v>2540</v>
      </c>
      <c r="B5856" s="77"/>
      <c r="C5856" s="78"/>
      <c r="D5856" s="78"/>
      <c r="E5856" s="78">
        <f>E5854+E5855</f>
        <v>146.19</v>
      </c>
    </row>
    <row r="5857" spans="1:5">
      <c r="A5857" s="76"/>
      <c r="B5857" s="77"/>
      <c r="C5857" s="78"/>
      <c r="D5857" s="78"/>
      <c r="E5857" s="78"/>
    </row>
    <row r="5858" spans="1:5">
      <c r="A5858" s="76" t="s">
        <v>3092</v>
      </c>
      <c r="B5858" s="77" t="s">
        <v>3857</v>
      </c>
      <c r="C5858" s="78"/>
      <c r="D5858" s="78"/>
      <c r="E5858" s="78"/>
    </row>
    <row r="5859" ht="51" spans="1:5">
      <c r="A5859" s="76" t="s">
        <v>3858</v>
      </c>
      <c r="B5859" s="77"/>
      <c r="C5859" s="78"/>
      <c r="D5859" s="78"/>
      <c r="E5859" s="78"/>
    </row>
    <row r="5860" spans="1:5">
      <c r="A5860" s="76" t="s">
        <v>2764</v>
      </c>
      <c r="B5860" s="77"/>
      <c r="C5860" s="78"/>
      <c r="D5860" s="78"/>
      <c r="E5860" s="78"/>
    </row>
    <row r="5861" spans="1:5">
      <c r="A5861" s="76"/>
      <c r="B5861" s="77"/>
      <c r="C5861" s="78"/>
      <c r="D5861" s="78"/>
      <c r="E5861" s="78"/>
    </row>
    <row r="5862" spans="1:5">
      <c r="A5862" s="76" t="s">
        <v>2543</v>
      </c>
      <c r="B5862" s="77" t="s">
        <v>135</v>
      </c>
      <c r="C5862" s="78" t="s">
        <v>136</v>
      </c>
      <c r="D5862" s="78" t="s">
        <v>2534</v>
      </c>
      <c r="E5862" s="78" t="s">
        <v>2535</v>
      </c>
    </row>
    <row r="5863" spans="1:5">
      <c r="A5863" s="76" t="s">
        <v>3202</v>
      </c>
      <c r="B5863" s="77" t="s">
        <v>215</v>
      </c>
      <c r="C5863" s="78">
        <v>8.53</v>
      </c>
      <c r="D5863" s="78">
        <v>5.93</v>
      </c>
      <c r="E5863" s="78">
        <f>TRUNC(C5863*D5863,2)</f>
        <v>50.58</v>
      </c>
    </row>
    <row r="5864" spans="1:5">
      <c r="A5864" s="76" t="s">
        <v>122</v>
      </c>
      <c r="B5864" s="77"/>
      <c r="C5864" s="78"/>
      <c r="D5864" s="78"/>
      <c r="E5864" s="78">
        <f>SUM(E5863:E5863)</f>
        <v>50.58</v>
      </c>
    </row>
    <row r="5865" spans="1:5">
      <c r="A5865" s="76"/>
      <c r="B5865" s="77"/>
      <c r="C5865" s="78"/>
      <c r="D5865" s="78"/>
      <c r="E5865" s="78"/>
    </row>
    <row r="5866" spans="1:5">
      <c r="A5866" s="76" t="s">
        <v>2538</v>
      </c>
      <c r="B5866" s="77"/>
      <c r="C5866" s="78"/>
      <c r="D5866" s="78"/>
      <c r="E5866" s="78">
        <f>E5864</f>
        <v>50.58</v>
      </c>
    </row>
    <row r="5867" spans="1:5">
      <c r="A5867" s="76" t="s">
        <v>2539</v>
      </c>
      <c r="B5867" s="77"/>
      <c r="C5867" s="78"/>
      <c r="D5867" s="78">
        <v>0</v>
      </c>
      <c r="E5867" s="78">
        <f>TRUNC(D5867*E5866/100,2)</f>
        <v>0</v>
      </c>
    </row>
    <row r="5868" spans="1:5">
      <c r="A5868" s="76" t="s">
        <v>2540</v>
      </c>
      <c r="B5868" s="77"/>
      <c r="C5868" s="78"/>
      <c r="D5868" s="78"/>
      <c r="E5868" s="78">
        <f>E5866+E5867</f>
        <v>50.58</v>
      </c>
    </row>
    <row r="5869" spans="1:5">
      <c r="A5869" s="76"/>
      <c r="B5869" s="77"/>
      <c r="C5869" s="78"/>
      <c r="D5869" s="78"/>
      <c r="E5869" s="78"/>
    </row>
    <row r="5870" spans="1:5">
      <c r="A5870" s="76" t="s">
        <v>3092</v>
      </c>
      <c r="B5870" s="77" t="s">
        <v>3859</v>
      </c>
      <c r="C5870" s="78"/>
      <c r="D5870" s="78"/>
      <c r="E5870" s="78"/>
    </row>
    <row r="5871" ht="51" spans="1:5">
      <c r="A5871" s="76" t="s">
        <v>3860</v>
      </c>
      <c r="B5871" s="77"/>
      <c r="C5871" s="78"/>
      <c r="D5871" s="78"/>
      <c r="E5871" s="78"/>
    </row>
    <row r="5872" spans="1:5">
      <c r="A5872" s="76" t="s">
        <v>2764</v>
      </c>
      <c r="B5872" s="77"/>
      <c r="C5872" s="78"/>
      <c r="D5872" s="78"/>
      <c r="E5872" s="78"/>
    </row>
    <row r="5873" spans="1:5">
      <c r="A5873" s="76"/>
      <c r="B5873" s="77"/>
      <c r="C5873" s="78"/>
      <c r="D5873" s="78"/>
      <c r="E5873" s="78"/>
    </row>
    <row r="5874" spans="1:5">
      <c r="A5874" s="76" t="s">
        <v>2543</v>
      </c>
      <c r="B5874" s="77" t="s">
        <v>135</v>
      </c>
      <c r="C5874" s="78" t="s">
        <v>136</v>
      </c>
      <c r="D5874" s="78" t="s">
        <v>2534</v>
      </c>
      <c r="E5874" s="78" t="s">
        <v>2535</v>
      </c>
    </row>
    <row r="5875" ht="51" spans="1:5">
      <c r="A5875" s="76" t="s">
        <v>3861</v>
      </c>
      <c r="B5875" s="77" t="s">
        <v>494</v>
      </c>
      <c r="C5875" s="78">
        <v>7e-5</v>
      </c>
      <c r="D5875" s="78">
        <v>466463.38</v>
      </c>
      <c r="E5875" s="78">
        <f>TRUNC(C5875*D5875,2)</f>
        <v>32.65</v>
      </c>
    </row>
    <row r="5876" spans="1:5">
      <c r="A5876" s="76" t="s">
        <v>122</v>
      </c>
      <c r="B5876" s="77"/>
      <c r="C5876" s="78"/>
      <c r="D5876" s="78"/>
      <c r="E5876" s="78">
        <f>SUM(E5875:E5875)</f>
        <v>32.65</v>
      </c>
    </row>
    <row r="5877" spans="1:5">
      <c r="A5877" s="76"/>
      <c r="B5877" s="77"/>
      <c r="C5877" s="78"/>
      <c r="D5877" s="78"/>
      <c r="E5877" s="78"/>
    </row>
    <row r="5878" spans="1:5">
      <c r="A5878" s="76" t="s">
        <v>2538</v>
      </c>
      <c r="B5878" s="77"/>
      <c r="C5878" s="78"/>
      <c r="D5878" s="78"/>
      <c r="E5878" s="78">
        <f>E5876</f>
        <v>32.65</v>
      </c>
    </row>
    <row r="5879" spans="1:5">
      <c r="A5879" s="76" t="s">
        <v>2539</v>
      </c>
      <c r="B5879" s="77"/>
      <c r="C5879" s="78"/>
      <c r="D5879" s="78">
        <v>0</v>
      </c>
      <c r="E5879" s="78">
        <f>TRUNC(D5879*E5878/100,2)</f>
        <v>0</v>
      </c>
    </row>
    <row r="5880" spans="1:5">
      <c r="A5880" s="76" t="s">
        <v>2540</v>
      </c>
      <c r="B5880" s="77"/>
      <c r="C5880" s="78"/>
      <c r="D5880" s="78"/>
      <c r="E5880" s="78">
        <f>E5878+E5879</f>
        <v>32.65</v>
      </c>
    </row>
    <row r="5881" spans="1:5">
      <c r="A5881" s="76"/>
      <c r="B5881" s="77"/>
      <c r="C5881" s="78"/>
      <c r="D5881" s="78"/>
      <c r="E5881" s="78"/>
    </row>
    <row r="5882" spans="1:5">
      <c r="A5882" s="76" t="s">
        <v>3092</v>
      </c>
      <c r="B5882" s="77" t="s">
        <v>3862</v>
      </c>
      <c r="C5882" s="78"/>
      <c r="D5882" s="78"/>
      <c r="E5882" s="78"/>
    </row>
    <row r="5883" ht="51" spans="1:5">
      <c r="A5883" s="76" t="s">
        <v>3863</v>
      </c>
      <c r="B5883" s="77"/>
      <c r="C5883" s="78"/>
      <c r="D5883" s="78"/>
      <c r="E5883" s="78"/>
    </row>
    <row r="5884" spans="1:5">
      <c r="A5884" s="76" t="s">
        <v>2764</v>
      </c>
      <c r="B5884" s="77"/>
      <c r="C5884" s="78"/>
      <c r="D5884" s="78"/>
      <c r="E5884" s="78"/>
    </row>
    <row r="5885" spans="1:5">
      <c r="A5885" s="76"/>
      <c r="B5885" s="77"/>
      <c r="C5885" s="78"/>
      <c r="D5885" s="78"/>
      <c r="E5885" s="78"/>
    </row>
    <row r="5886" spans="1:5">
      <c r="A5886" s="76" t="s">
        <v>2543</v>
      </c>
      <c r="B5886" s="77" t="s">
        <v>135</v>
      </c>
      <c r="C5886" s="78" t="s">
        <v>136</v>
      </c>
      <c r="D5886" s="78" t="s">
        <v>2534</v>
      </c>
      <c r="E5886" s="78" t="s">
        <v>2535</v>
      </c>
    </row>
    <row r="5887" ht="51" spans="1:5">
      <c r="A5887" s="76" t="s">
        <v>3861</v>
      </c>
      <c r="B5887" s="77" t="s">
        <v>494</v>
      </c>
      <c r="C5887" s="78">
        <v>5.6e-5</v>
      </c>
      <c r="D5887" s="78">
        <v>466463.38</v>
      </c>
      <c r="E5887" s="78">
        <f>TRUNC(C5887*D5887,2)</f>
        <v>26.12</v>
      </c>
    </row>
    <row r="5888" spans="1:5">
      <c r="A5888" s="76" t="s">
        <v>122</v>
      </c>
      <c r="B5888" s="77"/>
      <c r="C5888" s="78"/>
      <c r="D5888" s="78"/>
      <c r="E5888" s="78">
        <f>SUM(E5887:E5887)</f>
        <v>26.12</v>
      </c>
    </row>
    <row r="5889" spans="1:5">
      <c r="A5889" s="76"/>
      <c r="B5889" s="77"/>
      <c r="C5889" s="78"/>
      <c r="D5889" s="78"/>
      <c r="E5889" s="78"/>
    </row>
    <row r="5890" spans="1:5">
      <c r="A5890" s="76" t="s">
        <v>2538</v>
      </c>
      <c r="B5890" s="77"/>
      <c r="C5890" s="78"/>
      <c r="D5890" s="78"/>
      <c r="E5890" s="78">
        <f>E5888</f>
        <v>26.12</v>
      </c>
    </row>
    <row r="5891" spans="1:5">
      <c r="A5891" s="76" t="s">
        <v>2539</v>
      </c>
      <c r="B5891" s="77"/>
      <c r="C5891" s="78"/>
      <c r="D5891" s="78">
        <v>0</v>
      </c>
      <c r="E5891" s="78">
        <f>TRUNC(D5891*E5890/100,2)</f>
        <v>0</v>
      </c>
    </row>
    <row r="5892" spans="1:5">
      <c r="A5892" s="76" t="s">
        <v>2540</v>
      </c>
      <c r="B5892" s="77"/>
      <c r="C5892" s="78"/>
      <c r="D5892" s="78"/>
      <c r="E5892" s="78">
        <f>E5890+E5891</f>
        <v>26.12</v>
      </c>
    </row>
    <row r="5893" spans="1:5">
      <c r="A5893" s="76"/>
      <c r="B5893" s="77"/>
      <c r="C5893" s="78"/>
      <c r="D5893" s="78"/>
      <c r="E5893" s="78"/>
    </row>
    <row r="5894" spans="1:5">
      <c r="A5894" s="76" t="s">
        <v>3092</v>
      </c>
      <c r="B5894" s="77" t="s">
        <v>3864</v>
      </c>
      <c r="C5894" s="78"/>
      <c r="D5894" s="78"/>
      <c r="E5894" s="78"/>
    </row>
    <row r="5895" ht="51" spans="1:5">
      <c r="A5895" s="76" t="s">
        <v>3865</v>
      </c>
      <c r="B5895" s="77"/>
      <c r="C5895" s="78"/>
      <c r="D5895" s="78"/>
      <c r="E5895" s="78"/>
    </row>
    <row r="5896" spans="1:5">
      <c r="A5896" s="76" t="s">
        <v>2764</v>
      </c>
      <c r="B5896" s="77"/>
      <c r="C5896" s="78"/>
      <c r="D5896" s="78"/>
      <c r="E5896" s="78"/>
    </row>
    <row r="5897" spans="1:5">
      <c r="A5897" s="76"/>
      <c r="B5897" s="77"/>
      <c r="C5897" s="78"/>
      <c r="D5897" s="78"/>
      <c r="E5897" s="78"/>
    </row>
    <row r="5898" spans="1:5">
      <c r="A5898" s="76" t="s">
        <v>2543</v>
      </c>
      <c r="B5898" s="77" t="s">
        <v>135</v>
      </c>
      <c r="C5898" s="78" t="s">
        <v>136</v>
      </c>
      <c r="D5898" s="78" t="s">
        <v>2534</v>
      </c>
      <c r="E5898" s="78" t="s">
        <v>2535</v>
      </c>
    </row>
    <row r="5899" ht="51" spans="1:5">
      <c r="A5899" s="76" t="s">
        <v>3861</v>
      </c>
      <c r="B5899" s="77" t="s">
        <v>494</v>
      </c>
      <c r="C5899" s="78">
        <v>1.48e-5</v>
      </c>
      <c r="D5899" s="78">
        <v>466463.38</v>
      </c>
      <c r="E5899" s="78">
        <f>TRUNC(C5899*D5899,2)</f>
        <v>6.9</v>
      </c>
    </row>
    <row r="5900" spans="1:5">
      <c r="A5900" s="76" t="s">
        <v>122</v>
      </c>
      <c r="B5900" s="77"/>
      <c r="C5900" s="78"/>
      <c r="D5900" s="78"/>
      <c r="E5900" s="78">
        <f>SUM(E5899:E5899)</f>
        <v>6.9</v>
      </c>
    </row>
    <row r="5901" spans="1:5">
      <c r="A5901" s="76"/>
      <c r="B5901" s="77"/>
      <c r="C5901" s="78"/>
      <c r="D5901" s="78"/>
      <c r="E5901" s="78"/>
    </row>
    <row r="5902" spans="1:5">
      <c r="A5902" s="76" t="s">
        <v>2538</v>
      </c>
      <c r="B5902" s="77"/>
      <c r="C5902" s="78"/>
      <c r="D5902" s="78"/>
      <c r="E5902" s="78">
        <f>E5900</f>
        <v>6.9</v>
      </c>
    </row>
    <row r="5903" spans="1:5">
      <c r="A5903" s="76" t="s">
        <v>2539</v>
      </c>
      <c r="B5903" s="77"/>
      <c r="C5903" s="78"/>
      <c r="D5903" s="78">
        <v>0</v>
      </c>
      <c r="E5903" s="78">
        <f>TRUNC(D5903*E5902/100,2)</f>
        <v>0</v>
      </c>
    </row>
    <row r="5904" spans="1:5">
      <c r="A5904" s="76" t="s">
        <v>2540</v>
      </c>
      <c r="B5904" s="77"/>
      <c r="C5904" s="78"/>
      <c r="D5904" s="78"/>
      <c r="E5904" s="78">
        <f>E5902+E5903</f>
        <v>6.9</v>
      </c>
    </row>
    <row r="5905" spans="1:5">
      <c r="A5905" s="76"/>
      <c r="B5905" s="77"/>
      <c r="C5905" s="78"/>
      <c r="D5905" s="78"/>
      <c r="E5905" s="78"/>
    </row>
    <row r="5906" spans="1:5">
      <c r="A5906" s="76" t="s">
        <v>3092</v>
      </c>
      <c r="B5906" s="77" t="s">
        <v>3866</v>
      </c>
      <c r="C5906" s="78"/>
      <c r="D5906" s="78"/>
      <c r="E5906" s="78"/>
    </row>
    <row r="5907" ht="51" spans="1:5">
      <c r="A5907" s="76" t="s">
        <v>3867</v>
      </c>
      <c r="B5907" s="77"/>
      <c r="C5907" s="78"/>
      <c r="D5907" s="78"/>
      <c r="E5907" s="78"/>
    </row>
    <row r="5908" spans="1:5">
      <c r="A5908" s="76" t="s">
        <v>3091</v>
      </c>
      <c r="B5908" s="77"/>
      <c r="C5908" s="78"/>
      <c r="D5908" s="78"/>
      <c r="E5908" s="78"/>
    </row>
    <row r="5909" spans="1:5">
      <c r="A5909" s="76"/>
      <c r="B5909" s="77"/>
      <c r="C5909" s="78"/>
      <c r="D5909" s="78"/>
      <c r="E5909" s="78"/>
    </row>
    <row r="5910" spans="1:5">
      <c r="A5910" s="76" t="s">
        <v>2543</v>
      </c>
      <c r="B5910" s="77" t="s">
        <v>135</v>
      </c>
      <c r="C5910" s="78" t="s">
        <v>136</v>
      </c>
      <c r="D5910" s="78" t="s">
        <v>2534</v>
      </c>
      <c r="E5910" s="78" t="s">
        <v>2535</v>
      </c>
    </row>
    <row r="5911" spans="1:5">
      <c r="A5911" s="76" t="s">
        <v>3645</v>
      </c>
      <c r="B5911" s="77" t="s">
        <v>839</v>
      </c>
      <c r="C5911" s="78">
        <v>1</v>
      </c>
      <c r="D5911" s="78">
        <v>29.94</v>
      </c>
      <c r="E5911" s="78">
        <f>TRUNC(C5911*D5911,2)</f>
        <v>29.94</v>
      </c>
    </row>
    <row r="5912" ht="51" spans="1:5">
      <c r="A5912" s="76" t="s">
        <v>3855</v>
      </c>
      <c r="B5912" s="77" t="s">
        <v>839</v>
      </c>
      <c r="C5912" s="78">
        <v>1</v>
      </c>
      <c r="D5912" s="78">
        <v>26.12</v>
      </c>
      <c r="E5912" s="78">
        <f>TRUNC(C5912*D5912,2)</f>
        <v>26.12</v>
      </c>
    </row>
    <row r="5913" ht="51" spans="1:5">
      <c r="A5913" s="76" t="s">
        <v>3856</v>
      </c>
      <c r="B5913" s="77" t="s">
        <v>839</v>
      </c>
      <c r="C5913" s="78">
        <v>1</v>
      </c>
      <c r="D5913" s="78">
        <v>6.9</v>
      </c>
      <c r="E5913" s="78">
        <f>TRUNC(C5913*D5913,2)</f>
        <v>6.9</v>
      </c>
    </row>
    <row r="5914" spans="1:5">
      <c r="A5914" s="76" t="s">
        <v>122</v>
      </c>
      <c r="B5914" s="77"/>
      <c r="C5914" s="78"/>
      <c r="D5914" s="78"/>
      <c r="E5914" s="78">
        <f>SUM(E5911:E5913)</f>
        <v>62.96</v>
      </c>
    </row>
    <row r="5915" spans="1:5">
      <c r="A5915" s="76"/>
      <c r="B5915" s="77"/>
      <c r="C5915" s="78"/>
      <c r="D5915" s="78"/>
      <c r="E5915" s="78"/>
    </row>
    <row r="5916" spans="1:5">
      <c r="A5916" s="76" t="s">
        <v>2538</v>
      </c>
      <c r="B5916" s="77"/>
      <c r="C5916" s="78"/>
      <c r="D5916" s="78"/>
      <c r="E5916" s="78">
        <f>E5914</f>
        <v>62.96</v>
      </c>
    </row>
    <row r="5917" spans="1:5">
      <c r="A5917" s="76" t="s">
        <v>2539</v>
      </c>
      <c r="B5917" s="77"/>
      <c r="C5917" s="78"/>
      <c r="D5917" s="78">
        <v>0</v>
      </c>
      <c r="E5917" s="78">
        <f>TRUNC(D5917*E5916/100,2)</f>
        <v>0</v>
      </c>
    </row>
    <row r="5918" spans="1:5">
      <c r="A5918" s="76" t="s">
        <v>2540</v>
      </c>
      <c r="B5918" s="77"/>
      <c r="C5918" s="78"/>
      <c r="D5918" s="78"/>
      <c r="E5918" s="78">
        <f>E5916+E5917</f>
        <v>62.96</v>
      </c>
    </row>
    <row r="5919" spans="1:5">
      <c r="A5919" s="76"/>
      <c r="B5919" s="77"/>
      <c r="C5919" s="78"/>
      <c r="D5919" s="78"/>
      <c r="E5919" s="78"/>
    </row>
    <row r="5920" spans="1:5">
      <c r="A5920" s="76" t="s">
        <v>3092</v>
      </c>
      <c r="B5920" s="77" t="s">
        <v>3868</v>
      </c>
      <c r="C5920" s="78"/>
      <c r="D5920" s="78"/>
      <c r="E5920" s="78"/>
    </row>
    <row r="5921" ht="38.25" spans="1:5">
      <c r="A5921" s="76" t="s">
        <v>3869</v>
      </c>
      <c r="B5921" s="77"/>
      <c r="C5921" s="78"/>
      <c r="D5921" s="78"/>
      <c r="E5921" s="78"/>
    </row>
    <row r="5922" spans="1:5">
      <c r="A5922" s="76" t="s">
        <v>3085</v>
      </c>
      <c r="B5922" s="77"/>
      <c r="C5922" s="78"/>
      <c r="D5922" s="78"/>
      <c r="E5922" s="78"/>
    </row>
    <row r="5923" spans="1:5">
      <c r="A5923" s="76"/>
      <c r="B5923" s="77"/>
      <c r="C5923" s="78"/>
      <c r="D5923" s="78"/>
      <c r="E5923" s="78"/>
    </row>
    <row r="5924" spans="1:5">
      <c r="A5924" s="76" t="s">
        <v>2543</v>
      </c>
      <c r="B5924" s="77" t="s">
        <v>135</v>
      </c>
      <c r="C5924" s="78" t="s">
        <v>136</v>
      </c>
      <c r="D5924" s="78" t="s">
        <v>2534</v>
      </c>
      <c r="E5924" s="78" t="s">
        <v>2535</v>
      </c>
    </row>
    <row r="5925" ht="25.5" spans="1:5">
      <c r="A5925" s="76" t="s">
        <v>3870</v>
      </c>
      <c r="B5925" s="77" t="s">
        <v>839</v>
      </c>
      <c r="C5925" s="78">
        <v>1</v>
      </c>
      <c r="D5925" s="78">
        <v>35.13</v>
      </c>
      <c r="E5925" s="78">
        <f t="shared" ref="E5925:E5930" si="52">TRUNC(C5925*D5925,2)</f>
        <v>35.13</v>
      </c>
    </row>
    <row r="5926" ht="51" spans="1:5">
      <c r="A5926" s="76" t="s">
        <v>3871</v>
      </c>
      <c r="B5926" s="77" t="s">
        <v>839</v>
      </c>
      <c r="C5926" s="78">
        <v>1</v>
      </c>
      <c r="D5926" s="78">
        <v>16.66</v>
      </c>
      <c r="E5926" s="78">
        <f t="shared" si="52"/>
        <v>16.66</v>
      </c>
    </row>
    <row r="5927" ht="51" spans="1:5">
      <c r="A5927" s="76" t="s">
        <v>3872</v>
      </c>
      <c r="B5927" s="77" t="s">
        <v>839</v>
      </c>
      <c r="C5927" s="78">
        <v>1</v>
      </c>
      <c r="D5927" s="78">
        <v>6.73</v>
      </c>
      <c r="E5927" s="78">
        <f t="shared" si="52"/>
        <v>6.73</v>
      </c>
    </row>
    <row r="5928" ht="51" spans="1:5">
      <c r="A5928" s="76" t="s">
        <v>3873</v>
      </c>
      <c r="B5928" s="77" t="s">
        <v>839</v>
      </c>
      <c r="C5928" s="78">
        <v>1</v>
      </c>
      <c r="D5928" s="78">
        <v>74.46</v>
      </c>
      <c r="E5928" s="78">
        <f t="shared" si="52"/>
        <v>74.46</v>
      </c>
    </row>
    <row r="5929" ht="25.5" spans="1:5">
      <c r="A5929" s="76" t="s">
        <v>3874</v>
      </c>
      <c r="B5929" s="77" t="s">
        <v>839</v>
      </c>
      <c r="C5929" s="78">
        <v>1</v>
      </c>
      <c r="D5929" s="78">
        <v>298.51</v>
      </c>
      <c r="E5929" s="78">
        <f t="shared" si="52"/>
        <v>298.51</v>
      </c>
    </row>
    <row r="5930" ht="51" spans="1:5">
      <c r="A5930" s="76" t="s">
        <v>3875</v>
      </c>
      <c r="B5930" s="77" t="s">
        <v>839</v>
      </c>
      <c r="C5930" s="78">
        <v>1</v>
      </c>
      <c r="D5930" s="78">
        <v>41.28</v>
      </c>
      <c r="E5930" s="78">
        <f t="shared" si="52"/>
        <v>41.28</v>
      </c>
    </row>
    <row r="5931" spans="1:5">
      <c r="A5931" s="76" t="s">
        <v>122</v>
      </c>
      <c r="B5931" s="77"/>
      <c r="C5931" s="78"/>
      <c r="D5931" s="78"/>
      <c r="E5931" s="78">
        <f>SUM(E5925:E5930)</f>
        <v>472.77</v>
      </c>
    </row>
    <row r="5932" spans="1:5">
      <c r="A5932" s="76"/>
      <c r="B5932" s="77"/>
      <c r="C5932" s="78"/>
      <c r="D5932" s="78"/>
      <c r="E5932" s="78"/>
    </row>
    <row r="5933" spans="1:5">
      <c r="A5933" s="76" t="s">
        <v>2538</v>
      </c>
      <c r="B5933" s="77"/>
      <c r="C5933" s="78"/>
      <c r="D5933" s="78"/>
      <c r="E5933" s="78">
        <f>E5931</f>
        <v>472.77</v>
      </c>
    </row>
    <row r="5934" spans="1:5">
      <c r="A5934" s="76" t="s">
        <v>2539</v>
      </c>
      <c r="B5934" s="77"/>
      <c r="C5934" s="78"/>
      <c r="D5934" s="78">
        <v>0</v>
      </c>
      <c r="E5934" s="78">
        <f>TRUNC(D5934*E5933/100,2)</f>
        <v>0</v>
      </c>
    </row>
    <row r="5935" spans="1:5">
      <c r="A5935" s="76" t="s">
        <v>2540</v>
      </c>
      <c r="B5935" s="77"/>
      <c r="C5935" s="78"/>
      <c r="D5935" s="78"/>
      <c r="E5935" s="78">
        <f>E5933+E5934</f>
        <v>472.77</v>
      </c>
    </row>
    <row r="5936" spans="1:5">
      <c r="A5936" s="76"/>
      <c r="B5936" s="77"/>
      <c r="C5936" s="78"/>
      <c r="D5936" s="78"/>
      <c r="E5936" s="78"/>
    </row>
    <row r="5937" spans="1:5">
      <c r="A5937" s="76" t="s">
        <v>3092</v>
      </c>
      <c r="B5937" s="77" t="s">
        <v>3876</v>
      </c>
      <c r="C5937" s="78"/>
      <c r="D5937" s="78"/>
      <c r="E5937" s="78"/>
    </row>
    <row r="5938" spans="1:5">
      <c r="A5938" s="76" t="s">
        <v>3877</v>
      </c>
      <c r="B5938" s="77"/>
      <c r="C5938" s="78"/>
      <c r="D5938" s="78"/>
      <c r="E5938" s="78"/>
    </row>
    <row r="5939" spans="1:5">
      <c r="A5939" s="76" t="s">
        <v>2764</v>
      </c>
      <c r="B5939" s="77"/>
      <c r="C5939" s="78"/>
      <c r="D5939" s="78"/>
      <c r="E5939" s="78"/>
    </row>
    <row r="5940" spans="1:5">
      <c r="A5940" s="76"/>
      <c r="B5940" s="77"/>
      <c r="C5940" s="78"/>
      <c r="D5940" s="78"/>
      <c r="E5940" s="78"/>
    </row>
    <row r="5941" spans="1:5">
      <c r="A5941" s="76" t="s">
        <v>279</v>
      </c>
      <c r="B5941" s="77" t="s">
        <v>135</v>
      </c>
      <c r="C5941" s="78" t="s">
        <v>136</v>
      </c>
      <c r="D5941" s="78" t="s">
        <v>2534</v>
      </c>
      <c r="E5941" s="78" t="s">
        <v>2535</v>
      </c>
    </row>
    <row r="5942" ht="25.5" spans="1:5">
      <c r="A5942" s="76" t="s">
        <v>3111</v>
      </c>
      <c r="B5942" s="77" t="s">
        <v>839</v>
      </c>
      <c r="C5942" s="78">
        <v>1</v>
      </c>
      <c r="D5942" s="78">
        <v>1.5</v>
      </c>
      <c r="E5942" s="78">
        <f>TRUNC(C5942*D5942,2)</f>
        <v>1.5</v>
      </c>
    </row>
    <row r="5943" spans="1:5">
      <c r="A5943" s="76" t="s">
        <v>122</v>
      </c>
      <c r="B5943" s="77"/>
      <c r="C5943" s="78"/>
      <c r="D5943" s="78"/>
      <c r="E5943" s="78">
        <f>SUM(E5942:E5942)</f>
        <v>1.5</v>
      </c>
    </row>
    <row r="5944" spans="1:5">
      <c r="A5944" s="76"/>
      <c r="B5944" s="77"/>
      <c r="C5944" s="78"/>
      <c r="D5944" s="78"/>
      <c r="E5944" s="78"/>
    </row>
    <row r="5945" spans="1:5">
      <c r="A5945" s="76" t="s">
        <v>280</v>
      </c>
      <c r="B5945" s="77" t="s">
        <v>135</v>
      </c>
      <c r="C5945" s="78" t="s">
        <v>136</v>
      </c>
      <c r="D5945" s="78" t="s">
        <v>2534</v>
      </c>
      <c r="E5945" s="78" t="s">
        <v>2535</v>
      </c>
    </row>
    <row r="5946" ht="25.5" spans="1:5">
      <c r="A5946" s="76" t="s">
        <v>3112</v>
      </c>
      <c r="B5946" s="77" t="s">
        <v>839</v>
      </c>
      <c r="C5946" s="78">
        <v>1</v>
      </c>
      <c r="D5946" s="78">
        <v>3.95</v>
      </c>
      <c r="E5946" s="78">
        <f>TRUNC(C5946*D5946,2)</f>
        <v>3.95</v>
      </c>
    </row>
    <row r="5947" spans="1:5">
      <c r="A5947" s="76" t="s">
        <v>3878</v>
      </c>
      <c r="B5947" s="77" t="s">
        <v>839</v>
      </c>
      <c r="C5947" s="78">
        <v>1</v>
      </c>
      <c r="D5947" s="78">
        <v>27.14</v>
      </c>
      <c r="E5947" s="78">
        <f>TRUNC(C5947*D5947,2)</f>
        <v>27.14</v>
      </c>
    </row>
    <row r="5948" ht="25.5" spans="1:5">
      <c r="A5948" s="76" t="s">
        <v>3113</v>
      </c>
      <c r="B5948" s="77" t="s">
        <v>839</v>
      </c>
      <c r="C5948" s="78">
        <v>1</v>
      </c>
      <c r="D5948" s="78">
        <v>0.08</v>
      </c>
      <c r="E5948" s="78">
        <f>TRUNC(C5948*D5948,2)</f>
        <v>0.08</v>
      </c>
    </row>
    <row r="5949" spans="1:5">
      <c r="A5949" s="76" t="s">
        <v>122</v>
      </c>
      <c r="B5949" s="77"/>
      <c r="C5949" s="78"/>
      <c r="D5949" s="78"/>
      <c r="E5949" s="78">
        <f>SUM(E5946:E5948)</f>
        <v>31.17</v>
      </c>
    </row>
    <row r="5950" spans="1:5">
      <c r="A5950" s="76" t="s">
        <v>117</v>
      </c>
      <c r="B5950" s="77"/>
      <c r="C5950" s="78"/>
      <c r="D5950" s="78"/>
      <c r="E5950" s="78" t="str">
        <f>"0"</f>
        <v>0</v>
      </c>
    </row>
    <row r="5951" spans="1:5">
      <c r="A5951" s="76" t="s">
        <v>2537</v>
      </c>
      <c r="B5951" s="77"/>
      <c r="C5951" s="78"/>
      <c r="D5951" s="78"/>
      <c r="E5951" s="78">
        <f>E5949+E5950</f>
        <v>31.17</v>
      </c>
    </row>
    <row r="5952" spans="1:5">
      <c r="A5952" s="76"/>
      <c r="B5952" s="77"/>
      <c r="C5952" s="78"/>
      <c r="D5952" s="78"/>
      <c r="E5952" s="78"/>
    </row>
    <row r="5953" spans="1:5">
      <c r="A5953" s="76" t="s">
        <v>2543</v>
      </c>
      <c r="B5953" s="77" t="s">
        <v>135</v>
      </c>
      <c r="C5953" s="78" t="s">
        <v>136</v>
      </c>
      <c r="D5953" s="78" t="s">
        <v>2534</v>
      </c>
      <c r="E5953" s="78" t="s">
        <v>2535</v>
      </c>
    </row>
    <row r="5954" ht="25.5" spans="1:5">
      <c r="A5954" s="76" t="s">
        <v>3195</v>
      </c>
      <c r="B5954" s="77" t="s">
        <v>839</v>
      </c>
      <c r="C5954" s="78">
        <v>1</v>
      </c>
      <c r="D5954" s="78">
        <v>0.89</v>
      </c>
      <c r="E5954" s="78">
        <f>TRUNC(C5954*D5954,2)</f>
        <v>0.89</v>
      </c>
    </row>
    <row r="5955" spans="1:5">
      <c r="A5955" s="76" t="s">
        <v>3116</v>
      </c>
      <c r="B5955" s="77" t="s">
        <v>839</v>
      </c>
      <c r="C5955" s="78">
        <v>1</v>
      </c>
      <c r="D5955" s="78">
        <v>1.43</v>
      </c>
      <c r="E5955" s="78">
        <f>TRUNC(C5955*D5955,2)</f>
        <v>1.43</v>
      </c>
    </row>
    <row r="5956" ht="25.5" spans="1:5">
      <c r="A5956" s="76" t="s">
        <v>3196</v>
      </c>
      <c r="B5956" s="77" t="s">
        <v>839</v>
      </c>
      <c r="C5956" s="78">
        <v>1</v>
      </c>
      <c r="D5956" s="78">
        <v>0.01</v>
      </c>
      <c r="E5956" s="78">
        <f>TRUNC(C5956*D5956,2)</f>
        <v>0.01</v>
      </c>
    </row>
    <row r="5957" ht="25.5" spans="1:5">
      <c r="A5957" s="76" t="s">
        <v>3879</v>
      </c>
      <c r="B5957" s="77" t="s">
        <v>839</v>
      </c>
      <c r="C5957" s="78">
        <v>1</v>
      </c>
      <c r="D5957" s="78">
        <v>0.13</v>
      </c>
      <c r="E5957" s="78">
        <f>TRUNC(C5957*D5957,2)</f>
        <v>0.13</v>
      </c>
    </row>
    <row r="5958" spans="1:5">
      <c r="A5958" s="76" t="s">
        <v>122</v>
      </c>
      <c r="B5958" s="77"/>
      <c r="C5958" s="78"/>
      <c r="D5958" s="78"/>
      <c r="E5958" s="78">
        <f>SUM(E5954:E5957)</f>
        <v>2.46</v>
      </c>
    </row>
    <row r="5959" spans="1:5">
      <c r="A5959" s="76"/>
      <c r="B5959" s="77"/>
      <c r="C5959" s="78"/>
      <c r="D5959" s="78"/>
      <c r="E5959" s="78"/>
    </row>
    <row r="5960" spans="1:5">
      <c r="A5960" s="76" t="s">
        <v>2538</v>
      </c>
      <c r="B5960" s="77"/>
      <c r="C5960" s="78"/>
      <c r="D5960" s="78"/>
      <c r="E5960" s="78">
        <f>E5943+E5951+E5958</f>
        <v>35.13</v>
      </c>
    </row>
    <row r="5961" spans="1:5">
      <c r="A5961" s="76" t="s">
        <v>2539</v>
      </c>
      <c r="B5961" s="77"/>
      <c r="C5961" s="78"/>
      <c r="D5961" s="78">
        <v>0</v>
      </c>
      <c r="E5961" s="78">
        <f>TRUNC(D5961*E5960/100,2)</f>
        <v>0</v>
      </c>
    </row>
    <row r="5962" spans="1:5">
      <c r="A5962" s="76" t="s">
        <v>2540</v>
      </c>
      <c r="B5962" s="77"/>
      <c r="C5962" s="78"/>
      <c r="D5962" s="78"/>
      <c r="E5962" s="78">
        <f>E5960+E5961</f>
        <v>35.13</v>
      </c>
    </row>
    <row r="5963" spans="1:5">
      <c r="A5963" s="76"/>
      <c r="B5963" s="77"/>
      <c r="C5963" s="78"/>
      <c r="D5963" s="78"/>
      <c r="E5963" s="78"/>
    </row>
    <row r="5964" spans="1:5">
      <c r="A5964" s="76" t="s">
        <v>3092</v>
      </c>
      <c r="B5964" s="77" t="s">
        <v>3880</v>
      </c>
      <c r="C5964" s="78"/>
      <c r="D5964" s="78"/>
      <c r="E5964" s="78"/>
    </row>
    <row r="5965" ht="25.5" spans="1:5">
      <c r="A5965" s="76" t="s">
        <v>3881</v>
      </c>
      <c r="B5965" s="77"/>
      <c r="C5965" s="78"/>
      <c r="D5965" s="78"/>
      <c r="E5965" s="78"/>
    </row>
    <row r="5966" spans="1:5">
      <c r="A5966" s="76" t="s">
        <v>2764</v>
      </c>
      <c r="B5966" s="77"/>
      <c r="C5966" s="78"/>
      <c r="D5966" s="78"/>
      <c r="E5966" s="78"/>
    </row>
    <row r="5967" spans="1:5">
      <c r="A5967" s="76"/>
      <c r="B5967" s="77"/>
      <c r="C5967" s="78"/>
      <c r="D5967" s="78"/>
      <c r="E5967" s="78"/>
    </row>
    <row r="5968" spans="1:5">
      <c r="A5968" s="76" t="s">
        <v>280</v>
      </c>
      <c r="B5968" s="77" t="s">
        <v>135</v>
      </c>
      <c r="C5968" s="78" t="s">
        <v>136</v>
      </c>
      <c r="D5968" s="78" t="s">
        <v>2534</v>
      </c>
      <c r="E5968" s="78" t="s">
        <v>2535</v>
      </c>
    </row>
    <row r="5969" spans="1:5">
      <c r="A5969" s="76" t="s">
        <v>3878</v>
      </c>
      <c r="B5969" s="77" t="s">
        <v>839</v>
      </c>
      <c r="C5969" s="78">
        <v>0.00509</v>
      </c>
      <c r="D5969" s="78">
        <v>27.14</v>
      </c>
      <c r="E5969" s="78">
        <f>TRUNC(C5969*D5969,2)</f>
        <v>0.13</v>
      </c>
    </row>
    <row r="5970" spans="1:5">
      <c r="A5970" s="76" t="s">
        <v>122</v>
      </c>
      <c r="B5970" s="77"/>
      <c r="C5970" s="78"/>
      <c r="D5970" s="78"/>
      <c r="E5970" s="78">
        <f>SUM(E5969:E5969)</f>
        <v>0.13</v>
      </c>
    </row>
    <row r="5971" spans="1:5">
      <c r="A5971" s="76" t="s">
        <v>117</v>
      </c>
      <c r="B5971" s="77"/>
      <c r="C5971" s="78"/>
      <c r="D5971" s="78"/>
      <c r="E5971" s="78" t="str">
        <f>"0"</f>
        <v>0</v>
      </c>
    </row>
    <row r="5972" spans="1:5">
      <c r="A5972" s="76" t="s">
        <v>2537</v>
      </c>
      <c r="B5972" s="77"/>
      <c r="C5972" s="78"/>
      <c r="D5972" s="78"/>
      <c r="E5972" s="78">
        <f>E5970+E5971</f>
        <v>0.13</v>
      </c>
    </row>
    <row r="5973" spans="1:5">
      <c r="A5973" s="76"/>
      <c r="B5973" s="77"/>
      <c r="C5973" s="78"/>
      <c r="D5973" s="78"/>
      <c r="E5973" s="78"/>
    </row>
    <row r="5974" spans="1:5">
      <c r="A5974" s="76" t="s">
        <v>2538</v>
      </c>
      <c r="B5974" s="77"/>
      <c r="C5974" s="78"/>
      <c r="D5974" s="78"/>
      <c r="E5974" s="78">
        <f>E5972</f>
        <v>0.13</v>
      </c>
    </row>
    <row r="5975" spans="1:5">
      <c r="A5975" s="76" t="s">
        <v>2539</v>
      </c>
      <c r="B5975" s="77"/>
      <c r="C5975" s="78"/>
      <c r="D5975" s="78">
        <v>0</v>
      </c>
      <c r="E5975" s="78">
        <f>TRUNC(D5975*E5974/100,2)</f>
        <v>0</v>
      </c>
    </row>
    <row r="5976" spans="1:5">
      <c r="A5976" s="76" t="s">
        <v>2540</v>
      </c>
      <c r="B5976" s="77"/>
      <c r="C5976" s="78"/>
      <c r="D5976" s="78"/>
      <c r="E5976" s="78">
        <f>E5974+E5975</f>
        <v>0.13</v>
      </c>
    </row>
    <row r="5977" spans="1:5">
      <c r="A5977" s="76"/>
      <c r="B5977" s="77"/>
      <c r="C5977" s="78"/>
      <c r="D5977" s="78"/>
      <c r="E5977" s="78"/>
    </row>
    <row r="5978" spans="1:5">
      <c r="A5978" s="76" t="s">
        <v>3092</v>
      </c>
      <c r="B5978" s="77" t="s">
        <v>3882</v>
      </c>
      <c r="C5978" s="78"/>
      <c r="D5978" s="78"/>
      <c r="E5978" s="78"/>
    </row>
    <row r="5979" ht="38.25" spans="1:5">
      <c r="A5979" s="76" t="s">
        <v>3883</v>
      </c>
      <c r="B5979" s="77"/>
      <c r="C5979" s="78"/>
      <c r="D5979" s="78"/>
      <c r="E5979" s="78"/>
    </row>
    <row r="5980" spans="1:5">
      <c r="A5980" s="76" t="s">
        <v>2764</v>
      </c>
      <c r="B5980" s="77"/>
      <c r="C5980" s="78"/>
      <c r="D5980" s="78"/>
      <c r="E5980" s="78"/>
    </row>
    <row r="5981" spans="1:5">
      <c r="A5981" s="76"/>
      <c r="B5981" s="77"/>
      <c r="C5981" s="78"/>
      <c r="D5981" s="78"/>
      <c r="E5981" s="78"/>
    </row>
    <row r="5982" spans="1:5">
      <c r="A5982" s="76" t="s">
        <v>2543</v>
      </c>
      <c r="B5982" s="77" t="s">
        <v>135</v>
      </c>
      <c r="C5982" s="78" t="s">
        <v>136</v>
      </c>
      <c r="D5982" s="78" t="s">
        <v>2534</v>
      </c>
      <c r="E5982" s="78" t="s">
        <v>2535</v>
      </c>
    </row>
    <row r="5983" ht="38.25" spans="1:5">
      <c r="A5983" s="76" t="s">
        <v>3884</v>
      </c>
      <c r="B5983" s="77" t="s">
        <v>494</v>
      </c>
      <c r="C5983" s="78">
        <v>1.41e-5</v>
      </c>
      <c r="D5983" s="78">
        <v>1066631.84</v>
      </c>
      <c r="E5983" s="78">
        <f>TRUNC(C5983*D5983,2)</f>
        <v>15.03</v>
      </c>
    </row>
    <row r="5984" ht="25.5" spans="1:5">
      <c r="A5984" s="76" t="s">
        <v>3885</v>
      </c>
      <c r="B5984" s="77" t="s">
        <v>494</v>
      </c>
      <c r="C5984" s="78">
        <v>1.11e-5</v>
      </c>
      <c r="D5984" s="78">
        <v>147034.86</v>
      </c>
      <c r="E5984" s="78">
        <f>TRUNC(C5984*D5984,2)</f>
        <v>1.63</v>
      </c>
    </row>
    <row r="5985" spans="1:5">
      <c r="A5985" s="76" t="s">
        <v>122</v>
      </c>
      <c r="B5985" s="77"/>
      <c r="C5985" s="78"/>
      <c r="D5985" s="78"/>
      <c r="E5985" s="78">
        <f>SUM(E5983:E5984)</f>
        <v>16.66</v>
      </c>
    </row>
    <row r="5986" spans="1:5">
      <c r="A5986" s="76"/>
      <c r="B5986" s="77"/>
      <c r="C5986" s="78"/>
      <c r="D5986" s="78"/>
      <c r="E5986" s="78"/>
    </row>
    <row r="5987" spans="1:5">
      <c r="A5987" s="76" t="s">
        <v>2538</v>
      </c>
      <c r="B5987" s="77"/>
      <c r="C5987" s="78"/>
      <c r="D5987" s="78"/>
      <c r="E5987" s="78">
        <f>E5985</f>
        <v>16.66</v>
      </c>
    </row>
    <row r="5988" spans="1:5">
      <c r="A5988" s="76" t="s">
        <v>2539</v>
      </c>
      <c r="B5988" s="77"/>
      <c r="C5988" s="78"/>
      <c r="D5988" s="78">
        <v>0</v>
      </c>
      <c r="E5988" s="78">
        <f>TRUNC(D5988*E5987/100,2)</f>
        <v>0</v>
      </c>
    </row>
    <row r="5989" spans="1:5">
      <c r="A5989" s="76" t="s">
        <v>2540</v>
      </c>
      <c r="B5989" s="77"/>
      <c r="C5989" s="78"/>
      <c r="D5989" s="78"/>
      <c r="E5989" s="78">
        <f>E5987+E5988</f>
        <v>16.66</v>
      </c>
    </row>
    <row r="5990" spans="1:5">
      <c r="A5990" s="76"/>
      <c r="B5990" s="77"/>
      <c r="C5990" s="78"/>
      <c r="D5990" s="78"/>
      <c r="E5990" s="78"/>
    </row>
    <row r="5991" spans="1:5">
      <c r="A5991" s="76" t="s">
        <v>3092</v>
      </c>
      <c r="B5991" s="77" t="s">
        <v>3886</v>
      </c>
      <c r="C5991" s="78"/>
      <c r="D5991" s="78"/>
      <c r="E5991" s="78"/>
    </row>
    <row r="5992" ht="51" spans="1:5">
      <c r="A5992" s="76" t="s">
        <v>3887</v>
      </c>
      <c r="B5992" s="77"/>
      <c r="C5992" s="78"/>
      <c r="D5992" s="78"/>
      <c r="E5992" s="78"/>
    </row>
    <row r="5993" spans="1:5">
      <c r="A5993" s="76" t="s">
        <v>2764</v>
      </c>
      <c r="B5993" s="77"/>
      <c r="C5993" s="78"/>
      <c r="D5993" s="78"/>
      <c r="E5993" s="78"/>
    </row>
    <row r="5994" spans="1:5">
      <c r="A5994" s="76"/>
      <c r="B5994" s="77"/>
      <c r="C5994" s="78"/>
      <c r="D5994" s="78"/>
      <c r="E5994" s="78"/>
    </row>
    <row r="5995" spans="1:5">
      <c r="A5995" s="76" t="s">
        <v>2543</v>
      </c>
      <c r="B5995" s="77" t="s">
        <v>135</v>
      </c>
      <c r="C5995" s="78" t="s">
        <v>136</v>
      </c>
      <c r="D5995" s="78" t="s">
        <v>2534</v>
      </c>
      <c r="E5995" s="78" t="s">
        <v>2535</v>
      </c>
    </row>
    <row r="5996" ht="38.25" spans="1:5">
      <c r="A5996" s="76" t="s">
        <v>3884</v>
      </c>
      <c r="B5996" s="77" t="s">
        <v>494</v>
      </c>
      <c r="C5996" s="78">
        <v>5.7e-6</v>
      </c>
      <c r="D5996" s="78">
        <v>1066631.84</v>
      </c>
      <c r="E5996" s="78">
        <f>TRUNC(C5996*D5996,2)</f>
        <v>6.07</v>
      </c>
    </row>
    <row r="5997" ht="25.5" spans="1:5">
      <c r="A5997" s="76" t="s">
        <v>3885</v>
      </c>
      <c r="B5997" s="77" t="s">
        <v>494</v>
      </c>
      <c r="C5997" s="78">
        <v>4.5e-6</v>
      </c>
      <c r="D5997" s="78">
        <v>147034.86</v>
      </c>
      <c r="E5997" s="78">
        <f>TRUNC(C5997*D5997,2)</f>
        <v>0.66</v>
      </c>
    </row>
    <row r="5998" spans="1:5">
      <c r="A5998" s="76" t="s">
        <v>122</v>
      </c>
      <c r="B5998" s="77"/>
      <c r="C5998" s="78"/>
      <c r="D5998" s="78"/>
      <c r="E5998" s="78">
        <f>SUM(E5996:E5997)</f>
        <v>6.73</v>
      </c>
    </row>
    <row r="5999" spans="1:5">
      <c r="A5999" s="76"/>
      <c r="B5999" s="77"/>
      <c r="C5999" s="78"/>
      <c r="D5999" s="78"/>
      <c r="E5999" s="78"/>
    </row>
    <row r="6000" spans="1:5">
      <c r="A6000" s="76" t="s">
        <v>2538</v>
      </c>
      <c r="B6000" s="77"/>
      <c r="C6000" s="78"/>
      <c r="D6000" s="78"/>
      <c r="E6000" s="78">
        <f>E5998</f>
        <v>6.73</v>
      </c>
    </row>
    <row r="6001" spans="1:5">
      <c r="A6001" s="76" t="s">
        <v>2539</v>
      </c>
      <c r="B6001" s="77"/>
      <c r="C6001" s="78"/>
      <c r="D6001" s="78">
        <v>0</v>
      </c>
      <c r="E6001" s="78">
        <f>TRUNC(D6001*E6000/100,2)</f>
        <v>0</v>
      </c>
    </row>
    <row r="6002" spans="1:5">
      <c r="A6002" s="76" t="s">
        <v>2540</v>
      </c>
      <c r="B6002" s="77"/>
      <c r="C6002" s="78"/>
      <c r="D6002" s="78"/>
      <c r="E6002" s="78">
        <f>E6000+E6001</f>
        <v>6.73</v>
      </c>
    </row>
    <row r="6003" spans="1:5">
      <c r="A6003" s="76"/>
      <c r="B6003" s="77"/>
      <c r="C6003" s="78"/>
      <c r="D6003" s="78"/>
      <c r="E6003" s="78"/>
    </row>
    <row r="6004" spans="1:5">
      <c r="A6004" s="76" t="s">
        <v>3092</v>
      </c>
      <c r="B6004" s="77" t="s">
        <v>3888</v>
      </c>
      <c r="C6004" s="78"/>
      <c r="D6004" s="78"/>
      <c r="E6004" s="78"/>
    </row>
    <row r="6005" ht="38.25" spans="1:5">
      <c r="A6005" s="76" t="s">
        <v>3889</v>
      </c>
      <c r="B6005" s="77"/>
      <c r="C6005" s="78"/>
      <c r="D6005" s="78"/>
      <c r="E6005" s="78"/>
    </row>
    <row r="6006" spans="1:5">
      <c r="A6006" s="76" t="s">
        <v>2764</v>
      </c>
      <c r="B6006" s="77"/>
      <c r="C6006" s="78"/>
      <c r="D6006" s="78"/>
      <c r="E6006" s="78"/>
    </row>
    <row r="6007" spans="1:5">
      <c r="A6007" s="76"/>
      <c r="B6007" s="77"/>
      <c r="C6007" s="78"/>
      <c r="D6007" s="78"/>
      <c r="E6007" s="78"/>
    </row>
    <row r="6008" spans="1:5">
      <c r="A6008" s="76" t="s">
        <v>2543</v>
      </c>
      <c r="B6008" s="77" t="s">
        <v>135</v>
      </c>
      <c r="C6008" s="78" t="s">
        <v>136</v>
      </c>
      <c r="D6008" s="78" t="s">
        <v>2534</v>
      </c>
      <c r="E6008" s="78" t="s">
        <v>2535</v>
      </c>
    </row>
    <row r="6009" ht="38.25" spans="1:5">
      <c r="A6009" s="76" t="s">
        <v>3884</v>
      </c>
      <c r="B6009" s="77" t="s">
        <v>494</v>
      </c>
      <c r="C6009" s="78">
        <v>6.43e-5</v>
      </c>
      <c r="D6009" s="78">
        <v>1066631.84</v>
      </c>
      <c r="E6009" s="78">
        <f>TRUNC(C6009*D6009,2)</f>
        <v>68.58</v>
      </c>
    </row>
    <row r="6010" ht="25.5" spans="1:5">
      <c r="A6010" s="76" t="s">
        <v>3885</v>
      </c>
      <c r="B6010" s="77" t="s">
        <v>494</v>
      </c>
      <c r="C6010" s="78">
        <v>4e-5</v>
      </c>
      <c r="D6010" s="78">
        <v>147034.86</v>
      </c>
      <c r="E6010" s="78">
        <f>TRUNC(C6010*D6010,2)</f>
        <v>5.88</v>
      </c>
    </row>
    <row r="6011" spans="1:5">
      <c r="A6011" s="76" t="s">
        <v>122</v>
      </c>
      <c r="B6011" s="77"/>
      <c r="C6011" s="78"/>
      <c r="D6011" s="78"/>
      <c r="E6011" s="78">
        <f>SUM(E6009:E6010)</f>
        <v>74.46</v>
      </c>
    </row>
    <row r="6012" spans="1:5">
      <c r="A6012" s="76"/>
      <c r="B6012" s="77"/>
      <c r="C6012" s="78"/>
      <c r="D6012" s="78"/>
      <c r="E6012" s="78"/>
    </row>
    <row r="6013" spans="1:5">
      <c r="A6013" s="76" t="s">
        <v>2538</v>
      </c>
      <c r="B6013" s="77"/>
      <c r="C6013" s="78"/>
      <c r="D6013" s="78"/>
      <c r="E6013" s="78">
        <f>E6011</f>
        <v>74.46</v>
      </c>
    </row>
    <row r="6014" spans="1:5">
      <c r="A6014" s="76" t="s">
        <v>2539</v>
      </c>
      <c r="B6014" s="77"/>
      <c r="C6014" s="78"/>
      <c r="D6014" s="78">
        <v>0</v>
      </c>
      <c r="E6014" s="78">
        <f>TRUNC(D6014*E6013/100,2)</f>
        <v>0</v>
      </c>
    </row>
    <row r="6015" spans="1:5">
      <c r="A6015" s="76" t="s">
        <v>2540</v>
      </c>
      <c r="B6015" s="77"/>
      <c r="C6015" s="78"/>
      <c r="D6015" s="78"/>
      <c r="E6015" s="78">
        <f>E6013+E6014</f>
        <v>74.46</v>
      </c>
    </row>
    <row r="6016" spans="1:5">
      <c r="A6016" s="76"/>
      <c r="B6016" s="77"/>
      <c r="C6016" s="78"/>
      <c r="D6016" s="78"/>
      <c r="E6016" s="78"/>
    </row>
    <row r="6017" spans="1:5">
      <c r="A6017" s="76" t="s">
        <v>3092</v>
      </c>
      <c r="B6017" s="77" t="s">
        <v>3890</v>
      </c>
      <c r="C6017" s="78"/>
      <c r="D6017" s="78"/>
      <c r="E6017" s="78"/>
    </row>
    <row r="6018" ht="25.5" spans="1:5">
      <c r="A6018" s="76" t="s">
        <v>3891</v>
      </c>
      <c r="B6018" s="77"/>
      <c r="C6018" s="78"/>
      <c r="D6018" s="78"/>
      <c r="E6018" s="78"/>
    </row>
    <row r="6019" spans="1:5">
      <c r="A6019" s="76" t="s">
        <v>2764</v>
      </c>
      <c r="B6019" s="77"/>
      <c r="C6019" s="78"/>
      <c r="D6019" s="78"/>
      <c r="E6019" s="78"/>
    </row>
    <row r="6020" spans="1:5">
      <c r="A6020" s="76"/>
      <c r="B6020" s="77"/>
      <c r="C6020" s="78"/>
      <c r="D6020" s="78"/>
      <c r="E6020" s="78"/>
    </row>
    <row r="6021" spans="1:5">
      <c r="A6021" s="76" t="s">
        <v>2543</v>
      </c>
      <c r="B6021" s="77" t="s">
        <v>135</v>
      </c>
      <c r="C6021" s="78" t="s">
        <v>136</v>
      </c>
      <c r="D6021" s="78" t="s">
        <v>2534</v>
      </c>
      <c r="E6021" s="78" t="s">
        <v>2535</v>
      </c>
    </row>
    <row r="6022" spans="1:5">
      <c r="A6022" s="76" t="s">
        <v>3202</v>
      </c>
      <c r="B6022" s="77" t="s">
        <v>215</v>
      </c>
      <c r="C6022" s="78">
        <v>50.34</v>
      </c>
      <c r="D6022" s="78">
        <v>5.93</v>
      </c>
      <c r="E6022" s="78">
        <f>TRUNC(C6022*D6022,2)</f>
        <v>298.51</v>
      </c>
    </row>
    <row r="6023" spans="1:5">
      <c r="A6023" s="76" t="s">
        <v>122</v>
      </c>
      <c r="B6023" s="77"/>
      <c r="C6023" s="78"/>
      <c r="D6023" s="78"/>
      <c r="E6023" s="78">
        <f>SUM(E6022:E6022)</f>
        <v>298.51</v>
      </c>
    </row>
    <row r="6024" spans="1:5">
      <c r="A6024" s="76"/>
      <c r="B6024" s="77"/>
      <c r="C6024" s="78"/>
      <c r="D6024" s="78"/>
      <c r="E6024" s="78"/>
    </row>
    <row r="6025" spans="1:5">
      <c r="A6025" s="76" t="s">
        <v>2538</v>
      </c>
      <c r="B6025" s="77"/>
      <c r="C6025" s="78"/>
      <c r="D6025" s="78"/>
      <c r="E6025" s="78">
        <f>E6023</f>
        <v>298.51</v>
      </c>
    </row>
    <row r="6026" spans="1:5">
      <c r="A6026" s="76" t="s">
        <v>2539</v>
      </c>
      <c r="B6026" s="77"/>
      <c r="C6026" s="78"/>
      <c r="D6026" s="78">
        <v>0</v>
      </c>
      <c r="E6026" s="78">
        <f>TRUNC(D6026*E6025/100,2)</f>
        <v>0</v>
      </c>
    </row>
    <row r="6027" spans="1:5">
      <c r="A6027" s="76" t="s">
        <v>2540</v>
      </c>
      <c r="B6027" s="77"/>
      <c r="C6027" s="78"/>
      <c r="D6027" s="78"/>
      <c r="E6027" s="78">
        <f>E6025+E6026</f>
        <v>298.51</v>
      </c>
    </row>
    <row r="6028" spans="1:5">
      <c r="A6028" s="76"/>
      <c r="B6028" s="77"/>
      <c r="C6028" s="78"/>
      <c r="D6028" s="78"/>
      <c r="E6028" s="78"/>
    </row>
    <row r="6029" spans="1:5">
      <c r="A6029" s="76" t="s">
        <v>3092</v>
      </c>
      <c r="B6029" s="77" t="s">
        <v>3892</v>
      </c>
      <c r="C6029" s="78"/>
      <c r="D6029" s="78"/>
      <c r="E6029" s="78"/>
    </row>
    <row r="6030" ht="38.25" spans="1:5">
      <c r="A6030" s="76" t="s">
        <v>3893</v>
      </c>
      <c r="B6030" s="77"/>
      <c r="C6030" s="78"/>
      <c r="D6030" s="78"/>
      <c r="E6030" s="78"/>
    </row>
    <row r="6031" spans="1:5">
      <c r="A6031" s="76" t="s">
        <v>2764</v>
      </c>
      <c r="B6031" s="77"/>
      <c r="C6031" s="78"/>
      <c r="D6031" s="78"/>
      <c r="E6031" s="78"/>
    </row>
    <row r="6032" spans="1:5">
      <c r="A6032" s="76"/>
      <c r="B6032" s="77"/>
      <c r="C6032" s="78"/>
      <c r="D6032" s="78"/>
      <c r="E6032" s="78"/>
    </row>
    <row r="6033" spans="1:5">
      <c r="A6033" s="76" t="s">
        <v>2543</v>
      </c>
      <c r="B6033" s="77" t="s">
        <v>135</v>
      </c>
      <c r="C6033" s="78" t="s">
        <v>136</v>
      </c>
      <c r="D6033" s="78" t="s">
        <v>2534</v>
      </c>
      <c r="E6033" s="78" t="s">
        <v>2535</v>
      </c>
    </row>
    <row r="6034" ht="38.25" spans="1:5">
      <c r="A6034" s="76" t="s">
        <v>3884</v>
      </c>
      <c r="B6034" s="77" t="s">
        <v>494</v>
      </c>
      <c r="C6034" s="78">
        <v>3.43e-5</v>
      </c>
      <c r="D6034" s="78">
        <v>1066631.84</v>
      </c>
      <c r="E6034" s="78">
        <f>TRUNC(C6034*D6034,2)</f>
        <v>36.58</v>
      </c>
    </row>
    <row r="6035" ht="25.5" spans="1:5">
      <c r="A6035" s="76" t="s">
        <v>3885</v>
      </c>
      <c r="B6035" s="77" t="s">
        <v>494</v>
      </c>
      <c r="C6035" s="78">
        <v>3.2e-5</v>
      </c>
      <c r="D6035" s="78">
        <v>147034.86</v>
      </c>
      <c r="E6035" s="78">
        <f>TRUNC(C6035*D6035,2)</f>
        <v>4.7</v>
      </c>
    </row>
    <row r="6036" spans="1:5">
      <c r="A6036" s="76" t="s">
        <v>122</v>
      </c>
      <c r="B6036" s="77"/>
      <c r="C6036" s="78"/>
      <c r="D6036" s="78"/>
      <c r="E6036" s="78">
        <f>SUM(E6034:E6035)</f>
        <v>41.28</v>
      </c>
    </row>
    <row r="6037" spans="1:5">
      <c r="A6037" s="76"/>
      <c r="B6037" s="77"/>
      <c r="C6037" s="78"/>
      <c r="D6037" s="78"/>
      <c r="E6037" s="78"/>
    </row>
    <row r="6038" spans="1:5">
      <c r="A6038" s="76" t="s">
        <v>2538</v>
      </c>
      <c r="B6038" s="77"/>
      <c r="C6038" s="78"/>
      <c r="D6038" s="78"/>
      <c r="E6038" s="78">
        <f>E6036</f>
        <v>41.28</v>
      </c>
    </row>
    <row r="6039" spans="1:5">
      <c r="A6039" s="76" t="s">
        <v>2539</v>
      </c>
      <c r="B6039" s="77"/>
      <c r="C6039" s="78"/>
      <c r="D6039" s="78">
        <v>0</v>
      </c>
      <c r="E6039" s="78">
        <f>TRUNC(D6039*E6038/100,2)</f>
        <v>0</v>
      </c>
    </row>
    <row r="6040" spans="1:5">
      <c r="A6040" s="76" t="s">
        <v>2540</v>
      </c>
      <c r="B6040" s="77"/>
      <c r="C6040" s="78"/>
      <c r="D6040" s="78"/>
      <c r="E6040" s="78">
        <f>E6038+E6039</f>
        <v>41.28</v>
      </c>
    </row>
    <row r="6041" spans="1:5">
      <c r="A6041" s="76"/>
      <c r="B6041" s="77"/>
      <c r="C6041" s="78"/>
      <c r="D6041" s="78"/>
      <c r="E6041" s="78"/>
    </row>
    <row r="6042" spans="1:5">
      <c r="A6042" s="76" t="s">
        <v>3092</v>
      </c>
      <c r="B6042" s="77" t="s">
        <v>3894</v>
      </c>
      <c r="C6042" s="78"/>
      <c r="D6042" s="78"/>
      <c r="E6042" s="78"/>
    </row>
    <row r="6043" ht="38.25" spans="1:5">
      <c r="A6043" s="76" t="s">
        <v>3895</v>
      </c>
      <c r="B6043" s="77"/>
      <c r="C6043" s="78"/>
      <c r="D6043" s="78"/>
      <c r="E6043" s="78"/>
    </row>
    <row r="6044" spans="1:5">
      <c r="A6044" s="76" t="s">
        <v>3091</v>
      </c>
      <c r="B6044" s="77"/>
      <c r="C6044" s="78"/>
      <c r="D6044" s="78"/>
      <c r="E6044" s="78"/>
    </row>
    <row r="6045" spans="1:5">
      <c r="A6045" s="76"/>
      <c r="B6045" s="77"/>
      <c r="C6045" s="78"/>
      <c r="D6045" s="78"/>
      <c r="E6045" s="78"/>
    </row>
    <row r="6046" spans="1:5">
      <c r="A6046" s="76" t="s">
        <v>2543</v>
      </c>
      <c r="B6046" s="77" t="s">
        <v>135</v>
      </c>
      <c r="C6046" s="78" t="s">
        <v>136</v>
      </c>
      <c r="D6046" s="78" t="s">
        <v>2534</v>
      </c>
      <c r="E6046" s="78" t="s">
        <v>2535</v>
      </c>
    </row>
    <row r="6047" ht="25.5" spans="1:5">
      <c r="A6047" s="76" t="s">
        <v>3870</v>
      </c>
      <c r="B6047" s="77" t="s">
        <v>839</v>
      </c>
      <c r="C6047" s="78">
        <v>1</v>
      </c>
      <c r="D6047" s="78">
        <v>35.13</v>
      </c>
      <c r="E6047" s="78">
        <f>TRUNC(C6047*D6047,2)</f>
        <v>35.13</v>
      </c>
    </row>
    <row r="6048" ht="51" spans="1:5">
      <c r="A6048" s="76" t="s">
        <v>3871</v>
      </c>
      <c r="B6048" s="77" t="s">
        <v>839</v>
      </c>
      <c r="C6048" s="78">
        <v>1</v>
      </c>
      <c r="D6048" s="78">
        <v>16.66</v>
      </c>
      <c r="E6048" s="78">
        <f>TRUNC(C6048*D6048,2)</f>
        <v>16.66</v>
      </c>
    </row>
    <row r="6049" ht="51" spans="1:5">
      <c r="A6049" s="76" t="s">
        <v>3872</v>
      </c>
      <c r="B6049" s="77" t="s">
        <v>839</v>
      </c>
      <c r="C6049" s="78">
        <v>1</v>
      </c>
      <c r="D6049" s="78">
        <v>6.73</v>
      </c>
      <c r="E6049" s="78">
        <f>TRUNC(C6049*D6049,2)</f>
        <v>6.73</v>
      </c>
    </row>
    <row r="6050" ht="51" spans="1:5">
      <c r="A6050" s="76" t="s">
        <v>3875</v>
      </c>
      <c r="B6050" s="77" t="s">
        <v>839</v>
      </c>
      <c r="C6050" s="78">
        <v>1</v>
      </c>
      <c r="D6050" s="78">
        <v>41.28</v>
      </c>
      <c r="E6050" s="78">
        <f>TRUNC(C6050*D6050,2)</f>
        <v>41.28</v>
      </c>
    </row>
    <row r="6051" spans="1:5">
      <c r="A6051" s="76" t="s">
        <v>122</v>
      </c>
      <c r="B6051" s="77"/>
      <c r="C6051" s="78"/>
      <c r="D6051" s="78"/>
      <c r="E6051" s="78">
        <f>SUM(E6047:E6050)</f>
        <v>99.8</v>
      </c>
    </row>
    <row r="6052" spans="1:5">
      <c r="A6052" s="76"/>
      <c r="B6052" s="77"/>
      <c r="C6052" s="78"/>
      <c r="D6052" s="78"/>
      <c r="E6052" s="78"/>
    </row>
    <row r="6053" spans="1:5">
      <c r="A6053" s="76" t="s">
        <v>2538</v>
      </c>
      <c r="B6053" s="77"/>
      <c r="C6053" s="78"/>
      <c r="D6053" s="78"/>
      <c r="E6053" s="78">
        <f>E6051</f>
        <v>99.8</v>
      </c>
    </row>
    <row r="6054" spans="1:5">
      <c r="A6054" s="76" t="s">
        <v>2539</v>
      </c>
      <c r="B6054" s="77"/>
      <c r="C6054" s="78"/>
      <c r="D6054" s="78">
        <v>0</v>
      </c>
      <c r="E6054" s="78">
        <f>TRUNC(D6054*E6053/100,2)</f>
        <v>0</v>
      </c>
    </row>
    <row r="6055" spans="1:5">
      <c r="A6055" s="76" t="s">
        <v>2540</v>
      </c>
      <c r="B6055" s="77"/>
      <c r="C6055" s="78"/>
      <c r="D6055" s="78"/>
      <c r="E6055" s="78">
        <f>E6053+E6054</f>
        <v>99.8</v>
      </c>
    </row>
    <row r="6056" spans="1:5">
      <c r="A6056" s="76"/>
      <c r="B6056" s="77"/>
      <c r="C6056" s="78"/>
      <c r="D6056" s="78"/>
      <c r="E6056" s="78"/>
    </row>
    <row r="6057" spans="1:5">
      <c r="A6057" s="76" t="s">
        <v>3092</v>
      </c>
      <c r="B6057" s="77" t="s">
        <v>3896</v>
      </c>
      <c r="C6057" s="78"/>
      <c r="D6057" s="78"/>
      <c r="E6057" s="78"/>
    </row>
    <row r="6058" ht="25.5" spans="1:5">
      <c r="A6058" s="76" t="s">
        <v>3897</v>
      </c>
      <c r="B6058" s="77"/>
      <c r="C6058" s="78"/>
      <c r="D6058" s="78"/>
      <c r="E6058" s="78"/>
    </row>
    <row r="6059" spans="1:5">
      <c r="A6059" s="76" t="s">
        <v>3091</v>
      </c>
      <c r="B6059" s="77"/>
      <c r="C6059" s="78"/>
      <c r="D6059" s="78"/>
      <c r="E6059" s="78"/>
    </row>
    <row r="6060" spans="1:5">
      <c r="A6060" s="76"/>
      <c r="B6060" s="77"/>
      <c r="C6060" s="78"/>
      <c r="D6060" s="78"/>
      <c r="E6060" s="78"/>
    </row>
    <row r="6061" spans="1:5">
      <c r="A6061" s="76" t="s">
        <v>2543</v>
      </c>
      <c r="B6061" s="77" t="s">
        <v>135</v>
      </c>
      <c r="C6061" s="78" t="s">
        <v>136</v>
      </c>
      <c r="D6061" s="78" t="s">
        <v>2534</v>
      </c>
      <c r="E6061" s="78" t="s">
        <v>2535</v>
      </c>
    </row>
    <row r="6062" ht="25.5" spans="1:5">
      <c r="A6062" s="76" t="s">
        <v>3273</v>
      </c>
      <c r="B6062" s="77" t="s">
        <v>839</v>
      </c>
      <c r="C6062" s="78">
        <v>1</v>
      </c>
      <c r="D6062" s="78">
        <v>26.06</v>
      </c>
      <c r="E6062" s="78">
        <f>TRUNC(C6062*D6062,2)</f>
        <v>26.06</v>
      </c>
    </row>
    <row r="6063" ht="25.5" spans="1:5">
      <c r="A6063" s="76" t="s">
        <v>3686</v>
      </c>
      <c r="B6063" s="77" t="s">
        <v>839</v>
      </c>
      <c r="C6063" s="78">
        <v>1</v>
      </c>
      <c r="D6063" s="78">
        <v>0.22</v>
      </c>
      <c r="E6063" s="78">
        <f>TRUNC(C6063*D6063,2)</f>
        <v>0.22</v>
      </c>
    </row>
    <row r="6064" ht="25.5" spans="1:5">
      <c r="A6064" s="76" t="s">
        <v>3688</v>
      </c>
      <c r="B6064" s="77" t="s">
        <v>839</v>
      </c>
      <c r="C6064" s="78">
        <v>1</v>
      </c>
      <c r="D6064" s="78">
        <v>0.84</v>
      </c>
      <c r="E6064" s="78">
        <f>TRUNC(C6064*D6064,2)</f>
        <v>0.84</v>
      </c>
    </row>
    <row r="6065" spans="1:5">
      <c r="A6065" s="76" t="s">
        <v>122</v>
      </c>
      <c r="B6065" s="77"/>
      <c r="C6065" s="78"/>
      <c r="D6065" s="78"/>
      <c r="E6065" s="78">
        <f>SUM(E6062:E6064)</f>
        <v>27.12</v>
      </c>
    </row>
    <row r="6066" spans="1:5">
      <c r="A6066" s="76"/>
      <c r="B6066" s="77"/>
      <c r="C6066" s="78"/>
      <c r="D6066" s="78"/>
      <c r="E6066" s="78"/>
    </row>
    <row r="6067" spans="1:5">
      <c r="A6067" s="76" t="s">
        <v>2538</v>
      </c>
      <c r="B6067" s="77"/>
      <c r="C6067" s="78"/>
      <c r="D6067" s="78"/>
      <c r="E6067" s="78">
        <f>E6065</f>
        <v>27.12</v>
      </c>
    </row>
    <row r="6068" spans="1:5">
      <c r="A6068" s="76" t="s">
        <v>2539</v>
      </c>
      <c r="B6068" s="77"/>
      <c r="C6068" s="78"/>
      <c r="D6068" s="78">
        <v>0</v>
      </c>
      <c r="E6068" s="78">
        <f>TRUNC(D6068*E6067/100,2)</f>
        <v>0</v>
      </c>
    </row>
    <row r="6069" spans="1:5">
      <c r="A6069" s="76" t="s">
        <v>2540</v>
      </c>
      <c r="B6069" s="77"/>
      <c r="C6069" s="78"/>
      <c r="D6069" s="78"/>
      <c r="E6069" s="78">
        <f>E6067+E6068</f>
        <v>27.12</v>
      </c>
    </row>
    <row r="6070" spans="1:5">
      <c r="A6070" s="76"/>
      <c r="B6070" s="77"/>
      <c r="C6070" s="78"/>
      <c r="D6070" s="78"/>
      <c r="E6070" s="78"/>
    </row>
    <row r="6071" spans="1:5">
      <c r="A6071" s="76" t="s">
        <v>3092</v>
      </c>
      <c r="B6071" s="77" t="s">
        <v>3898</v>
      </c>
      <c r="C6071" s="78"/>
      <c r="D6071" s="78"/>
      <c r="E6071" s="78"/>
    </row>
    <row r="6072" spans="1:5">
      <c r="A6072" s="76" t="s">
        <v>3899</v>
      </c>
      <c r="B6072" s="77"/>
      <c r="C6072" s="78"/>
      <c r="D6072" s="78"/>
      <c r="E6072" s="78"/>
    </row>
    <row r="6073" spans="1:5">
      <c r="A6073" s="76" t="s">
        <v>2764</v>
      </c>
      <c r="B6073" s="77"/>
      <c r="C6073" s="78"/>
      <c r="D6073" s="78"/>
      <c r="E6073" s="78"/>
    </row>
    <row r="6074" spans="1:5">
      <c r="A6074" s="76"/>
      <c r="B6074" s="77"/>
      <c r="C6074" s="78"/>
      <c r="D6074" s="78"/>
      <c r="E6074" s="78"/>
    </row>
    <row r="6075" spans="1:5">
      <c r="A6075" s="76" t="s">
        <v>279</v>
      </c>
      <c r="B6075" s="77" t="s">
        <v>135</v>
      </c>
      <c r="C6075" s="78" t="s">
        <v>136</v>
      </c>
      <c r="D6075" s="78" t="s">
        <v>2534</v>
      </c>
      <c r="E6075" s="78" t="s">
        <v>2535</v>
      </c>
    </row>
    <row r="6076" ht="25.5" spans="1:5">
      <c r="A6076" s="76" t="s">
        <v>3111</v>
      </c>
      <c r="B6076" s="77" t="s">
        <v>839</v>
      </c>
      <c r="C6076" s="78">
        <v>1</v>
      </c>
      <c r="D6076" s="78">
        <v>1.5</v>
      </c>
      <c r="E6076" s="78">
        <f>TRUNC(C6076*D6076,2)</f>
        <v>1.5</v>
      </c>
    </row>
    <row r="6077" spans="1:5">
      <c r="A6077" s="76" t="s">
        <v>122</v>
      </c>
      <c r="B6077" s="77"/>
      <c r="C6077" s="78"/>
      <c r="D6077" s="78"/>
      <c r="E6077" s="78">
        <f>SUM(E6076:E6076)</f>
        <v>1.5</v>
      </c>
    </row>
    <row r="6078" spans="1:5">
      <c r="A6078" s="76"/>
      <c r="B6078" s="77"/>
      <c r="C6078" s="78"/>
      <c r="D6078" s="78"/>
      <c r="E6078" s="78"/>
    </row>
    <row r="6079" spans="1:5">
      <c r="A6079" s="76" t="s">
        <v>280</v>
      </c>
      <c r="B6079" s="77" t="s">
        <v>135</v>
      </c>
      <c r="C6079" s="78" t="s">
        <v>136</v>
      </c>
      <c r="D6079" s="78" t="s">
        <v>2534</v>
      </c>
      <c r="E6079" s="78" t="s">
        <v>2535</v>
      </c>
    </row>
    <row r="6080" ht="25.5" spans="1:5">
      <c r="A6080" s="76" t="s">
        <v>3112</v>
      </c>
      <c r="B6080" s="77" t="s">
        <v>839</v>
      </c>
      <c r="C6080" s="78">
        <v>1</v>
      </c>
      <c r="D6080" s="78">
        <v>3.95</v>
      </c>
      <c r="E6080" s="78">
        <f>TRUNC(C6080*D6080,2)</f>
        <v>3.95</v>
      </c>
    </row>
    <row r="6081" spans="1:5">
      <c r="A6081" s="76" t="s">
        <v>3900</v>
      </c>
      <c r="B6081" s="77" t="s">
        <v>839</v>
      </c>
      <c r="C6081" s="78">
        <v>1</v>
      </c>
      <c r="D6081" s="78">
        <v>21.83</v>
      </c>
      <c r="E6081" s="78">
        <f>TRUNC(C6081*D6081,2)</f>
        <v>21.83</v>
      </c>
    </row>
    <row r="6082" ht="25.5" spans="1:5">
      <c r="A6082" s="76" t="s">
        <v>3113</v>
      </c>
      <c r="B6082" s="77" t="s">
        <v>839</v>
      </c>
      <c r="C6082" s="78">
        <v>1</v>
      </c>
      <c r="D6082" s="78">
        <v>0.08</v>
      </c>
      <c r="E6082" s="78">
        <f>TRUNC(C6082*D6082,2)</f>
        <v>0.08</v>
      </c>
    </row>
    <row r="6083" spans="1:5">
      <c r="A6083" s="76" t="s">
        <v>122</v>
      </c>
      <c r="B6083" s="77"/>
      <c r="C6083" s="78"/>
      <c r="D6083" s="78"/>
      <c r="E6083" s="78">
        <f>SUM(E6080:E6082)</f>
        <v>25.86</v>
      </c>
    </row>
    <row r="6084" spans="1:5">
      <c r="A6084" s="76" t="s">
        <v>117</v>
      </c>
      <c r="B6084" s="77"/>
      <c r="C6084" s="78"/>
      <c r="D6084" s="78"/>
      <c r="E6084" s="78" t="str">
        <f>"0"</f>
        <v>0</v>
      </c>
    </row>
    <row r="6085" spans="1:5">
      <c r="A6085" s="76" t="s">
        <v>2537</v>
      </c>
      <c r="B6085" s="77"/>
      <c r="C6085" s="78"/>
      <c r="D6085" s="78"/>
      <c r="E6085" s="78">
        <f>E6083+E6084</f>
        <v>25.86</v>
      </c>
    </row>
    <row r="6086" spans="1:5">
      <c r="A6086" s="76"/>
      <c r="B6086" s="77"/>
      <c r="C6086" s="78"/>
      <c r="D6086" s="78"/>
      <c r="E6086" s="78"/>
    </row>
    <row r="6087" spans="1:5">
      <c r="A6087" s="76" t="s">
        <v>2543</v>
      </c>
      <c r="B6087" s="77" t="s">
        <v>135</v>
      </c>
      <c r="C6087" s="78" t="s">
        <v>136</v>
      </c>
      <c r="D6087" s="78" t="s">
        <v>2534</v>
      </c>
      <c r="E6087" s="78" t="s">
        <v>2535</v>
      </c>
    </row>
    <row r="6088" ht="25.5" spans="1:5">
      <c r="A6088" s="76" t="s">
        <v>3901</v>
      </c>
      <c r="B6088" s="77" t="s">
        <v>839</v>
      </c>
      <c r="C6088" s="78">
        <v>1</v>
      </c>
      <c r="D6088" s="78">
        <v>1.26</v>
      </c>
      <c r="E6088" s="78">
        <f>TRUNC(C6088*D6088,2)</f>
        <v>1.26</v>
      </c>
    </row>
    <row r="6089" spans="1:5">
      <c r="A6089" s="76" t="s">
        <v>3116</v>
      </c>
      <c r="B6089" s="77" t="s">
        <v>839</v>
      </c>
      <c r="C6089" s="78">
        <v>1</v>
      </c>
      <c r="D6089" s="78">
        <v>1.43</v>
      </c>
      <c r="E6089" s="78">
        <f>TRUNC(C6089*D6089,2)</f>
        <v>1.43</v>
      </c>
    </row>
    <row r="6090" ht="25.5" spans="1:5">
      <c r="A6090" s="76" t="s">
        <v>3902</v>
      </c>
      <c r="B6090" s="77" t="s">
        <v>839</v>
      </c>
      <c r="C6090" s="78">
        <v>1</v>
      </c>
      <c r="D6090" s="78">
        <v>0.86</v>
      </c>
      <c r="E6090" s="78">
        <f>TRUNC(C6090*D6090,2)</f>
        <v>0.86</v>
      </c>
    </row>
    <row r="6091" ht="25.5" spans="1:5">
      <c r="A6091" s="76" t="s">
        <v>3903</v>
      </c>
      <c r="B6091" s="77" t="s">
        <v>839</v>
      </c>
      <c r="C6091" s="78">
        <v>1</v>
      </c>
      <c r="D6091" s="78">
        <v>0.81</v>
      </c>
      <c r="E6091" s="78">
        <f>TRUNC(C6091*D6091,2)</f>
        <v>0.81</v>
      </c>
    </row>
    <row r="6092" spans="1:5">
      <c r="A6092" s="76" t="s">
        <v>122</v>
      </c>
      <c r="B6092" s="77"/>
      <c r="C6092" s="78"/>
      <c r="D6092" s="78"/>
      <c r="E6092" s="78">
        <f>SUM(E6088:E6091)</f>
        <v>4.36</v>
      </c>
    </row>
    <row r="6093" spans="1:5">
      <c r="A6093" s="76"/>
      <c r="B6093" s="77"/>
      <c r="C6093" s="78"/>
      <c r="D6093" s="78"/>
      <c r="E6093" s="78"/>
    </row>
    <row r="6094" spans="1:5">
      <c r="A6094" s="76" t="s">
        <v>2538</v>
      </c>
      <c r="B6094" s="77"/>
      <c r="C6094" s="78"/>
      <c r="D6094" s="78"/>
      <c r="E6094" s="78">
        <f>E6077+E6085+E6092</f>
        <v>31.72</v>
      </c>
    </row>
    <row r="6095" spans="1:5">
      <c r="A6095" s="76" t="s">
        <v>2539</v>
      </c>
      <c r="B6095" s="77"/>
      <c r="C6095" s="78"/>
      <c r="D6095" s="78">
        <v>0</v>
      </c>
      <c r="E6095" s="78">
        <f>TRUNC(D6095*E6094/100,2)</f>
        <v>0</v>
      </c>
    </row>
    <row r="6096" spans="1:5">
      <c r="A6096" s="76" t="s">
        <v>2540</v>
      </c>
      <c r="B6096" s="77"/>
      <c r="C6096" s="78"/>
      <c r="D6096" s="78"/>
      <c r="E6096" s="78">
        <f>E6094+E6095</f>
        <v>31.72</v>
      </c>
    </row>
    <row r="6097" spans="1:5">
      <c r="A6097" s="76"/>
      <c r="B6097" s="77"/>
      <c r="C6097" s="78"/>
      <c r="D6097" s="78"/>
      <c r="E6097" s="78"/>
    </row>
    <row r="6098" spans="1:5">
      <c r="A6098" s="76" t="s">
        <v>3092</v>
      </c>
      <c r="B6098" s="77" t="s">
        <v>3904</v>
      </c>
      <c r="C6098" s="78"/>
      <c r="D6098" s="78"/>
      <c r="E6098" s="78"/>
    </row>
    <row r="6099" ht="25.5" spans="1:5">
      <c r="A6099" s="76" t="s">
        <v>3905</v>
      </c>
      <c r="B6099" s="77"/>
      <c r="C6099" s="78"/>
      <c r="D6099" s="78"/>
      <c r="E6099" s="78"/>
    </row>
    <row r="6100" spans="1:5">
      <c r="A6100" s="76" t="s">
        <v>2764</v>
      </c>
      <c r="B6100" s="77"/>
      <c r="C6100" s="78"/>
      <c r="D6100" s="78"/>
      <c r="E6100" s="78"/>
    </row>
    <row r="6101" spans="1:5">
      <c r="A6101" s="76"/>
      <c r="B6101" s="77"/>
      <c r="C6101" s="78"/>
      <c r="D6101" s="78"/>
      <c r="E6101" s="78"/>
    </row>
    <row r="6102" spans="1:5">
      <c r="A6102" s="76" t="s">
        <v>280</v>
      </c>
      <c r="B6102" s="77" t="s">
        <v>135</v>
      </c>
      <c r="C6102" s="78" t="s">
        <v>136</v>
      </c>
      <c r="D6102" s="78" t="s">
        <v>2534</v>
      </c>
      <c r="E6102" s="78" t="s">
        <v>2535</v>
      </c>
    </row>
    <row r="6103" spans="1:5">
      <c r="A6103" s="76" t="s">
        <v>3900</v>
      </c>
      <c r="B6103" s="77" t="s">
        <v>839</v>
      </c>
      <c r="C6103" s="78">
        <v>0.03732</v>
      </c>
      <c r="D6103" s="78">
        <v>21.83</v>
      </c>
      <c r="E6103" s="78">
        <f>TRUNC(C6103*D6103,2)</f>
        <v>0.81</v>
      </c>
    </row>
    <row r="6104" spans="1:5">
      <c r="A6104" s="76" t="s">
        <v>122</v>
      </c>
      <c r="B6104" s="77"/>
      <c r="C6104" s="78"/>
      <c r="D6104" s="78"/>
      <c r="E6104" s="78">
        <f>SUM(E6103:E6103)</f>
        <v>0.81</v>
      </c>
    </row>
    <row r="6105" spans="1:5">
      <c r="A6105" s="76" t="s">
        <v>117</v>
      </c>
      <c r="B6105" s="77"/>
      <c r="C6105" s="78"/>
      <c r="D6105" s="78"/>
      <c r="E6105" s="78" t="str">
        <f>"0"</f>
        <v>0</v>
      </c>
    </row>
    <row r="6106" spans="1:5">
      <c r="A6106" s="76" t="s">
        <v>2537</v>
      </c>
      <c r="B6106" s="77"/>
      <c r="C6106" s="78"/>
      <c r="D6106" s="78"/>
      <c r="E6106" s="78">
        <f>E6104+E6105</f>
        <v>0.81</v>
      </c>
    </row>
    <row r="6107" spans="1:5">
      <c r="A6107" s="76"/>
      <c r="B6107" s="77"/>
      <c r="C6107" s="78"/>
      <c r="D6107" s="78"/>
      <c r="E6107" s="78"/>
    </row>
    <row r="6108" spans="1:5">
      <c r="A6108" s="76" t="s">
        <v>2538</v>
      </c>
      <c r="B6108" s="77"/>
      <c r="C6108" s="78"/>
      <c r="D6108" s="78"/>
      <c r="E6108" s="78">
        <f>E6106</f>
        <v>0.81</v>
      </c>
    </row>
    <row r="6109" spans="1:5">
      <c r="A6109" s="76" t="s">
        <v>2539</v>
      </c>
      <c r="B6109" s="77"/>
      <c r="C6109" s="78"/>
      <c r="D6109" s="78">
        <v>0</v>
      </c>
      <c r="E6109" s="78">
        <f>TRUNC(D6109*E6108/100,2)</f>
        <v>0</v>
      </c>
    </row>
    <row r="6110" spans="1:5">
      <c r="A6110" s="76" t="s">
        <v>2540</v>
      </c>
      <c r="B6110" s="77"/>
      <c r="C6110" s="78"/>
      <c r="D6110" s="78"/>
      <c r="E6110" s="78">
        <f>E6108+E6109</f>
        <v>0.81</v>
      </c>
    </row>
    <row r="6111" spans="1:5">
      <c r="A6111" s="76"/>
      <c r="B6111" s="77"/>
      <c r="C6111" s="78"/>
      <c r="D6111" s="78"/>
      <c r="E6111" s="78"/>
    </row>
    <row r="6112" spans="1:5">
      <c r="A6112" s="76" t="s">
        <v>3092</v>
      </c>
      <c r="B6112" s="77" t="s">
        <v>3906</v>
      </c>
      <c r="C6112" s="78"/>
      <c r="D6112" s="78"/>
      <c r="E6112" s="78"/>
    </row>
    <row r="6113" ht="38.25" spans="1:5">
      <c r="A6113" s="76" t="s">
        <v>3907</v>
      </c>
      <c r="B6113" s="77"/>
      <c r="C6113" s="78"/>
      <c r="D6113" s="78"/>
      <c r="E6113" s="78"/>
    </row>
    <row r="6114" spans="1:5">
      <c r="A6114" s="76" t="s">
        <v>3085</v>
      </c>
      <c r="B6114" s="77"/>
      <c r="C6114" s="78"/>
      <c r="D6114" s="78"/>
      <c r="E6114" s="78"/>
    </row>
    <row r="6115" spans="1:5">
      <c r="A6115" s="76"/>
      <c r="B6115" s="77"/>
      <c r="C6115" s="78"/>
      <c r="D6115" s="78"/>
      <c r="E6115" s="78"/>
    </row>
    <row r="6116" spans="1:5">
      <c r="A6116" s="76" t="s">
        <v>2543</v>
      </c>
      <c r="B6116" s="77" t="s">
        <v>135</v>
      </c>
      <c r="C6116" s="78" t="s">
        <v>136</v>
      </c>
      <c r="D6116" s="78" t="s">
        <v>2534</v>
      </c>
      <c r="E6116" s="78" t="s">
        <v>2535</v>
      </c>
    </row>
    <row r="6117" ht="38.25" spans="1:5">
      <c r="A6117" s="76" t="s">
        <v>3908</v>
      </c>
      <c r="B6117" s="77" t="s">
        <v>839</v>
      </c>
      <c r="C6117" s="78">
        <v>1</v>
      </c>
      <c r="D6117" s="78">
        <v>1.39</v>
      </c>
      <c r="E6117" s="78">
        <f>TRUNC(C6117*D6117,2)</f>
        <v>1.39</v>
      </c>
    </row>
    <row r="6118" ht="38.25" spans="1:5">
      <c r="A6118" s="76" t="s">
        <v>3909</v>
      </c>
      <c r="B6118" s="77" t="s">
        <v>839</v>
      </c>
      <c r="C6118" s="78">
        <v>1</v>
      </c>
      <c r="D6118" s="78">
        <v>0.42</v>
      </c>
      <c r="E6118" s="78">
        <f>TRUNC(C6118*D6118,2)</f>
        <v>0.42</v>
      </c>
    </row>
    <row r="6119" ht="38.25" spans="1:5">
      <c r="A6119" s="76" t="s">
        <v>3910</v>
      </c>
      <c r="B6119" s="77" t="s">
        <v>839</v>
      </c>
      <c r="C6119" s="78">
        <v>1</v>
      </c>
      <c r="D6119" s="78">
        <v>0.38</v>
      </c>
      <c r="E6119" s="78">
        <f>TRUNC(C6119*D6119,2)</f>
        <v>0.38</v>
      </c>
    </row>
    <row r="6120" ht="38.25" spans="1:5">
      <c r="A6120" s="76" t="s">
        <v>3911</v>
      </c>
      <c r="B6120" s="77" t="s">
        <v>839</v>
      </c>
      <c r="C6120" s="78">
        <v>1</v>
      </c>
      <c r="D6120" s="78">
        <v>0.09</v>
      </c>
      <c r="E6120" s="78">
        <f>TRUNC(C6120*D6120,2)</f>
        <v>0.09</v>
      </c>
    </row>
    <row r="6121" spans="1:5">
      <c r="A6121" s="76" t="s">
        <v>122</v>
      </c>
      <c r="B6121" s="77"/>
      <c r="C6121" s="78"/>
      <c r="D6121" s="78"/>
      <c r="E6121" s="78">
        <f>SUM(E6117:E6120)</f>
        <v>2.28</v>
      </c>
    </row>
    <row r="6122" spans="1:5">
      <c r="A6122" s="76"/>
      <c r="B6122" s="77"/>
      <c r="C6122" s="78"/>
      <c r="D6122" s="78"/>
      <c r="E6122" s="78"/>
    </row>
    <row r="6123" spans="1:5">
      <c r="A6123" s="76" t="s">
        <v>2538</v>
      </c>
      <c r="B6123" s="77"/>
      <c r="C6123" s="78"/>
      <c r="D6123" s="78"/>
      <c r="E6123" s="78">
        <f>E6121</f>
        <v>2.28</v>
      </c>
    </row>
    <row r="6124" spans="1:5">
      <c r="A6124" s="76" t="s">
        <v>2539</v>
      </c>
      <c r="B6124" s="77"/>
      <c r="C6124" s="78"/>
      <c r="D6124" s="78">
        <v>0</v>
      </c>
      <c r="E6124" s="78">
        <f>TRUNC(D6124*E6123/100,2)</f>
        <v>0</v>
      </c>
    </row>
    <row r="6125" spans="1:5">
      <c r="A6125" s="76" t="s">
        <v>2540</v>
      </c>
      <c r="B6125" s="77"/>
      <c r="C6125" s="78"/>
      <c r="D6125" s="78"/>
      <c r="E6125" s="78">
        <f>E6123+E6124</f>
        <v>2.28</v>
      </c>
    </row>
    <row r="6126" spans="1:5">
      <c r="A6126" s="76"/>
      <c r="B6126" s="77"/>
      <c r="C6126" s="78"/>
      <c r="D6126" s="78"/>
      <c r="E6126" s="78"/>
    </row>
    <row r="6127" spans="1:5">
      <c r="A6127" s="76" t="s">
        <v>3092</v>
      </c>
      <c r="B6127" s="77" t="s">
        <v>3912</v>
      </c>
      <c r="C6127" s="78"/>
      <c r="D6127" s="78"/>
      <c r="E6127" s="78"/>
    </row>
    <row r="6128" ht="38.25" spans="1:5">
      <c r="A6128" s="76" t="s">
        <v>3913</v>
      </c>
      <c r="B6128" s="77"/>
      <c r="C6128" s="78"/>
      <c r="D6128" s="78"/>
      <c r="E6128" s="78"/>
    </row>
    <row r="6129" spans="1:5">
      <c r="A6129" s="76" t="s">
        <v>2764</v>
      </c>
      <c r="B6129" s="77"/>
      <c r="C6129" s="78"/>
      <c r="D6129" s="78"/>
      <c r="E6129" s="78"/>
    </row>
    <row r="6130" spans="1:5">
      <c r="A6130" s="76"/>
      <c r="B6130" s="77"/>
      <c r="C6130" s="78"/>
      <c r="D6130" s="78"/>
      <c r="E6130" s="78"/>
    </row>
    <row r="6131" spans="1:5">
      <c r="A6131" s="76" t="s">
        <v>2543</v>
      </c>
      <c r="B6131" s="77" t="s">
        <v>135</v>
      </c>
      <c r="C6131" s="78" t="s">
        <v>136</v>
      </c>
      <c r="D6131" s="78" t="s">
        <v>2534</v>
      </c>
      <c r="E6131" s="78" t="s">
        <v>2535</v>
      </c>
    </row>
    <row r="6132" ht="25.5" spans="1:5">
      <c r="A6132" s="76" t="s">
        <v>3914</v>
      </c>
      <c r="B6132" s="77" t="s">
        <v>1695</v>
      </c>
      <c r="C6132" s="78">
        <v>1.88</v>
      </c>
      <c r="D6132" s="78">
        <v>0.74</v>
      </c>
      <c r="E6132" s="78">
        <f>TRUNC(C6132*D6132,2)</f>
        <v>1.39</v>
      </c>
    </row>
    <row r="6133" spans="1:5">
      <c r="A6133" s="76" t="s">
        <v>122</v>
      </c>
      <c r="B6133" s="77"/>
      <c r="C6133" s="78"/>
      <c r="D6133" s="78"/>
      <c r="E6133" s="78">
        <f>SUM(E6132:E6132)</f>
        <v>1.39</v>
      </c>
    </row>
    <row r="6134" spans="1:5">
      <c r="A6134" s="76"/>
      <c r="B6134" s="77"/>
      <c r="C6134" s="78"/>
      <c r="D6134" s="78"/>
      <c r="E6134" s="78"/>
    </row>
    <row r="6135" spans="1:5">
      <c r="A6135" s="76" t="s">
        <v>2538</v>
      </c>
      <c r="B6135" s="77"/>
      <c r="C6135" s="78"/>
      <c r="D6135" s="78"/>
      <c r="E6135" s="78">
        <f>E6133</f>
        <v>1.39</v>
      </c>
    </row>
    <row r="6136" spans="1:5">
      <c r="A6136" s="76" t="s">
        <v>2539</v>
      </c>
      <c r="B6136" s="77"/>
      <c r="C6136" s="78"/>
      <c r="D6136" s="78">
        <v>0</v>
      </c>
      <c r="E6136" s="78">
        <f>TRUNC(D6136*E6135/100,2)</f>
        <v>0</v>
      </c>
    </row>
    <row r="6137" spans="1:5">
      <c r="A6137" s="76" t="s">
        <v>2540</v>
      </c>
      <c r="B6137" s="77"/>
      <c r="C6137" s="78"/>
      <c r="D6137" s="78"/>
      <c r="E6137" s="78">
        <f>E6135+E6136</f>
        <v>1.39</v>
      </c>
    </row>
    <row r="6138" spans="1:5">
      <c r="A6138" s="76"/>
      <c r="B6138" s="77"/>
      <c r="C6138" s="78"/>
      <c r="D6138" s="78"/>
      <c r="E6138" s="78"/>
    </row>
    <row r="6139" spans="1:5">
      <c r="A6139" s="76" t="s">
        <v>3092</v>
      </c>
      <c r="B6139" s="77" t="s">
        <v>3915</v>
      </c>
      <c r="C6139" s="78"/>
      <c r="D6139" s="78"/>
      <c r="E6139" s="78"/>
    </row>
    <row r="6140" ht="38.25" spans="1:5">
      <c r="A6140" s="76" t="s">
        <v>3916</v>
      </c>
      <c r="B6140" s="77"/>
      <c r="C6140" s="78"/>
      <c r="D6140" s="78"/>
      <c r="E6140" s="78"/>
    </row>
    <row r="6141" spans="1:5">
      <c r="A6141" s="76" t="s">
        <v>2764</v>
      </c>
      <c r="B6141" s="77"/>
      <c r="C6141" s="78"/>
      <c r="D6141" s="78"/>
      <c r="E6141" s="78"/>
    </row>
    <row r="6142" spans="1:5">
      <c r="A6142" s="76"/>
      <c r="B6142" s="77"/>
      <c r="C6142" s="78"/>
      <c r="D6142" s="78"/>
      <c r="E6142" s="78"/>
    </row>
    <row r="6143" spans="1:5">
      <c r="A6143" s="76" t="s">
        <v>2543</v>
      </c>
      <c r="B6143" s="77" t="s">
        <v>135</v>
      </c>
      <c r="C6143" s="78" t="s">
        <v>136</v>
      </c>
      <c r="D6143" s="78" t="s">
        <v>2534</v>
      </c>
      <c r="E6143" s="78" t="s">
        <v>2535</v>
      </c>
    </row>
    <row r="6144" ht="25.5" spans="1:5">
      <c r="A6144" s="76" t="s">
        <v>3917</v>
      </c>
      <c r="B6144" s="77" t="s">
        <v>494</v>
      </c>
      <c r="C6144" s="78">
        <v>7e-5</v>
      </c>
      <c r="D6144" s="78">
        <v>6083.43</v>
      </c>
      <c r="E6144" s="78">
        <f>TRUNC(C6144*D6144,2)</f>
        <v>0.42</v>
      </c>
    </row>
    <row r="6145" spans="1:5">
      <c r="A6145" s="76" t="s">
        <v>122</v>
      </c>
      <c r="B6145" s="77"/>
      <c r="C6145" s="78"/>
      <c r="D6145" s="78"/>
      <c r="E6145" s="78">
        <f>SUM(E6144:E6144)</f>
        <v>0.42</v>
      </c>
    </row>
    <row r="6146" spans="1:5">
      <c r="A6146" s="76"/>
      <c r="B6146" s="77"/>
      <c r="C6146" s="78"/>
      <c r="D6146" s="78"/>
      <c r="E6146" s="78"/>
    </row>
    <row r="6147" spans="1:5">
      <c r="A6147" s="76" t="s">
        <v>2538</v>
      </c>
      <c r="B6147" s="77"/>
      <c r="C6147" s="78"/>
      <c r="D6147" s="78"/>
      <c r="E6147" s="78">
        <f>E6145</f>
        <v>0.42</v>
      </c>
    </row>
    <row r="6148" spans="1:5">
      <c r="A6148" s="76" t="s">
        <v>2539</v>
      </c>
      <c r="B6148" s="77"/>
      <c r="C6148" s="78"/>
      <c r="D6148" s="78">
        <v>0</v>
      </c>
      <c r="E6148" s="78">
        <f>TRUNC(D6148*E6147/100,2)</f>
        <v>0</v>
      </c>
    </row>
    <row r="6149" spans="1:5">
      <c r="A6149" s="76" t="s">
        <v>2540</v>
      </c>
      <c r="B6149" s="77"/>
      <c r="C6149" s="78"/>
      <c r="D6149" s="78"/>
      <c r="E6149" s="78">
        <f>E6147+E6148</f>
        <v>0.42</v>
      </c>
    </row>
    <row r="6150" spans="1:5">
      <c r="A6150" s="76"/>
      <c r="B6150" s="77"/>
      <c r="C6150" s="78"/>
      <c r="D6150" s="78"/>
      <c r="E6150" s="78"/>
    </row>
    <row r="6151" spans="1:5">
      <c r="A6151" s="76" t="s">
        <v>3092</v>
      </c>
      <c r="B6151" s="77" t="s">
        <v>3918</v>
      </c>
      <c r="C6151" s="78"/>
      <c r="D6151" s="78"/>
      <c r="E6151" s="78"/>
    </row>
    <row r="6152" ht="38.25" spans="1:5">
      <c r="A6152" s="76" t="s">
        <v>3919</v>
      </c>
      <c r="B6152" s="77"/>
      <c r="C6152" s="78"/>
      <c r="D6152" s="78"/>
      <c r="E6152" s="78"/>
    </row>
    <row r="6153" spans="1:5">
      <c r="A6153" s="76" t="s">
        <v>2764</v>
      </c>
      <c r="B6153" s="77"/>
      <c r="C6153" s="78"/>
      <c r="D6153" s="78"/>
      <c r="E6153" s="78"/>
    </row>
    <row r="6154" spans="1:5">
      <c r="A6154" s="76"/>
      <c r="B6154" s="77"/>
      <c r="C6154" s="78"/>
      <c r="D6154" s="78"/>
      <c r="E6154" s="78"/>
    </row>
    <row r="6155" spans="1:5">
      <c r="A6155" s="76" t="s">
        <v>2543</v>
      </c>
      <c r="B6155" s="77" t="s">
        <v>135</v>
      </c>
      <c r="C6155" s="78" t="s">
        <v>136</v>
      </c>
      <c r="D6155" s="78" t="s">
        <v>2534</v>
      </c>
      <c r="E6155" s="78" t="s">
        <v>2535</v>
      </c>
    </row>
    <row r="6156" ht="25.5" spans="1:5">
      <c r="A6156" s="76" t="s">
        <v>3917</v>
      </c>
      <c r="B6156" s="77" t="s">
        <v>494</v>
      </c>
      <c r="C6156" s="78">
        <v>6.4e-5</v>
      </c>
      <c r="D6156" s="78">
        <v>6083.43</v>
      </c>
      <c r="E6156" s="78">
        <f>TRUNC(C6156*D6156,2)</f>
        <v>0.38</v>
      </c>
    </row>
    <row r="6157" spans="1:5">
      <c r="A6157" s="76" t="s">
        <v>122</v>
      </c>
      <c r="B6157" s="77"/>
      <c r="C6157" s="78"/>
      <c r="D6157" s="78"/>
      <c r="E6157" s="78">
        <f>SUM(E6156:E6156)</f>
        <v>0.38</v>
      </c>
    </row>
    <row r="6158" spans="1:5">
      <c r="A6158" s="76"/>
      <c r="B6158" s="77"/>
      <c r="C6158" s="78"/>
      <c r="D6158" s="78"/>
      <c r="E6158" s="78"/>
    </row>
    <row r="6159" spans="1:5">
      <c r="A6159" s="76" t="s">
        <v>2538</v>
      </c>
      <c r="B6159" s="77"/>
      <c r="C6159" s="78"/>
      <c r="D6159" s="78"/>
      <c r="E6159" s="78">
        <f>E6157</f>
        <v>0.38</v>
      </c>
    </row>
    <row r="6160" spans="1:5">
      <c r="A6160" s="76" t="s">
        <v>2539</v>
      </c>
      <c r="B6160" s="77"/>
      <c r="C6160" s="78"/>
      <c r="D6160" s="78">
        <v>0</v>
      </c>
      <c r="E6160" s="78">
        <f>TRUNC(D6160*E6159/100,2)</f>
        <v>0</v>
      </c>
    </row>
    <row r="6161" spans="1:5">
      <c r="A6161" s="76" t="s">
        <v>2540</v>
      </c>
      <c r="B6161" s="77"/>
      <c r="C6161" s="78"/>
      <c r="D6161" s="78"/>
      <c r="E6161" s="78">
        <f>E6159+E6160</f>
        <v>0.38</v>
      </c>
    </row>
    <row r="6162" spans="1:5">
      <c r="A6162" s="76"/>
      <c r="B6162" s="77"/>
      <c r="C6162" s="78"/>
      <c r="D6162" s="78"/>
      <c r="E6162" s="78"/>
    </row>
    <row r="6163" spans="1:5">
      <c r="A6163" s="76" t="s">
        <v>3092</v>
      </c>
      <c r="B6163" s="77" t="s">
        <v>3920</v>
      </c>
      <c r="C6163" s="78"/>
      <c r="D6163" s="78"/>
      <c r="E6163" s="78"/>
    </row>
    <row r="6164" ht="38.25" spans="1:5">
      <c r="A6164" s="76" t="s">
        <v>3921</v>
      </c>
      <c r="B6164" s="77"/>
      <c r="C6164" s="78"/>
      <c r="D6164" s="78"/>
      <c r="E6164" s="78"/>
    </row>
    <row r="6165" spans="1:5">
      <c r="A6165" s="76" t="s">
        <v>2764</v>
      </c>
      <c r="B6165" s="77"/>
      <c r="C6165" s="78"/>
      <c r="D6165" s="78"/>
      <c r="E6165" s="78"/>
    </row>
    <row r="6166" spans="1:5">
      <c r="A6166" s="76"/>
      <c r="B6166" s="77"/>
      <c r="C6166" s="78"/>
      <c r="D6166" s="78"/>
      <c r="E6166" s="78"/>
    </row>
    <row r="6167" spans="1:5">
      <c r="A6167" s="76" t="s">
        <v>2543</v>
      </c>
      <c r="B6167" s="77" t="s">
        <v>135</v>
      </c>
      <c r="C6167" s="78" t="s">
        <v>136</v>
      </c>
      <c r="D6167" s="78" t="s">
        <v>2534</v>
      </c>
      <c r="E6167" s="78" t="s">
        <v>2535</v>
      </c>
    </row>
    <row r="6168" ht="25.5" spans="1:5">
      <c r="A6168" s="76" t="s">
        <v>3917</v>
      </c>
      <c r="B6168" s="77" t="s">
        <v>494</v>
      </c>
      <c r="C6168" s="78">
        <v>1.48e-5</v>
      </c>
      <c r="D6168" s="78">
        <v>6083.43</v>
      </c>
      <c r="E6168" s="78">
        <f>TRUNC(C6168*D6168,2)</f>
        <v>0.09</v>
      </c>
    </row>
    <row r="6169" spans="1:5">
      <c r="A6169" s="76" t="s">
        <v>122</v>
      </c>
      <c r="B6169" s="77"/>
      <c r="C6169" s="78"/>
      <c r="D6169" s="78"/>
      <c r="E6169" s="78">
        <f>SUM(E6168:E6168)</f>
        <v>0.09</v>
      </c>
    </row>
    <row r="6170" spans="1:5">
      <c r="A6170" s="76"/>
      <c r="B6170" s="77"/>
      <c r="C6170" s="78"/>
      <c r="D6170" s="78"/>
      <c r="E6170" s="78"/>
    </row>
    <row r="6171" spans="1:5">
      <c r="A6171" s="76" t="s">
        <v>2538</v>
      </c>
      <c r="B6171" s="77"/>
      <c r="C6171" s="78"/>
      <c r="D6171" s="78"/>
      <c r="E6171" s="78">
        <f>E6169</f>
        <v>0.09</v>
      </c>
    </row>
    <row r="6172" spans="1:5">
      <c r="A6172" s="76" t="s">
        <v>2539</v>
      </c>
      <c r="B6172" s="77"/>
      <c r="C6172" s="78"/>
      <c r="D6172" s="78">
        <v>0</v>
      </c>
      <c r="E6172" s="78">
        <f>TRUNC(D6172*E6171/100,2)</f>
        <v>0</v>
      </c>
    </row>
    <row r="6173" spans="1:5">
      <c r="A6173" s="76" t="s">
        <v>2540</v>
      </c>
      <c r="B6173" s="77"/>
      <c r="C6173" s="78"/>
      <c r="D6173" s="78"/>
      <c r="E6173" s="78">
        <f>E6171+E6172</f>
        <v>0.09</v>
      </c>
    </row>
    <row r="6174" spans="1:5">
      <c r="A6174" s="76"/>
      <c r="B6174" s="77"/>
      <c r="C6174" s="78"/>
      <c r="D6174" s="78"/>
      <c r="E6174" s="78"/>
    </row>
    <row r="6175" spans="1:5">
      <c r="A6175" s="76" t="s">
        <v>3092</v>
      </c>
      <c r="B6175" s="77" t="s">
        <v>3922</v>
      </c>
      <c r="C6175" s="78"/>
      <c r="D6175" s="78"/>
      <c r="E6175" s="78"/>
    </row>
    <row r="6176" ht="38.25" spans="1:5">
      <c r="A6176" s="76" t="s">
        <v>3923</v>
      </c>
      <c r="B6176" s="77"/>
      <c r="C6176" s="78"/>
      <c r="D6176" s="78"/>
      <c r="E6176" s="78"/>
    </row>
    <row r="6177" spans="1:5">
      <c r="A6177" s="76" t="s">
        <v>3091</v>
      </c>
      <c r="B6177" s="77"/>
      <c r="C6177" s="78"/>
      <c r="D6177" s="78"/>
      <c r="E6177" s="78"/>
    </row>
    <row r="6178" spans="1:5">
      <c r="A6178" s="76"/>
      <c r="B6178" s="77"/>
      <c r="C6178" s="78"/>
      <c r="D6178" s="78"/>
      <c r="E6178" s="78"/>
    </row>
    <row r="6179" spans="1:5">
      <c r="A6179" s="76" t="s">
        <v>2543</v>
      </c>
      <c r="B6179" s="77" t="s">
        <v>135</v>
      </c>
      <c r="C6179" s="78" t="s">
        <v>136</v>
      </c>
      <c r="D6179" s="78" t="s">
        <v>2534</v>
      </c>
      <c r="E6179" s="78" t="s">
        <v>2535</v>
      </c>
    </row>
    <row r="6180" ht="38.25" spans="1:5">
      <c r="A6180" s="76" t="s">
        <v>3910</v>
      </c>
      <c r="B6180" s="77" t="s">
        <v>839</v>
      </c>
      <c r="C6180" s="78">
        <v>1</v>
      </c>
      <c r="D6180" s="78">
        <v>0.38</v>
      </c>
      <c r="E6180" s="78">
        <f>TRUNC(C6180*D6180,2)</f>
        <v>0.38</v>
      </c>
    </row>
    <row r="6181" ht="38.25" spans="1:5">
      <c r="A6181" s="76" t="s">
        <v>3911</v>
      </c>
      <c r="B6181" s="77" t="s">
        <v>839</v>
      </c>
      <c r="C6181" s="78">
        <v>1</v>
      </c>
      <c r="D6181" s="78">
        <v>0.09</v>
      </c>
      <c r="E6181" s="78">
        <f>TRUNC(C6181*D6181,2)</f>
        <v>0.09</v>
      </c>
    </row>
    <row r="6182" spans="1:5">
      <c r="A6182" s="76" t="s">
        <v>122</v>
      </c>
      <c r="B6182" s="77"/>
      <c r="C6182" s="78"/>
      <c r="D6182" s="78"/>
      <c r="E6182" s="78">
        <f>SUM(E6180:E6181)</f>
        <v>0.47</v>
      </c>
    </row>
    <row r="6183" spans="1:5">
      <c r="A6183" s="76"/>
      <c r="B6183" s="77"/>
      <c r="C6183" s="78"/>
      <c r="D6183" s="78"/>
      <c r="E6183" s="78"/>
    </row>
    <row r="6184" spans="1:5">
      <c r="A6184" s="76" t="s">
        <v>2538</v>
      </c>
      <c r="B6184" s="77"/>
      <c r="C6184" s="78"/>
      <c r="D6184" s="78"/>
      <c r="E6184" s="78">
        <f>E6182</f>
        <v>0.47</v>
      </c>
    </row>
    <row r="6185" spans="1:5">
      <c r="A6185" s="76" t="s">
        <v>2539</v>
      </c>
      <c r="B6185" s="77"/>
      <c r="C6185" s="78"/>
      <c r="D6185" s="78">
        <v>0</v>
      </c>
      <c r="E6185" s="78">
        <f>TRUNC(D6185*E6184/100,2)</f>
        <v>0</v>
      </c>
    </row>
    <row r="6186" spans="1:5">
      <c r="A6186" s="76" t="s">
        <v>2540</v>
      </c>
      <c r="B6186" s="77"/>
      <c r="C6186" s="78"/>
      <c r="D6186" s="78"/>
      <c r="E6186" s="78">
        <f>E6184+E6185</f>
        <v>0.47</v>
      </c>
    </row>
    <row r="6187" spans="1:5">
      <c r="A6187" s="76"/>
      <c r="B6187" s="77"/>
      <c r="C6187" s="78"/>
      <c r="D6187" s="78"/>
      <c r="E6187" s="78"/>
    </row>
    <row r="6188" spans="1:5">
      <c r="A6188" s="76" t="s">
        <v>3092</v>
      </c>
      <c r="B6188" s="77" t="s">
        <v>3924</v>
      </c>
      <c r="C6188" s="78"/>
      <c r="D6188" s="78"/>
      <c r="E6188" s="78"/>
    </row>
    <row r="6189" ht="38.25" spans="1:5">
      <c r="A6189" s="76" t="s">
        <v>3925</v>
      </c>
      <c r="B6189" s="77"/>
      <c r="C6189" s="78"/>
      <c r="D6189" s="78"/>
      <c r="E6189" s="78"/>
    </row>
    <row r="6190" spans="1:5">
      <c r="A6190" s="76" t="s">
        <v>2619</v>
      </c>
      <c r="B6190" s="77"/>
      <c r="C6190" s="78"/>
      <c r="D6190" s="78"/>
      <c r="E6190" s="78"/>
    </row>
    <row r="6191" spans="1:5">
      <c r="A6191" s="76"/>
      <c r="B6191" s="77"/>
      <c r="C6191" s="78"/>
      <c r="D6191" s="78"/>
      <c r="E6191" s="78"/>
    </row>
    <row r="6192" spans="1:5">
      <c r="A6192" s="76" t="s">
        <v>2543</v>
      </c>
      <c r="B6192" s="77" t="s">
        <v>135</v>
      </c>
      <c r="C6192" s="78" t="s">
        <v>136</v>
      </c>
      <c r="D6192" s="78" t="s">
        <v>2534</v>
      </c>
      <c r="E6192" s="78" t="s">
        <v>2535</v>
      </c>
    </row>
    <row r="6193" ht="25.5" spans="1:5">
      <c r="A6193" s="76" t="s">
        <v>2755</v>
      </c>
      <c r="B6193" s="77" t="s">
        <v>476</v>
      </c>
      <c r="C6193" s="78">
        <v>1.16</v>
      </c>
      <c r="D6193" s="78">
        <v>205</v>
      </c>
      <c r="E6193" s="78">
        <f>TRUNC(C6193*D6193,2)</f>
        <v>237.8</v>
      </c>
    </row>
    <row r="6194" spans="1:5">
      <c r="A6194" s="76" t="s">
        <v>3926</v>
      </c>
      <c r="B6194" s="77" t="s">
        <v>463</v>
      </c>
      <c r="C6194" s="78">
        <v>116.4</v>
      </c>
      <c r="D6194" s="78">
        <v>1.5</v>
      </c>
      <c r="E6194" s="78">
        <f>TRUNC(C6194*D6194,2)</f>
        <v>174.6</v>
      </c>
    </row>
    <row r="6195" spans="1:5">
      <c r="A6195" s="76" t="s">
        <v>3001</v>
      </c>
      <c r="B6195" s="77" t="s">
        <v>463</v>
      </c>
      <c r="C6195" s="78">
        <v>261.89</v>
      </c>
      <c r="D6195" s="78">
        <v>0.65</v>
      </c>
      <c r="E6195" s="78">
        <f>TRUNC(C6195*D6195,2)</f>
        <v>170.22</v>
      </c>
    </row>
    <row r="6196" spans="1:5">
      <c r="A6196" s="76" t="s">
        <v>2621</v>
      </c>
      <c r="B6196" s="77" t="s">
        <v>839</v>
      </c>
      <c r="C6196" s="78">
        <v>11.23</v>
      </c>
      <c r="D6196" s="78">
        <v>23.75</v>
      </c>
      <c r="E6196" s="78">
        <f>TRUNC(C6196*D6196,2)</f>
        <v>266.71</v>
      </c>
    </row>
    <row r="6197" spans="1:5">
      <c r="A6197" s="76" t="s">
        <v>122</v>
      </c>
      <c r="B6197" s="77"/>
      <c r="C6197" s="78"/>
      <c r="D6197" s="78"/>
      <c r="E6197" s="78">
        <f>SUM(E6193:E6196)</f>
        <v>849.33</v>
      </c>
    </row>
    <row r="6198" spans="1:5">
      <c r="A6198" s="76"/>
      <c r="B6198" s="77"/>
      <c r="C6198" s="78"/>
      <c r="D6198" s="78"/>
      <c r="E6198" s="78"/>
    </row>
    <row r="6199" spans="1:5">
      <c r="A6199" s="76" t="s">
        <v>2538</v>
      </c>
      <c r="B6199" s="77"/>
      <c r="C6199" s="78"/>
      <c r="D6199" s="78"/>
      <c r="E6199" s="78">
        <f>E6197</f>
        <v>849.33</v>
      </c>
    </row>
    <row r="6200" spans="1:5">
      <c r="A6200" s="76" t="s">
        <v>2539</v>
      </c>
      <c r="B6200" s="77"/>
      <c r="C6200" s="78"/>
      <c r="D6200" s="78">
        <v>0</v>
      </c>
      <c r="E6200" s="78">
        <f>TRUNC(D6200*E6199/100,2)</f>
        <v>0</v>
      </c>
    </row>
    <row r="6201" spans="1:5">
      <c r="A6201" s="76" t="s">
        <v>2540</v>
      </c>
      <c r="B6201" s="77"/>
      <c r="C6201" s="78"/>
      <c r="D6201" s="78"/>
      <c r="E6201" s="78">
        <f>E6199+E6200</f>
        <v>849.33</v>
      </c>
    </row>
    <row r="6202" spans="1:5">
      <c r="A6202" s="76"/>
      <c r="B6202" s="77"/>
      <c r="C6202" s="78"/>
      <c r="D6202" s="78"/>
      <c r="E6202" s="78"/>
    </row>
    <row r="6203" spans="1:5">
      <c r="A6203" s="76" t="s">
        <v>3092</v>
      </c>
      <c r="B6203" s="77" t="s">
        <v>3927</v>
      </c>
      <c r="C6203" s="78"/>
      <c r="D6203" s="78"/>
      <c r="E6203" s="78"/>
    </row>
    <row r="6204" spans="1:5">
      <c r="A6204" s="76" t="s">
        <v>3928</v>
      </c>
      <c r="B6204" s="77"/>
      <c r="C6204" s="78"/>
      <c r="D6204" s="78"/>
      <c r="E6204" s="78"/>
    </row>
    <row r="6205" spans="1:5">
      <c r="A6205" s="76" t="s">
        <v>2776</v>
      </c>
      <c r="B6205" s="77"/>
      <c r="C6205" s="78"/>
      <c r="D6205" s="78"/>
      <c r="E6205" s="78"/>
    </row>
    <row r="6206" spans="1:5">
      <c r="A6206" s="76"/>
      <c r="B6206" s="77"/>
      <c r="C6206" s="78"/>
      <c r="D6206" s="78"/>
      <c r="E6206" s="78"/>
    </row>
    <row r="6207" spans="1:5">
      <c r="A6207" s="76" t="s">
        <v>2543</v>
      </c>
      <c r="B6207" s="77" t="s">
        <v>135</v>
      </c>
      <c r="C6207" s="78" t="s">
        <v>136</v>
      </c>
      <c r="D6207" s="78" t="s">
        <v>2534</v>
      </c>
      <c r="E6207" s="78" t="s">
        <v>2535</v>
      </c>
    </row>
    <row r="6208" spans="1:5">
      <c r="A6208" s="76" t="s">
        <v>3929</v>
      </c>
      <c r="B6208" s="77" t="s">
        <v>463</v>
      </c>
      <c r="C6208" s="78">
        <v>1.11</v>
      </c>
      <c r="D6208" s="78">
        <v>8.71</v>
      </c>
      <c r="E6208" s="78">
        <f>TRUNC(C6208*D6208,2)</f>
        <v>9.66</v>
      </c>
    </row>
    <row r="6209" spans="1:5">
      <c r="A6209" s="76" t="s">
        <v>2779</v>
      </c>
      <c r="B6209" s="77" t="s">
        <v>839</v>
      </c>
      <c r="C6209" s="78">
        <v>0.0014</v>
      </c>
      <c r="D6209" s="78">
        <v>24.57</v>
      </c>
      <c r="E6209" s="78">
        <f>TRUNC(C6209*D6209,2)</f>
        <v>0.03</v>
      </c>
    </row>
    <row r="6210" spans="1:5">
      <c r="A6210" s="76" t="s">
        <v>2780</v>
      </c>
      <c r="B6210" s="77" t="s">
        <v>839</v>
      </c>
      <c r="C6210" s="78">
        <v>0.0088</v>
      </c>
      <c r="D6210" s="78">
        <v>31.13</v>
      </c>
      <c r="E6210" s="78">
        <f>TRUNC(C6210*D6210,2)</f>
        <v>0.27</v>
      </c>
    </row>
    <row r="6211" spans="1:5">
      <c r="A6211" s="76" t="s">
        <v>122</v>
      </c>
      <c r="B6211" s="77"/>
      <c r="C6211" s="78"/>
      <c r="D6211" s="78"/>
      <c r="E6211" s="78">
        <f>SUM(E6208:E6210)</f>
        <v>9.96</v>
      </c>
    </row>
    <row r="6212" spans="1:5">
      <c r="A6212" s="76"/>
      <c r="B6212" s="77"/>
      <c r="C6212" s="78"/>
      <c r="D6212" s="78"/>
      <c r="E6212" s="78"/>
    </row>
    <row r="6213" spans="1:5">
      <c r="A6213" s="76" t="s">
        <v>2538</v>
      </c>
      <c r="B6213" s="77"/>
      <c r="C6213" s="78"/>
      <c r="D6213" s="78"/>
      <c r="E6213" s="78">
        <f>E6211</f>
        <v>9.96</v>
      </c>
    </row>
    <row r="6214" spans="1:5">
      <c r="A6214" s="76" t="s">
        <v>2539</v>
      </c>
      <c r="B6214" s="77"/>
      <c r="C6214" s="78"/>
      <c r="D6214" s="78">
        <v>0</v>
      </c>
      <c r="E6214" s="78">
        <f>TRUNC(D6214*E6213/100,2)</f>
        <v>0</v>
      </c>
    </row>
    <row r="6215" spans="1:5">
      <c r="A6215" s="76" t="s">
        <v>2540</v>
      </c>
      <c r="B6215" s="77"/>
      <c r="C6215" s="78"/>
      <c r="D6215" s="78"/>
      <c r="E6215" s="78">
        <f>E6213+E6214</f>
        <v>9.96</v>
      </c>
    </row>
    <row r="6216" spans="1:5">
      <c r="A6216" s="76"/>
      <c r="B6216" s="77"/>
      <c r="C6216" s="78"/>
      <c r="D6216" s="78"/>
      <c r="E6216" s="78"/>
    </row>
    <row r="6217" spans="1:5">
      <c r="A6217" s="76" t="s">
        <v>3092</v>
      </c>
      <c r="B6217" s="77" t="s">
        <v>3930</v>
      </c>
      <c r="C6217" s="78"/>
      <c r="D6217" s="78"/>
      <c r="E6217" s="78"/>
    </row>
    <row r="6218" spans="1:5">
      <c r="A6218" s="76" t="s">
        <v>3931</v>
      </c>
      <c r="B6218" s="77"/>
      <c r="C6218" s="78"/>
      <c r="D6218" s="78"/>
      <c r="E6218" s="78"/>
    </row>
    <row r="6219" spans="1:5">
      <c r="A6219" s="76" t="s">
        <v>2776</v>
      </c>
      <c r="B6219" s="77"/>
      <c r="C6219" s="78"/>
      <c r="D6219" s="78"/>
      <c r="E6219" s="78"/>
    </row>
    <row r="6220" spans="1:5">
      <c r="A6220" s="76"/>
      <c r="B6220" s="77"/>
      <c r="C6220" s="78"/>
      <c r="D6220" s="78"/>
      <c r="E6220" s="78"/>
    </row>
    <row r="6221" spans="1:5">
      <c r="A6221" s="76" t="s">
        <v>2543</v>
      </c>
      <c r="B6221" s="77" t="s">
        <v>135</v>
      </c>
      <c r="C6221" s="78" t="s">
        <v>136</v>
      </c>
      <c r="D6221" s="78" t="s">
        <v>2534</v>
      </c>
      <c r="E6221" s="78" t="s">
        <v>2535</v>
      </c>
    </row>
    <row r="6222" spans="1:5">
      <c r="A6222" s="76" t="s">
        <v>3932</v>
      </c>
      <c r="B6222" s="77" t="s">
        <v>463</v>
      </c>
      <c r="C6222" s="78">
        <v>1.11</v>
      </c>
      <c r="D6222" s="78">
        <v>7.55</v>
      </c>
      <c r="E6222" s="78">
        <f>TRUNC(C6222*D6222,2)</f>
        <v>8.38</v>
      </c>
    </row>
    <row r="6223" spans="1:5">
      <c r="A6223" s="76" t="s">
        <v>2779</v>
      </c>
      <c r="B6223" s="77" t="s">
        <v>839</v>
      </c>
      <c r="C6223" s="78">
        <v>0.0008</v>
      </c>
      <c r="D6223" s="78">
        <v>24.57</v>
      </c>
      <c r="E6223" s="78">
        <f>TRUNC(C6223*D6223,2)</f>
        <v>0.01</v>
      </c>
    </row>
    <row r="6224" spans="1:5">
      <c r="A6224" s="76" t="s">
        <v>2780</v>
      </c>
      <c r="B6224" s="77" t="s">
        <v>839</v>
      </c>
      <c r="C6224" s="78">
        <v>0.0048</v>
      </c>
      <c r="D6224" s="78">
        <v>31.13</v>
      </c>
      <c r="E6224" s="78">
        <f>TRUNC(C6224*D6224,2)</f>
        <v>0.14</v>
      </c>
    </row>
    <row r="6225" spans="1:5">
      <c r="A6225" s="76" t="s">
        <v>122</v>
      </c>
      <c r="B6225" s="77"/>
      <c r="C6225" s="78"/>
      <c r="D6225" s="78"/>
      <c r="E6225" s="78">
        <f>SUM(E6222:E6224)</f>
        <v>8.53</v>
      </c>
    </row>
    <row r="6226" spans="1:5">
      <c r="A6226" s="76"/>
      <c r="B6226" s="77"/>
      <c r="C6226" s="78"/>
      <c r="D6226" s="78"/>
      <c r="E6226" s="78"/>
    </row>
    <row r="6227" spans="1:5">
      <c r="A6227" s="76" t="s">
        <v>2538</v>
      </c>
      <c r="B6227" s="77"/>
      <c r="C6227" s="78"/>
      <c r="D6227" s="78"/>
      <c r="E6227" s="78">
        <f>E6225</f>
        <v>8.53</v>
      </c>
    </row>
    <row r="6228" spans="1:5">
      <c r="A6228" s="76" t="s">
        <v>2539</v>
      </c>
      <c r="B6228" s="77"/>
      <c r="C6228" s="78"/>
      <c r="D6228" s="78">
        <v>0</v>
      </c>
      <c r="E6228" s="78">
        <f>TRUNC(D6228*E6227/100,2)</f>
        <v>0</v>
      </c>
    </row>
    <row r="6229" spans="1:5">
      <c r="A6229" s="76" t="s">
        <v>2540</v>
      </c>
      <c r="B6229" s="77"/>
      <c r="C6229" s="78"/>
      <c r="D6229" s="78"/>
      <c r="E6229" s="78">
        <f>E6227+E6228</f>
        <v>8.53</v>
      </c>
    </row>
    <row r="6230" spans="1:5">
      <c r="A6230" s="76"/>
      <c r="B6230" s="77"/>
      <c r="C6230" s="78"/>
      <c r="D6230" s="78"/>
      <c r="E6230" s="78"/>
    </row>
    <row r="6231" spans="1:5">
      <c r="A6231" s="76" t="s">
        <v>3092</v>
      </c>
      <c r="B6231" s="77" t="s">
        <v>3933</v>
      </c>
      <c r="C6231" s="78"/>
      <c r="D6231" s="78"/>
      <c r="E6231" s="78"/>
    </row>
    <row r="6232" spans="1:5">
      <c r="A6232" s="76" t="s">
        <v>3934</v>
      </c>
      <c r="B6232" s="77"/>
      <c r="C6232" s="78"/>
      <c r="D6232" s="78"/>
      <c r="E6232" s="78"/>
    </row>
    <row r="6233" spans="1:5">
      <c r="A6233" s="76" t="s">
        <v>2776</v>
      </c>
      <c r="B6233" s="77"/>
      <c r="C6233" s="78"/>
      <c r="D6233" s="78"/>
      <c r="E6233" s="78"/>
    </row>
    <row r="6234" spans="1:5">
      <c r="A6234" s="76"/>
      <c r="B6234" s="77"/>
      <c r="C6234" s="78"/>
      <c r="D6234" s="78"/>
      <c r="E6234" s="78"/>
    </row>
    <row r="6235" spans="1:5">
      <c r="A6235" s="76" t="s">
        <v>2543</v>
      </c>
      <c r="B6235" s="77" t="s">
        <v>135</v>
      </c>
      <c r="C6235" s="78" t="s">
        <v>136</v>
      </c>
      <c r="D6235" s="78" t="s">
        <v>2534</v>
      </c>
      <c r="E6235" s="78" t="s">
        <v>2535</v>
      </c>
    </row>
    <row r="6236" spans="1:5">
      <c r="A6236" s="76" t="s">
        <v>3935</v>
      </c>
      <c r="B6236" s="77" t="s">
        <v>463</v>
      </c>
      <c r="C6236" s="78">
        <v>1.07</v>
      </c>
      <c r="D6236" s="78">
        <v>9.19</v>
      </c>
      <c r="E6236" s="78">
        <f>TRUNC(C6236*D6236,2)</f>
        <v>9.83</v>
      </c>
    </row>
    <row r="6237" spans="1:5">
      <c r="A6237" s="76" t="s">
        <v>2779</v>
      </c>
      <c r="B6237" s="77" t="s">
        <v>839</v>
      </c>
      <c r="C6237" s="78">
        <v>0.0051</v>
      </c>
      <c r="D6237" s="78">
        <v>24.57</v>
      </c>
      <c r="E6237" s="78">
        <f>TRUNC(C6237*D6237,2)</f>
        <v>0.12</v>
      </c>
    </row>
    <row r="6238" spans="1:5">
      <c r="A6238" s="76" t="s">
        <v>2780</v>
      </c>
      <c r="B6238" s="77" t="s">
        <v>839</v>
      </c>
      <c r="C6238" s="78">
        <v>0.031</v>
      </c>
      <c r="D6238" s="78">
        <v>31.13</v>
      </c>
      <c r="E6238" s="78">
        <f>TRUNC(C6238*D6238,2)</f>
        <v>0.96</v>
      </c>
    </row>
    <row r="6239" spans="1:5">
      <c r="A6239" s="76" t="s">
        <v>122</v>
      </c>
      <c r="B6239" s="77"/>
      <c r="C6239" s="78"/>
      <c r="D6239" s="78"/>
      <c r="E6239" s="78">
        <f>SUM(E6236:E6238)</f>
        <v>10.91</v>
      </c>
    </row>
    <row r="6240" spans="1:5">
      <c r="A6240" s="76"/>
      <c r="B6240" s="77"/>
      <c r="C6240" s="78"/>
      <c r="D6240" s="78"/>
      <c r="E6240" s="78"/>
    </row>
    <row r="6241" spans="1:5">
      <c r="A6241" s="76" t="s">
        <v>2538</v>
      </c>
      <c r="B6241" s="77"/>
      <c r="C6241" s="78"/>
      <c r="D6241" s="78"/>
      <c r="E6241" s="78">
        <f>E6239</f>
        <v>10.91</v>
      </c>
    </row>
    <row r="6242" spans="1:5">
      <c r="A6242" s="76" t="s">
        <v>2539</v>
      </c>
      <c r="B6242" s="77"/>
      <c r="C6242" s="78"/>
      <c r="D6242" s="78">
        <v>0</v>
      </c>
      <c r="E6242" s="78">
        <f>TRUNC(D6242*E6241/100,2)</f>
        <v>0</v>
      </c>
    </row>
    <row r="6243" spans="1:5">
      <c r="A6243" s="76" t="s">
        <v>2540</v>
      </c>
      <c r="B6243" s="77"/>
      <c r="C6243" s="78"/>
      <c r="D6243" s="78"/>
      <c r="E6243" s="78">
        <f>E6241+E6242</f>
        <v>10.91</v>
      </c>
    </row>
    <row r="6244" spans="1:5">
      <c r="A6244" s="76"/>
      <c r="B6244" s="77"/>
      <c r="C6244" s="78"/>
      <c r="D6244" s="78"/>
      <c r="E6244" s="78"/>
    </row>
    <row r="6245" spans="1:5">
      <c r="A6245" s="76" t="s">
        <v>3092</v>
      </c>
      <c r="B6245" s="77" t="s">
        <v>3936</v>
      </c>
      <c r="C6245" s="78"/>
      <c r="D6245" s="78"/>
      <c r="E6245" s="78"/>
    </row>
    <row r="6246" ht="25.5" spans="1:5">
      <c r="A6246" s="76" t="s">
        <v>3937</v>
      </c>
      <c r="B6246" s="77"/>
      <c r="C6246" s="78"/>
      <c r="D6246" s="78"/>
      <c r="E6246" s="78"/>
    </row>
    <row r="6247" spans="1:5">
      <c r="A6247" s="76" t="s">
        <v>2619</v>
      </c>
      <c r="B6247" s="77"/>
      <c r="C6247" s="78"/>
      <c r="D6247" s="78"/>
      <c r="E6247" s="78"/>
    </row>
    <row r="6248" spans="1:5">
      <c r="A6248" s="76"/>
      <c r="B6248" s="77"/>
      <c r="C6248" s="78"/>
      <c r="D6248" s="78"/>
      <c r="E6248" s="78"/>
    </row>
    <row r="6249" spans="1:5">
      <c r="A6249" s="76" t="s">
        <v>2543</v>
      </c>
      <c r="B6249" s="77" t="s">
        <v>135</v>
      </c>
      <c r="C6249" s="78" t="s">
        <v>136</v>
      </c>
      <c r="D6249" s="78" t="s">
        <v>2534</v>
      </c>
      <c r="E6249" s="78" t="s">
        <v>2535</v>
      </c>
    </row>
    <row r="6250" ht="25.5" spans="1:5">
      <c r="A6250" s="76" t="s">
        <v>2755</v>
      </c>
      <c r="B6250" s="77" t="s">
        <v>476</v>
      </c>
      <c r="C6250" s="78">
        <v>1.07</v>
      </c>
      <c r="D6250" s="78">
        <v>205</v>
      </c>
      <c r="E6250" s="78">
        <f>TRUNC(C6250*D6250,2)</f>
        <v>219.35</v>
      </c>
    </row>
    <row r="6251" spans="1:5">
      <c r="A6251" s="76" t="s">
        <v>3001</v>
      </c>
      <c r="B6251" s="77" t="s">
        <v>463</v>
      </c>
      <c r="C6251" s="78">
        <v>483.7</v>
      </c>
      <c r="D6251" s="78">
        <v>0.65</v>
      </c>
      <c r="E6251" s="78">
        <f>TRUNC(C6251*D6251,2)</f>
        <v>314.4</v>
      </c>
    </row>
    <row r="6252" ht="25.5" spans="1:5">
      <c r="A6252" s="76" t="s">
        <v>3442</v>
      </c>
      <c r="B6252" s="77" t="s">
        <v>839</v>
      </c>
      <c r="C6252" s="78">
        <v>3.42</v>
      </c>
      <c r="D6252" s="78">
        <v>26</v>
      </c>
      <c r="E6252" s="78">
        <f>TRUNC(C6252*D6252,2)</f>
        <v>88.92</v>
      </c>
    </row>
    <row r="6253" ht="38.25" spans="1:5">
      <c r="A6253" s="76" t="s">
        <v>3938</v>
      </c>
      <c r="B6253" s="77" t="s">
        <v>977</v>
      </c>
      <c r="C6253" s="78">
        <v>0.8</v>
      </c>
      <c r="D6253" s="78">
        <v>1.64</v>
      </c>
      <c r="E6253" s="78">
        <f>TRUNC(C6253*D6253,2)</f>
        <v>1.31</v>
      </c>
    </row>
    <row r="6254" ht="38.25" spans="1:5">
      <c r="A6254" s="76" t="s">
        <v>3939</v>
      </c>
      <c r="B6254" s="77" t="s">
        <v>979</v>
      </c>
      <c r="C6254" s="78">
        <v>2.62</v>
      </c>
      <c r="D6254" s="78">
        <v>0.39</v>
      </c>
      <c r="E6254" s="78">
        <f>TRUNC(C6254*D6254,2)</f>
        <v>1.02</v>
      </c>
    </row>
    <row r="6255" spans="1:5">
      <c r="A6255" s="76" t="s">
        <v>122</v>
      </c>
      <c r="B6255" s="77"/>
      <c r="C6255" s="78"/>
      <c r="D6255" s="78"/>
      <c r="E6255" s="78">
        <f>SUM(E6250:E6254)</f>
        <v>625</v>
      </c>
    </row>
    <row r="6256" spans="1:5">
      <c r="A6256" s="76"/>
      <c r="B6256" s="77"/>
      <c r="C6256" s="78"/>
      <c r="D6256" s="78"/>
      <c r="E6256" s="78"/>
    </row>
    <row r="6257" spans="1:5">
      <c r="A6257" s="76" t="s">
        <v>2538</v>
      </c>
      <c r="B6257" s="77"/>
      <c r="C6257" s="78"/>
      <c r="D6257" s="78"/>
      <c r="E6257" s="78">
        <f>E6255</f>
        <v>625</v>
      </c>
    </row>
    <row r="6258" spans="1:5">
      <c r="A6258" s="76" t="s">
        <v>2539</v>
      </c>
      <c r="B6258" s="77"/>
      <c r="C6258" s="78"/>
      <c r="D6258" s="78">
        <v>0</v>
      </c>
      <c r="E6258" s="78">
        <f>TRUNC(D6258*E6257/100,2)</f>
        <v>0</v>
      </c>
    </row>
    <row r="6259" spans="1:5">
      <c r="A6259" s="76" t="s">
        <v>2540</v>
      </c>
      <c r="B6259" s="77"/>
      <c r="C6259" s="78"/>
      <c r="D6259" s="78"/>
      <c r="E6259" s="78">
        <f>E6257+E6258</f>
        <v>625</v>
      </c>
    </row>
    <row r="6260" spans="1:5">
      <c r="A6260" s="76"/>
      <c r="B6260" s="77"/>
      <c r="C6260" s="78"/>
      <c r="D6260" s="78"/>
      <c r="E6260" s="78"/>
    </row>
    <row r="6261" spans="1:5">
      <c r="A6261" s="76" t="s">
        <v>3092</v>
      </c>
      <c r="B6261" s="77" t="s">
        <v>3940</v>
      </c>
      <c r="C6261" s="78"/>
      <c r="D6261" s="78"/>
      <c r="E6261" s="78"/>
    </row>
    <row r="6262" ht="38.25" spans="1:5">
      <c r="A6262" s="76" t="s">
        <v>3941</v>
      </c>
      <c r="B6262" s="77"/>
      <c r="C6262" s="78"/>
      <c r="D6262" s="78"/>
      <c r="E6262" s="78"/>
    </row>
    <row r="6263" spans="1:5">
      <c r="A6263" s="76" t="s">
        <v>3085</v>
      </c>
      <c r="B6263" s="77"/>
      <c r="C6263" s="78"/>
      <c r="D6263" s="78"/>
      <c r="E6263" s="78"/>
    </row>
    <row r="6264" spans="1:5">
      <c r="A6264" s="76"/>
      <c r="B6264" s="77"/>
      <c r="C6264" s="78"/>
      <c r="D6264" s="78"/>
      <c r="E6264" s="78"/>
    </row>
    <row r="6265" spans="1:5">
      <c r="A6265" s="76" t="s">
        <v>2543</v>
      </c>
      <c r="B6265" s="77" t="s">
        <v>135</v>
      </c>
      <c r="C6265" s="78" t="s">
        <v>136</v>
      </c>
      <c r="D6265" s="78" t="s">
        <v>2534</v>
      </c>
      <c r="E6265" s="78" t="s">
        <v>2535</v>
      </c>
    </row>
    <row r="6266" ht="38.25" spans="1:5">
      <c r="A6266" s="76" t="s">
        <v>3942</v>
      </c>
      <c r="B6266" s="77" t="s">
        <v>839</v>
      </c>
      <c r="C6266" s="78">
        <v>1</v>
      </c>
      <c r="D6266" s="78">
        <v>0.32</v>
      </c>
      <c r="E6266" s="78">
        <f>TRUNC(C6266*D6266,2)</f>
        <v>0.32</v>
      </c>
    </row>
    <row r="6267" ht="38.25" spans="1:5">
      <c r="A6267" s="76" t="s">
        <v>3943</v>
      </c>
      <c r="B6267" s="77" t="s">
        <v>839</v>
      </c>
      <c r="C6267" s="78">
        <v>1</v>
      </c>
      <c r="D6267" s="78">
        <v>0.07</v>
      </c>
      <c r="E6267" s="78">
        <f>TRUNC(C6267*D6267,2)</f>
        <v>0.07</v>
      </c>
    </row>
    <row r="6268" ht="38.25" spans="1:5">
      <c r="A6268" s="76" t="s">
        <v>3944</v>
      </c>
      <c r="B6268" s="77" t="s">
        <v>839</v>
      </c>
      <c r="C6268" s="78">
        <v>1</v>
      </c>
      <c r="D6268" s="78">
        <v>0.35</v>
      </c>
      <c r="E6268" s="78">
        <f>TRUNC(C6268*D6268,2)</f>
        <v>0.35</v>
      </c>
    </row>
    <row r="6269" ht="38.25" spans="1:5">
      <c r="A6269" s="76" t="s">
        <v>3945</v>
      </c>
      <c r="B6269" s="77" t="s">
        <v>839</v>
      </c>
      <c r="C6269" s="78">
        <v>1</v>
      </c>
      <c r="D6269" s="78">
        <v>0.9</v>
      </c>
      <c r="E6269" s="78">
        <f>TRUNC(C6269*D6269,2)</f>
        <v>0.9</v>
      </c>
    </row>
    <row r="6270" spans="1:5">
      <c r="A6270" s="76" t="s">
        <v>122</v>
      </c>
      <c r="B6270" s="77"/>
      <c r="C6270" s="78"/>
      <c r="D6270" s="78"/>
      <c r="E6270" s="78">
        <f>SUM(E6266:E6269)</f>
        <v>1.64</v>
      </c>
    </row>
    <row r="6271" spans="1:5">
      <c r="A6271" s="76"/>
      <c r="B6271" s="77"/>
      <c r="C6271" s="78"/>
      <c r="D6271" s="78"/>
      <c r="E6271" s="78"/>
    </row>
    <row r="6272" spans="1:5">
      <c r="A6272" s="76" t="s">
        <v>2538</v>
      </c>
      <c r="B6272" s="77"/>
      <c r="C6272" s="78"/>
      <c r="D6272" s="78"/>
      <c r="E6272" s="78">
        <f>E6270</f>
        <v>1.64</v>
      </c>
    </row>
    <row r="6273" spans="1:5">
      <c r="A6273" s="76" t="s">
        <v>2539</v>
      </c>
      <c r="B6273" s="77"/>
      <c r="C6273" s="78"/>
      <c r="D6273" s="78">
        <v>0</v>
      </c>
      <c r="E6273" s="78">
        <f>TRUNC(D6273*E6272/100,2)</f>
        <v>0</v>
      </c>
    </row>
    <row r="6274" spans="1:5">
      <c r="A6274" s="76" t="s">
        <v>2540</v>
      </c>
      <c r="B6274" s="77"/>
      <c r="C6274" s="78"/>
      <c r="D6274" s="78"/>
      <c r="E6274" s="78">
        <f>E6272+E6273</f>
        <v>1.64</v>
      </c>
    </row>
    <row r="6275" spans="1:5">
      <c r="A6275" s="76"/>
      <c r="B6275" s="77"/>
      <c r="C6275" s="78"/>
      <c r="D6275" s="78"/>
      <c r="E6275" s="78"/>
    </row>
    <row r="6276" spans="1:5">
      <c r="A6276" s="76" t="s">
        <v>3092</v>
      </c>
      <c r="B6276" s="77" t="s">
        <v>3946</v>
      </c>
      <c r="C6276" s="78"/>
      <c r="D6276" s="78"/>
      <c r="E6276" s="78"/>
    </row>
    <row r="6277" ht="38.25" spans="1:5">
      <c r="A6277" s="76" t="s">
        <v>3947</v>
      </c>
      <c r="B6277" s="77"/>
      <c r="C6277" s="78"/>
      <c r="D6277" s="78"/>
      <c r="E6277" s="78"/>
    </row>
    <row r="6278" spans="1:5">
      <c r="A6278" s="76" t="s">
        <v>2764</v>
      </c>
      <c r="B6278" s="77"/>
      <c r="C6278" s="78"/>
      <c r="D6278" s="78"/>
      <c r="E6278" s="78"/>
    </row>
    <row r="6279" spans="1:5">
      <c r="A6279" s="76"/>
      <c r="B6279" s="77"/>
      <c r="C6279" s="78"/>
      <c r="D6279" s="78"/>
      <c r="E6279" s="78"/>
    </row>
    <row r="6280" spans="1:5">
      <c r="A6280" s="76" t="s">
        <v>279</v>
      </c>
      <c r="B6280" s="77" t="s">
        <v>135</v>
      </c>
      <c r="C6280" s="78" t="s">
        <v>136</v>
      </c>
      <c r="D6280" s="78" t="s">
        <v>2534</v>
      </c>
      <c r="E6280" s="78" t="s">
        <v>2535</v>
      </c>
    </row>
    <row r="6281" ht="25.5" spans="1:5">
      <c r="A6281" s="76" t="s">
        <v>3948</v>
      </c>
      <c r="B6281" s="77" t="s">
        <v>494</v>
      </c>
      <c r="C6281" s="78">
        <v>6.4e-5</v>
      </c>
      <c r="D6281" s="78">
        <v>5000</v>
      </c>
      <c r="E6281" s="78">
        <f>TRUNC(C6281*D6281,2)</f>
        <v>0.32</v>
      </c>
    </row>
    <row r="6282" spans="1:5">
      <c r="A6282" s="76" t="s">
        <v>122</v>
      </c>
      <c r="B6282" s="77"/>
      <c r="C6282" s="78"/>
      <c r="D6282" s="78"/>
      <c r="E6282" s="78">
        <f>SUM(E6281:E6281)</f>
        <v>0.32</v>
      </c>
    </row>
    <row r="6283" spans="1:5">
      <c r="A6283" s="76"/>
      <c r="B6283" s="77"/>
      <c r="C6283" s="78"/>
      <c r="D6283" s="78"/>
      <c r="E6283" s="78"/>
    </row>
    <row r="6284" spans="1:5">
      <c r="A6284" s="76" t="s">
        <v>2538</v>
      </c>
      <c r="B6284" s="77"/>
      <c r="C6284" s="78"/>
      <c r="D6284" s="78"/>
      <c r="E6284" s="78">
        <f>E6282</f>
        <v>0.32</v>
      </c>
    </row>
    <row r="6285" spans="1:5">
      <c r="A6285" s="76" t="s">
        <v>2539</v>
      </c>
      <c r="B6285" s="77"/>
      <c r="C6285" s="78"/>
      <c r="D6285" s="78">
        <v>0</v>
      </c>
      <c r="E6285" s="78">
        <f>TRUNC(D6285*E6284/100,2)</f>
        <v>0</v>
      </c>
    </row>
    <row r="6286" spans="1:5">
      <c r="A6286" s="76" t="s">
        <v>2540</v>
      </c>
      <c r="B6286" s="77"/>
      <c r="C6286" s="78"/>
      <c r="D6286" s="78"/>
      <c r="E6286" s="78">
        <f>E6284+E6285</f>
        <v>0.32</v>
      </c>
    </row>
    <row r="6287" spans="1:5">
      <c r="A6287" s="76"/>
      <c r="B6287" s="77"/>
      <c r="C6287" s="78"/>
      <c r="D6287" s="78"/>
      <c r="E6287" s="78"/>
    </row>
    <row r="6288" spans="1:5">
      <c r="A6288" s="76" t="s">
        <v>3092</v>
      </c>
      <c r="B6288" s="77" t="s">
        <v>3949</v>
      </c>
      <c r="C6288" s="78"/>
      <c r="D6288" s="78"/>
      <c r="E6288" s="78"/>
    </row>
    <row r="6289" ht="25.5" spans="1:5">
      <c r="A6289" s="76" t="s">
        <v>3950</v>
      </c>
      <c r="B6289" s="77"/>
      <c r="C6289" s="78"/>
      <c r="D6289" s="78"/>
      <c r="E6289" s="78"/>
    </row>
    <row r="6290" spans="1:5">
      <c r="A6290" s="76" t="s">
        <v>2764</v>
      </c>
      <c r="B6290" s="77"/>
      <c r="C6290" s="78"/>
      <c r="D6290" s="78"/>
      <c r="E6290" s="78"/>
    </row>
    <row r="6291" spans="1:5">
      <c r="A6291" s="76"/>
      <c r="B6291" s="77"/>
      <c r="C6291" s="78"/>
      <c r="D6291" s="78"/>
      <c r="E6291" s="78"/>
    </row>
    <row r="6292" spans="1:5">
      <c r="A6292" s="76" t="s">
        <v>279</v>
      </c>
      <c r="B6292" s="77" t="s">
        <v>135</v>
      </c>
      <c r="C6292" s="78" t="s">
        <v>136</v>
      </c>
      <c r="D6292" s="78" t="s">
        <v>2534</v>
      </c>
      <c r="E6292" s="78" t="s">
        <v>2535</v>
      </c>
    </row>
    <row r="6293" ht="25.5" spans="1:5">
      <c r="A6293" s="76" t="s">
        <v>3948</v>
      </c>
      <c r="B6293" s="77" t="s">
        <v>494</v>
      </c>
      <c r="C6293" s="78">
        <v>1.48e-5</v>
      </c>
      <c r="D6293" s="78">
        <v>5000</v>
      </c>
      <c r="E6293" s="78">
        <f>TRUNC(C6293*D6293,2)</f>
        <v>0.07</v>
      </c>
    </row>
    <row r="6294" spans="1:5">
      <c r="A6294" s="76" t="s">
        <v>122</v>
      </c>
      <c r="B6294" s="77"/>
      <c r="C6294" s="78"/>
      <c r="D6294" s="78"/>
      <c r="E6294" s="78">
        <f>SUM(E6293:E6293)</f>
        <v>0.07</v>
      </c>
    </row>
    <row r="6295" spans="1:5">
      <c r="A6295" s="76"/>
      <c r="B6295" s="77"/>
      <c r="C6295" s="78"/>
      <c r="D6295" s="78"/>
      <c r="E6295" s="78"/>
    </row>
    <row r="6296" spans="1:5">
      <c r="A6296" s="76" t="s">
        <v>2538</v>
      </c>
      <c r="B6296" s="77"/>
      <c r="C6296" s="78"/>
      <c r="D6296" s="78"/>
      <c r="E6296" s="78">
        <f>E6294</f>
        <v>0.07</v>
      </c>
    </row>
    <row r="6297" spans="1:5">
      <c r="A6297" s="76" t="s">
        <v>2539</v>
      </c>
      <c r="B6297" s="77"/>
      <c r="C6297" s="78"/>
      <c r="D6297" s="78">
        <v>0</v>
      </c>
      <c r="E6297" s="78">
        <f>TRUNC(D6297*E6296/100,2)</f>
        <v>0</v>
      </c>
    </row>
    <row r="6298" spans="1:5">
      <c r="A6298" s="76" t="s">
        <v>2540</v>
      </c>
      <c r="B6298" s="77"/>
      <c r="C6298" s="78"/>
      <c r="D6298" s="78"/>
      <c r="E6298" s="78">
        <f>E6296+E6297</f>
        <v>0.07</v>
      </c>
    </row>
    <row r="6299" spans="1:5">
      <c r="A6299" s="76"/>
      <c r="B6299" s="77"/>
      <c r="C6299" s="78"/>
      <c r="D6299" s="78"/>
      <c r="E6299" s="78"/>
    </row>
    <row r="6300" spans="1:5">
      <c r="A6300" s="76" t="s">
        <v>3092</v>
      </c>
      <c r="B6300" s="77" t="s">
        <v>3951</v>
      </c>
      <c r="C6300" s="78"/>
      <c r="D6300" s="78"/>
      <c r="E6300" s="78"/>
    </row>
    <row r="6301" ht="38.25" spans="1:5">
      <c r="A6301" s="76" t="s">
        <v>3952</v>
      </c>
      <c r="B6301" s="77"/>
      <c r="C6301" s="78"/>
      <c r="D6301" s="78"/>
      <c r="E6301" s="78"/>
    </row>
    <row r="6302" spans="1:5">
      <c r="A6302" s="76" t="s">
        <v>2764</v>
      </c>
      <c r="B6302" s="77"/>
      <c r="C6302" s="78"/>
      <c r="D6302" s="78"/>
      <c r="E6302" s="78"/>
    </row>
    <row r="6303" spans="1:5">
      <c r="A6303" s="76"/>
      <c r="B6303" s="77"/>
      <c r="C6303" s="78"/>
      <c r="D6303" s="78"/>
      <c r="E6303" s="78"/>
    </row>
    <row r="6304" spans="1:5">
      <c r="A6304" s="76" t="s">
        <v>279</v>
      </c>
      <c r="B6304" s="77" t="s">
        <v>135</v>
      </c>
      <c r="C6304" s="78" t="s">
        <v>136</v>
      </c>
      <c r="D6304" s="78" t="s">
        <v>2534</v>
      </c>
      <c r="E6304" s="78" t="s">
        <v>2535</v>
      </c>
    </row>
    <row r="6305" ht="25.5" spans="1:5">
      <c r="A6305" s="76" t="s">
        <v>3948</v>
      </c>
      <c r="B6305" s="77" t="s">
        <v>494</v>
      </c>
      <c r="C6305" s="78">
        <v>7e-5</v>
      </c>
      <c r="D6305" s="78">
        <v>5000</v>
      </c>
      <c r="E6305" s="78">
        <f>TRUNC(C6305*D6305,2)</f>
        <v>0.35</v>
      </c>
    </row>
    <row r="6306" spans="1:5">
      <c r="A6306" s="76" t="s">
        <v>122</v>
      </c>
      <c r="B6306" s="77"/>
      <c r="C6306" s="78"/>
      <c r="D6306" s="78"/>
      <c r="E6306" s="78">
        <f>SUM(E6305:E6305)</f>
        <v>0.35</v>
      </c>
    </row>
    <row r="6307" spans="1:5">
      <c r="A6307" s="76"/>
      <c r="B6307" s="77"/>
      <c r="C6307" s="78"/>
      <c r="D6307" s="78"/>
      <c r="E6307" s="78"/>
    </row>
    <row r="6308" spans="1:5">
      <c r="A6308" s="76" t="s">
        <v>2538</v>
      </c>
      <c r="B6308" s="77"/>
      <c r="C6308" s="78"/>
      <c r="D6308" s="78"/>
      <c r="E6308" s="78">
        <f>E6306</f>
        <v>0.35</v>
      </c>
    </row>
    <row r="6309" spans="1:5">
      <c r="A6309" s="76" t="s">
        <v>2539</v>
      </c>
      <c r="B6309" s="77"/>
      <c r="C6309" s="78"/>
      <c r="D6309" s="78">
        <v>0</v>
      </c>
      <c r="E6309" s="78">
        <f>TRUNC(D6309*E6308/100,2)</f>
        <v>0</v>
      </c>
    </row>
    <row r="6310" spans="1:5">
      <c r="A6310" s="76" t="s">
        <v>2540</v>
      </c>
      <c r="B6310" s="77"/>
      <c r="C6310" s="78"/>
      <c r="D6310" s="78"/>
      <c r="E6310" s="78">
        <f>E6308+E6309</f>
        <v>0.35</v>
      </c>
    </row>
    <row r="6311" spans="1:5">
      <c r="A6311" s="76"/>
      <c r="B6311" s="77"/>
      <c r="C6311" s="78"/>
      <c r="D6311" s="78"/>
      <c r="E6311" s="78"/>
    </row>
    <row r="6312" spans="1:5">
      <c r="A6312" s="76" t="s">
        <v>3092</v>
      </c>
      <c r="B6312" s="77" t="s">
        <v>3953</v>
      </c>
      <c r="C6312" s="78"/>
      <c r="D6312" s="78"/>
      <c r="E6312" s="78"/>
    </row>
    <row r="6313" ht="38.25" spans="1:5">
      <c r="A6313" s="76" t="s">
        <v>3954</v>
      </c>
      <c r="B6313" s="77"/>
      <c r="C6313" s="78"/>
      <c r="D6313" s="78"/>
      <c r="E6313" s="78"/>
    </row>
    <row r="6314" spans="1:5">
      <c r="A6314" s="76" t="s">
        <v>2764</v>
      </c>
      <c r="B6314" s="77"/>
      <c r="C6314" s="78"/>
      <c r="D6314" s="78"/>
      <c r="E6314" s="78"/>
    </row>
    <row r="6315" spans="1:5">
      <c r="A6315" s="76"/>
      <c r="B6315" s="77"/>
      <c r="C6315" s="78"/>
      <c r="D6315" s="78"/>
      <c r="E6315" s="78"/>
    </row>
    <row r="6316" spans="1:5">
      <c r="A6316" s="76" t="s">
        <v>2543</v>
      </c>
      <c r="B6316" s="77" t="s">
        <v>135</v>
      </c>
      <c r="C6316" s="78" t="s">
        <v>136</v>
      </c>
      <c r="D6316" s="78" t="s">
        <v>2534</v>
      </c>
      <c r="E6316" s="78" t="s">
        <v>2535</v>
      </c>
    </row>
    <row r="6317" spans="1:5">
      <c r="A6317" s="76" t="s">
        <v>3242</v>
      </c>
      <c r="B6317" s="77" t="s">
        <v>1695</v>
      </c>
      <c r="C6317" s="78">
        <v>1.25</v>
      </c>
      <c r="D6317" s="78">
        <v>0.72</v>
      </c>
      <c r="E6317" s="78">
        <f>TRUNC(C6317*D6317,2)</f>
        <v>0.9</v>
      </c>
    </row>
    <row r="6318" spans="1:5">
      <c r="A6318" s="76" t="s">
        <v>122</v>
      </c>
      <c r="B6318" s="77"/>
      <c r="C6318" s="78"/>
      <c r="D6318" s="78"/>
      <c r="E6318" s="78">
        <f>SUM(E6317:E6317)</f>
        <v>0.9</v>
      </c>
    </row>
    <row r="6319" spans="1:5">
      <c r="A6319" s="76"/>
      <c r="B6319" s="77"/>
      <c r="C6319" s="78"/>
      <c r="D6319" s="78"/>
      <c r="E6319" s="78"/>
    </row>
    <row r="6320" spans="1:5">
      <c r="A6320" s="76" t="s">
        <v>2538</v>
      </c>
      <c r="B6320" s="77"/>
      <c r="C6320" s="78"/>
      <c r="D6320" s="78"/>
      <c r="E6320" s="78">
        <f>E6318</f>
        <v>0.9</v>
      </c>
    </row>
    <row r="6321" spans="1:5">
      <c r="A6321" s="76" t="s">
        <v>2539</v>
      </c>
      <c r="B6321" s="77"/>
      <c r="C6321" s="78"/>
      <c r="D6321" s="78">
        <v>0</v>
      </c>
      <c r="E6321" s="78">
        <f>TRUNC(D6321*E6320/100,2)</f>
        <v>0</v>
      </c>
    </row>
    <row r="6322" spans="1:5">
      <c r="A6322" s="76" t="s">
        <v>2540</v>
      </c>
      <c r="B6322" s="77"/>
      <c r="C6322" s="78"/>
      <c r="D6322" s="78"/>
      <c r="E6322" s="78">
        <f>E6320+E6321</f>
        <v>0.9</v>
      </c>
    </row>
    <row r="6323" spans="1:5">
      <c r="A6323" s="76"/>
      <c r="B6323" s="77"/>
      <c r="C6323" s="78"/>
      <c r="D6323" s="78"/>
      <c r="E6323" s="78"/>
    </row>
    <row r="6324" spans="1:5">
      <c r="A6324" s="76" t="s">
        <v>3092</v>
      </c>
      <c r="B6324" s="77" t="s">
        <v>3955</v>
      </c>
      <c r="C6324" s="78"/>
      <c r="D6324" s="78"/>
      <c r="E6324" s="78"/>
    </row>
    <row r="6325" ht="38.25" spans="1:5">
      <c r="A6325" s="76" t="s">
        <v>3956</v>
      </c>
      <c r="B6325" s="77"/>
      <c r="C6325" s="78"/>
      <c r="D6325" s="78"/>
      <c r="E6325" s="78"/>
    </row>
    <row r="6326" spans="1:5">
      <c r="A6326" s="76" t="s">
        <v>3091</v>
      </c>
      <c r="B6326" s="77"/>
      <c r="C6326" s="78"/>
      <c r="D6326" s="78"/>
      <c r="E6326" s="78"/>
    </row>
    <row r="6327" spans="1:5">
      <c r="A6327" s="76"/>
      <c r="B6327" s="77"/>
      <c r="C6327" s="78"/>
      <c r="D6327" s="78"/>
      <c r="E6327" s="78"/>
    </row>
    <row r="6328" spans="1:5">
      <c r="A6328" s="76" t="s">
        <v>2543</v>
      </c>
      <c r="B6328" s="77" t="s">
        <v>135</v>
      </c>
      <c r="C6328" s="78" t="s">
        <v>136</v>
      </c>
      <c r="D6328" s="78" t="s">
        <v>2534</v>
      </c>
      <c r="E6328" s="78" t="s">
        <v>2535</v>
      </c>
    </row>
    <row r="6329" ht="38.25" spans="1:5">
      <c r="A6329" s="76" t="s">
        <v>3942</v>
      </c>
      <c r="B6329" s="77" t="s">
        <v>839</v>
      </c>
      <c r="C6329" s="78">
        <v>1</v>
      </c>
      <c r="D6329" s="78">
        <v>0.32</v>
      </c>
      <c r="E6329" s="78">
        <f>TRUNC(C6329*D6329,2)</f>
        <v>0.32</v>
      </c>
    </row>
    <row r="6330" ht="38.25" spans="1:5">
      <c r="A6330" s="76" t="s">
        <v>3943</v>
      </c>
      <c r="B6330" s="77" t="s">
        <v>839</v>
      </c>
      <c r="C6330" s="78">
        <v>1</v>
      </c>
      <c r="D6330" s="78">
        <v>0.07</v>
      </c>
      <c r="E6330" s="78">
        <f>TRUNC(C6330*D6330,2)</f>
        <v>0.07</v>
      </c>
    </row>
    <row r="6331" spans="1:5">
      <c r="A6331" s="76" t="s">
        <v>122</v>
      </c>
      <c r="B6331" s="77"/>
      <c r="C6331" s="78"/>
      <c r="D6331" s="78"/>
      <c r="E6331" s="78">
        <f>SUM(E6329:E6330)</f>
        <v>0.39</v>
      </c>
    </row>
    <row r="6332" spans="1:5">
      <c r="A6332" s="76"/>
      <c r="B6332" s="77"/>
      <c r="C6332" s="78"/>
      <c r="D6332" s="78"/>
      <c r="E6332" s="78"/>
    </row>
    <row r="6333" spans="1:5">
      <c r="A6333" s="76" t="s">
        <v>2538</v>
      </c>
      <c r="B6333" s="77"/>
      <c r="C6333" s="78"/>
      <c r="D6333" s="78"/>
      <c r="E6333" s="78">
        <f>E6331</f>
        <v>0.39</v>
      </c>
    </row>
    <row r="6334" spans="1:5">
      <c r="A6334" s="76" t="s">
        <v>2539</v>
      </c>
      <c r="B6334" s="77"/>
      <c r="C6334" s="78"/>
      <c r="D6334" s="78">
        <v>0</v>
      </c>
      <c r="E6334" s="78">
        <f>TRUNC(D6334*E6333/100,2)</f>
        <v>0</v>
      </c>
    </row>
    <row r="6335" spans="1:5">
      <c r="A6335" s="76" t="s">
        <v>2540</v>
      </c>
      <c r="B6335" s="77"/>
      <c r="C6335" s="78"/>
      <c r="D6335" s="78"/>
      <c r="E6335" s="78">
        <f>E6333+E6334</f>
        <v>0.39</v>
      </c>
    </row>
    <row r="6336" spans="1:5">
      <c r="A6336" s="76"/>
      <c r="B6336" s="77"/>
      <c r="C6336" s="78"/>
      <c r="D6336" s="78"/>
      <c r="E6336" s="78"/>
    </row>
    <row r="6337" spans="1:5">
      <c r="A6337" s="76" t="s">
        <v>3092</v>
      </c>
      <c r="B6337" s="77">
        <v>8004008040003</v>
      </c>
      <c r="C6337" s="78"/>
      <c r="D6337" s="78"/>
      <c r="E6337" s="78"/>
    </row>
    <row r="6338" ht="25.5" spans="1:5">
      <c r="A6338" s="76" t="s">
        <v>3957</v>
      </c>
      <c r="B6338" s="77"/>
      <c r="C6338" s="78"/>
      <c r="D6338" s="78"/>
      <c r="E6338" s="78"/>
    </row>
    <row r="6339" spans="1:5">
      <c r="A6339" s="76" t="s">
        <v>2619</v>
      </c>
      <c r="B6339" s="77"/>
      <c r="C6339" s="78"/>
      <c r="D6339" s="78"/>
      <c r="E6339" s="78"/>
    </row>
    <row r="6340" spans="1:5">
      <c r="A6340" s="76"/>
      <c r="B6340" s="77"/>
      <c r="C6340" s="78"/>
      <c r="D6340" s="78"/>
      <c r="E6340" s="78"/>
    </row>
    <row r="6341" spans="1:5">
      <c r="A6341" s="76" t="s">
        <v>2543</v>
      </c>
      <c r="B6341" s="77" t="s">
        <v>135</v>
      </c>
      <c r="C6341" s="78" t="s">
        <v>136</v>
      </c>
      <c r="D6341" s="78" t="s">
        <v>2534</v>
      </c>
      <c r="E6341" s="78" t="s">
        <v>2535</v>
      </c>
    </row>
    <row r="6342" ht="25.5" spans="1:5">
      <c r="A6342" s="76" t="s">
        <v>2829</v>
      </c>
      <c r="B6342" s="77" t="s">
        <v>476</v>
      </c>
      <c r="C6342" s="78">
        <v>0.923</v>
      </c>
      <c r="D6342" s="78">
        <v>207.68</v>
      </c>
      <c r="E6342" s="78">
        <f t="shared" ref="E6342:E6350" si="53">TRUNC(C6342*D6342,2)</f>
        <v>191.68</v>
      </c>
    </row>
    <row r="6343" spans="1:5">
      <c r="A6343" s="76" t="s">
        <v>3001</v>
      </c>
      <c r="B6343" s="77" t="s">
        <v>463</v>
      </c>
      <c r="C6343" s="78">
        <v>280</v>
      </c>
      <c r="D6343" s="78">
        <v>0.65</v>
      </c>
      <c r="E6343" s="78">
        <f t="shared" si="53"/>
        <v>182</v>
      </c>
    </row>
    <row r="6344" ht="25.5" spans="1:5">
      <c r="A6344" s="76" t="s">
        <v>2822</v>
      </c>
      <c r="B6344" s="77" t="s">
        <v>476</v>
      </c>
      <c r="C6344" s="78">
        <v>0.209</v>
      </c>
      <c r="D6344" s="78">
        <v>197.39</v>
      </c>
      <c r="E6344" s="78">
        <f t="shared" si="53"/>
        <v>41.25</v>
      </c>
    </row>
    <row r="6345" ht="25.5" spans="1:5">
      <c r="A6345" s="76" t="s">
        <v>2740</v>
      </c>
      <c r="B6345" s="77" t="s">
        <v>476</v>
      </c>
      <c r="C6345" s="78">
        <v>0.627</v>
      </c>
      <c r="D6345" s="78">
        <v>198.43</v>
      </c>
      <c r="E6345" s="78">
        <f t="shared" si="53"/>
        <v>124.41</v>
      </c>
    </row>
    <row r="6346" spans="1:5">
      <c r="A6346" s="76" t="s">
        <v>2621</v>
      </c>
      <c r="B6346" s="77" t="s">
        <v>839</v>
      </c>
      <c r="C6346" s="78">
        <v>9.6</v>
      </c>
      <c r="D6346" s="78">
        <v>23.75</v>
      </c>
      <c r="E6346" s="78">
        <f t="shared" si="53"/>
        <v>228</v>
      </c>
    </row>
    <row r="6347" spans="1:5">
      <c r="A6347" s="76" t="s">
        <v>2630</v>
      </c>
      <c r="B6347" s="77" t="s">
        <v>839</v>
      </c>
      <c r="C6347" s="78">
        <v>2</v>
      </c>
      <c r="D6347" s="78">
        <v>31.34</v>
      </c>
      <c r="E6347" s="78">
        <f t="shared" si="53"/>
        <v>62.68</v>
      </c>
    </row>
    <row r="6348" ht="25.5" spans="1:5">
      <c r="A6348" s="76" t="s">
        <v>3442</v>
      </c>
      <c r="B6348" s="77" t="s">
        <v>839</v>
      </c>
      <c r="C6348" s="78">
        <v>0.35</v>
      </c>
      <c r="D6348" s="78">
        <v>26</v>
      </c>
      <c r="E6348" s="78">
        <f t="shared" si="53"/>
        <v>9.1</v>
      </c>
    </row>
    <row r="6349" ht="38.25" spans="1:5">
      <c r="A6349" s="76" t="s">
        <v>3938</v>
      </c>
      <c r="B6349" s="77" t="s">
        <v>977</v>
      </c>
      <c r="C6349" s="78">
        <v>0.35</v>
      </c>
      <c r="D6349" s="78">
        <v>1.64</v>
      </c>
      <c r="E6349" s="78">
        <f t="shared" si="53"/>
        <v>0.57</v>
      </c>
    </row>
    <row r="6350" ht="25.5" spans="1:5">
      <c r="A6350" s="76" t="s">
        <v>2818</v>
      </c>
      <c r="B6350" s="77" t="s">
        <v>977</v>
      </c>
      <c r="C6350" s="78">
        <v>0.1</v>
      </c>
      <c r="D6350" s="78">
        <v>1.23</v>
      </c>
      <c r="E6350" s="78">
        <f t="shared" si="53"/>
        <v>0.12</v>
      </c>
    </row>
    <row r="6351" spans="1:5">
      <c r="A6351" s="76" t="s">
        <v>122</v>
      </c>
      <c r="B6351" s="77"/>
      <c r="C6351" s="78"/>
      <c r="D6351" s="78"/>
      <c r="E6351" s="78">
        <f>SUM(E6342:E6350)</f>
        <v>839.81</v>
      </c>
    </row>
    <row r="6352" spans="1:5">
      <c r="A6352" s="76"/>
      <c r="B6352" s="77"/>
      <c r="C6352" s="78"/>
      <c r="D6352" s="78"/>
      <c r="E6352" s="78"/>
    </row>
    <row r="6353" spans="1:5">
      <c r="A6353" s="76" t="s">
        <v>2538</v>
      </c>
      <c r="B6353" s="77"/>
      <c r="C6353" s="78"/>
      <c r="D6353" s="78"/>
      <c r="E6353" s="78">
        <f>E6351</f>
        <v>839.81</v>
      </c>
    </row>
    <row r="6354" spans="1:5">
      <c r="A6354" s="76" t="s">
        <v>2539</v>
      </c>
      <c r="B6354" s="77"/>
      <c r="C6354" s="78"/>
      <c r="D6354" s="78">
        <v>0</v>
      </c>
      <c r="E6354" s="78">
        <f>TRUNC(D6354*E6353/100,2)</f>
        <v>0</v>
      </c>
    </row>
    <row r="6355" spans="1:5">
      <c r="A6355" s="76" t="s">
        <v>2540</v>
      </c>
      <c r="B6355" s="77"/>
      <c r="C6355" s="78"/>
      <c r="D6355" s="78"/>
      <c r="E6355" s="78">
        <f>E6353+E6354</f>
        <v>839.81</v>
      </c>
    </row>
    <row r="6356" spans="1:5">
      <c r="A6356" s="76"/>
      <c r="B6356" s="77"/>
      <c r="C6356" s="78"/>
      <c r="D6356" s="78"/>
      <c r="E6356" s="78"/>
    </row>
    <row r="6357" spans="1:5">
      <c r="A6357" s="76" t="s">
        <v>3092</v>
      </c>
      <c r="B6357" s="77" t="s">
        <v>3958</v>
      </c>
      <c r="C6357" s="78"/>
      <c r="D6357" s="78"/>
      <c r="E6357" s="78"/>
    </row>
    <row r="6358" ht="38.25" spans="1:5">
      <c r="A6358" s="76" t="s">
        <v>3959</v>
      </c>
      <c r="B6358" s="77"/>
      <c r="C6358" s="78"/>
      <c r="D6358" s="78"/>
      <c r="E6358" s="78"/>
    </row>
    <row r="6359" spans="1:5">
      <c r="A6359" s="76" t="s">
        <v>2776</v>
      </c>
      <c r="B6359" s="77"/>
      <c r="C6359" s="78"/>
      <c r="D6359" s="78"/>
      <c r="E6359" s="78"/>
    </row>
    <row r="6360" spans="1:5">
      <c r="A6360" s="76"/>
      <c r="B6360" s="77"/>
      <c r="C6360" s="78"/>
      <c r="D6360" s="78"/>
      <c r="E6360" s="78"/>
    </row>
    <row r="6361" spans="1:5">
      <c r="A6361" s="76" t="s">
        <v>2543</v>
      </c>
      <c r="B6361" s="77" t="s">
        <v>135</v>
      </c>
      <c r="C6361" s="78" t="s">
        <v>136</v>
      </c>
      <c r="D6361" s="78" t="s">
        <v>2534</v>
      </c>
      <c r="E6361" s="78" t="s">
        <v>2535</v>
      </c>
    </row>
    <row r="6362" ht="25.5" spans="1:5">
      <c r="A6362" s="76" t="s">
        <v>2777</v>
      </c>
      <c r="B6362" s="77" t="s">
        <v>463</v>
      </c>
      <c r="C6362" s="78">
        <v>0.025</v>
      </c>
      <c r="D6362" s="78">
        <v>19.38</v>
      </c>
      <c r="E6362" s="78">
        <f>TRUNC(C6362*D6362,2)</f>
        <v>0.48</v>
      </c>
    </row>
    <row r="6363" ht="25.5" spans="1:5">
      <c r="A6363" s="76" t="s">
        <v>2778</v>
      </c>
      <c r="B6363" s="77" t="s">
        <v>494</v>
      </c>
      <c r="C6363" s="78">
        <v>1.19</v>
      </c>
      <c r="D6363" s="78">
        <v>0.22</v>
      </c>
      <c r="E6363" s="78">
        <f>TRUNC(C6363*D6363,2)</f>
        <v>0.26</v>
      </c>
    </row>
    <row r="6364" spans="1:5">
      <c r="A6364" s="76" t="s">
        <v>2779</v>
      </c>
      <c r="B6364" s="77" t="s">
        <v>839</v>
      </c>
      <c r="C6364" s="78">
        <v>0.0316</v>
      </c>
      <c r="D6364" s="78">
        <v>24.57</v>
      </c>
      <c r="E6364" s="78">
        <f>TRUNC(C6364*D6364,2)</f>
        <v>0.77</v>
      </c>
    </row>
    <row r="6365" spans="1:5">
      <c r="A6365" s="76" t="s">
        <v>2780</v>
      </c>
      <c r="B6365" s="77" t="s">
        <v>839</v>
      </c>
      <c r="C6365" s="78">
        <v>0.1933</v>
      </c>
      <c r="D6365" s="78">
        <v>31.13</v>
      </c>
      <c r="E6365" s="78">
        <f>TRUNC(C6365*D6365,2)</f>
        <v>6.01</v>
      </c>
    </row>
    <row r="6366" spans="1:5">
      <c r="A6366" s="76" t="s">
        <v>3960</v>
      </c>
      <c r="B6366" s="77" t="s">
        <v>463</v>
      </c>
      <c r="C6366" s="78">
        <v>1</v>
      </c>
      <c r="D6366" s="78">
        <v>10.85</v>
      </c>
      <c r="E6366" s="78">
        <f>TRUNC(C6366*D6366,2)</f>
        <v>10.85</v>
      </c>
    </row>
    <row r="6367" spans="1:5">
      <c r="A6367" s="76" t="s">
        <v>122</v>
      </c>
      <c r="B6367" s="77"/>
      <c r="C6367" s="78"/>
      <c r="D6367" s="78"/>
      <c r="E6367" s="78">
        <f>SUM(E6362:E6366)</f>
        <v>18.37</v>
      </c>
    </row>
    <row r="6368" spans="1:5">
      <c r="A6368" s="76"/>
      <c r="B6368" s="77"/>
      <c r="C6368" s="78"/>
      <c r="D6368" s="78"/>
      <c r="E6368" s="78"/>
    </row>
    <row r="6369" spans="1:5">
      <c r="A6369" s="76" t="s">
        <v>2538</v>
      </c>
      <c r="B6369" s="77"/>
      <c r="C6369" s="78"/>
      <c r="D6369" s="78"/>
      <c r="E6369" s="78">
        <f>E6367</f>
        <v>18.37</v>
      </c>
    </row>
    <row r="6370" spans="1:5">
      <c r="A6370" s="76" t="s">
        <v>2539</v>
      </c>
      <c r="B6370" s="77"/>
      <c r="C6370" s="78"/>
      <c r="D6370" s="78">
        <v>0</v>
      </c>
      <c r="E6370" s="78">
        <f>TRUNC(D6370*E6369/100,2)</f>
        <v>0</v>
      </c>
    </row>
    <row r="6371" spans="1:5">
      <c r="A6371" s="76" t="s">
        <v>2540</v>
      </c>
      <c r="B6371" s="77"/>
      <c r="C6371" s="78"/>
      <c r="D6371" s="78"/>
      <c r="E6371" s="78">
        <f>E6369+E6370</f>
        <v>18.37</v>
      </c>
    </row>
    <row r="6372" spans="1:5">
      <c r="A6372" s="76"/>
      <c r="B6372" s="77"/>
      <c r="C6372" s="78"/>
      <c r="D6372" s="78"/>
      <c r="E6372" s="78"/>
    </row>
    <row r="6373" spans="1:5">
      <c r="A6373" s="76" t="s">
        <v>3092</v>
      </c>
      <c r="B6373" s="77" t="s">
        <v>3961</v>
      </c>
      <c r="C6373" s="78"/>
      <c r="D6373" s="78"/>
      <c r="E6373" s="78"/>
    </row>
    <row r="6374" spans="1:5">
      <c r="A6374" s="76" t="s">
        <v>3962</v>
      </c>
      <c r="B6374" s="77"/>
      <c r="C6374" s="78"/>
      <c r="D6374" s="78"/>
      <c r="E6374" s="78"/>
    </row>
    <row r="6375" spans="1:5">
      <c r="A6375" s="76" t="s">
        <v>2776</v>
      </c>
      <c r="B6375" s="77"/>
      <c r="C6375" s="78"/>
      <c r="D6375" s="78"/>
      <c r="E6375" s="78"/>
    </row>
    <row r="6376" spans="1:5">
      <c r="A6376" s="76"/>
      <c r="B6376" s="77"/>
      <c r="C6376" s="78"/>
      <c r="D6376" s="78"/>
      <c r="E6376" s="78"/>
    </row>
    <row r="6377" spans="1:5">
      <c r="A6377" s="76" t="s">
        <v>2543</v>
      </c>
      <c r="B6377" s="77" t="s">
        <v>135</v>
      </c>
      <c r="C6377" s="78" t="s">
        <v>136</v>
      </c>
      <c r="D6377" s="78" t="s">
        <v>2534</v>
      </c>
      <c r="E6377" s="78" t="s">
        <v>2535</v>
      </c>
    </row>
    <row r="6378" spans="1:5">
      <c r="A6378" s="76" t="s">
        <v>3963</v>
      </c>
      <c r="B6378" s="77" t="s">
        <v>463</v>
      </c>
      <c r="C6378" s="78">
        <v>1.07</v>
      </c>
      <c r="D6378" s="78">
        <v>8.25</v>
      </c>
      <c r="E6378" s="78">
        <f>TRUNC(C6378*D6378,2)</f>
        <v>8.82</v>
      </c>
    </row>
    <row r="6379" spans="1:5">
      <c r="A6379" s="76" t="s">
        <v>2779</v>
      </c>
      <c r="B6379" s="77" t="s">
        <v>839</v>
      </c>
      <c r="C6379" s="78">
        <v>0.0095</v>
      </c>
      <c r="D6379" s="78">
        <v>24.57</v>
      </c>
      <c r="E6379" s="78">
        <f>TRUNC(C6379*D6379,2)</f>
        <v>0.23</v>
      </c>
    </row>
    <row r="6380" spans="1:5">
      <c r="A6380" s="76" t="s">
        <v>2780</v>
      </c>
      <c r="B6380" s="77" t="s">
        <v>839</v>
      </c>
      <c r="C6380" s="78">
        <v>0.0581</v>
      </c>
      <c r="D6380" s="78">
        <v>31.13</v>
      </c>
      <c r="E6380" s="78">
        <f>TRUNC(C6380*D6380,2)</f>
        <v>1.8</v>
      </c>
    </row>
    <row r="6381" spans="1:5">
      <c r="A6381" s="76" t="s">
        <v>122</v>
      </c>
      <c r="B6381" s="77"/>
      <c r="C6381" s="78"/>
      <c r="D6381" s="78"/>
      <c r="E6381" s="78">
        <f>SUM(E6378:E6380)</f>
        <v>10.85</v>
      </c>
    </row>
    <row r="6382" spans="1:5">
      <c r="A6382" s="76"/>
      <c r="B6382" s="77"/>
      <c r="C6382" s="78"/>
      <c r="D6382" s="78"/>
      <c r="E6382" s="78"/>
    </row>
    <row r="6383" spans="1:5">
      <c r="A6383" s="76" t="s">
        <v>2538</v>
      </c>
      <c r="B6383" s="77"/>
      <c r="C6383" s="78"/>
      <c r="D6383" s="78"/>
      <c r="E6383" s="78">
        <f>E6381</f>
        <v>10.85</v>
      </c>
    </row>
    <row r="6384" spans="1:5">
      <c r="A6384" s="76" t="s">
        <v>2539</v>
      </c>
      <c r="B6384" s="77"/>
      <c r="C6384" s="78"/>
      <c r="D6384" s="78">
        <v>0</v>
      </c>
      <c r="E6384" s="78">
        <f>TRUNC(D6384*E6383/100,2)</f>
        <v>0</v>
      </c>
    </row>
    <row r="6385" spans="1:5">
      <c r="A6385" s="76" t="s">
        <v>2540</v>
      </c>
      <c r="B6385" s="77"/>
      <c r="C6385" s="78"/>
      <c r="D6385" s="78"/>
      <c r="E6385" s="78">
        <f>E6383+E6384</f>
        <v>10.85</v>
      </c>
    </row>
    <row r="6386" spans="1:5">
      <c r="A6386" s="76"/>
      <c r="B6386" s="77"/>
      <c r="C6386" s="78"/>
      <c r="D6386" s="78"/>
      <c r="E6386" s="78"/>
    </row>
    <row r="6387" spans="1:5">
      <c r="A6387" s="76" t="s">
        <v>3092</v>
      </c>
      <c r="B6387" s="77" t="s">
        <v>952</v>
      </c>
      <c r="C6387" s="78"/>
      <c r="D6387" s="78"/>
      <c r="E6387" s="78"/>
    </row>
    <row r="6388" ht="25.5" spans="1:5">
      <c r="A6388" s="76" t="s">
        <v>3061</v>
      </c>
      <c r="B6388" s="77"/>
      <c r="C6388" s="78"/>
      <c r="D6388" s="78"/>
      <c r="E6388" s="78"/>
    </row>
    <row r="6389" spans="1:5">
      <c r="A6389" s="76" t="s">
        <v>2619</v>
      </c>
      <c r="B6389" s="77"/>
      <c r="C6389" s="78"/>
      <c r="D6389" s="78"/>
      <c r="E6389" s="78"/>
    </row>
    <row r="6390" spans="1:5">
      <c r="A6390" s="76"/>
      <c r="B6390" s="77"/>
      <c r="C6390" s="78"/>
      <c r="D6390" s="78"/>
      <c r="E6390" s="78"/>
    </row>
    <row r="6391" spans="1:5">
      <c r="A6391" s="76" t="s">
        <v>2543</v>
      </c>
      <c r="B6391" s="77" t="s">
        <v>135</v>
      </c>
      <c r="C6391" s="78" t="s">
        <v>136</v>
      </c>
      <c r="D6391" s="78" t="s">
        <v>2534</v>
      </c>
      <c r="E6391" s="78" t="s">
        <v>2535</v>
      </c>
    </row>
    <row r="6392" spans="1:5">
      <c r="A6392" s="76" t="s">
        <v>2621</v>
      </c>
      <c r="B6392" s="77" t="s">
        <v>839</v>
      </c>
      <c r="C6392" s="78">
        <v>2</v>
      </c>
      <c r="D6392" s="78">
        <v>23.75</v>
      </c>
      <c r="E6392" s="78">
        <f>TRUNC(C6392*D6392,2)</f>
        <v>47.5</v>
      </c>
    </row>
    <row r="6393" spans="1:5">
      <c r="A6393" s="76" t="s">
        <v>122</v>
      </c>
      <c r="B6393" s="77"/>
      <c r="C6393" s="78"/>
      <c r="D6393" s="78"/>
      <c r="E6393" s="78">
        <f>SUM(E6392:E6392)</f>
        <v>47.5</v>
      </c>
    </row>
    <row r="6394" spans="1:5">
      <c r="A6394" s="76"/>
      <c r="B6394" s="77"/>
      <c r="C6394" s="78"/>
      <c r="D6394" s="78"/>
      <c r="E6394" s="78"/>
    </row>
    <row r="6395" spans="1:5">
      <c r="A6395" s="76" t="s">
        <v>2538</v>
      </c>
      <c r="B6395" s="77"/>
      <c r="C6395" s="78"/>
      <c r="D6395" s="78"/>
      <c r="E6395" s="78">
        <f>E6393</f>
        <v>47.5</v>
      </c>
    </row>
    <row r="6396" spans="1:5">
      <c r="A6396" s="76" t="s">
        <v>2539</v>
      </c>
      <c r="B6396" s="77"/>
      <c r="C6396" s="78"/>
      <c r="D6396" s="78">
        <v>0</v>
      </c>
      <c r="E6396" s="78">
        <f>TRUNC(D6396*E6395/100,2)</f>
        <v>0</v>
      </c>
    </row>
    <row r="6397" spans="1:5">
      <c r="A6397" s="76" t="s">
        <v>2540</v>
      </c>
      <c r="B6397" s="77"/>
      <c r="C6397" s="78"/>
      <c r="D6397" s="78"/>
      <c r="E6397" s="78">
        <f>E6395+E6396</f>
        <v>47.5</v>
      </c>
    </row>
    <row r="6398" spans="1:5">
      <c r="A6398" s="76"/>
      <c r="B6398" s="77"/>
      <c r="C6398" s="78"/>
      <c r="D6398" s="78"/>
      <c r="E6398" s="78"/>
    </row>
    <row r="6399" spans="1:5">
      <c r="A6399" s="76" t="s">
        <v>3092</v>
      </c>
      <c r="B6399" s="77" t="s">
        <v>3964</v>
      </c>
      <c r="C6399" s="78"/>
      <c r="D6399" s="78"/>
      <c r="E6399" s="78"/>
    </row>
    <row r="6400" ht="25.5" spans="1:5">
      <c r="A6400" s="76" t="s">
        <v>3965</v>
      </c>
      <c r="B6400" s="77"/>
      <c r="C6400" s="78"/>
      <c r="D6400" s="78"/>
      <c r="E6400" s="78"/>
    </row>
    <row r="6401" spans="1:5">
      <c r="A6401" s="76" t="s">
        <v>2619</v>
      </c>
      <c r="B6401" s="77"/>
      <c r="C6401" s="78"/>
      <c r="D6401" s="78"/>
      <c r="E6401" s="78"/>
    </row>
    <row r="6402" spans="1:5">
      <c r="A6402" s="76"/>
      <c r="B6402" s="77"/>
      <c r="C6402" s="78"/>
      <c r="D6402" s="78"/>
      <c r="E6402" s="78"/>
    </row>
    <row r="6403" spans="1:5">
      <c r="A6403" s="76" t="s">
        <v>2543</v>
      </c>
      <c r="B6403" s="77" t="s">
        <v>135</v>
      </c>
      <c r="C6403" s="78" t="s">
        <v>136</v>
      </c>
      <c r="D6403" s="78" t="s">
        <v>2534</v>
      </c>
      <c r="E6403" s="78" t="s">
        <v>2535</v>
      </c>
    </row>
    <row r="6404" ht="25.5" spans="1:5">
      <c r="A6404" s="76" t="s">
        <v>2740</v>
      </c>
      <c r="B6404" s="77" t="s">
        <v>476</v>
      </c>
      <c r="C6404" s="78">
        <v>1.38</v>
      </c>
      <c r="D6404" s="78">
        <v>198.43</v>
      </c>
      <c r="E6404" s="78">
        <f>TRUNC(C6404*D6404,2)</f>
        <v>273.83</v>
      </c>
    </row>
    <row r="6405" spans="1:5">
      <c r="A6405" s="76" t="s">
        <v>2621</v>
      </c>
      <c r="B6405" s="77" t="s">
        <v>839</v>
      </c>
      <c r="C6405" s="78">
        <v>0.967</v>
      </c>
      <c r="D6405" s="78">
        <v>23.75</v>
      </c>
      <c r="E6405" s="78">
        <f>TRUNC(C6405*D6405,2)</f>
        <v>22.96</v>
      </c>
    </row>
    <row r="6406" spans="1:5">
      <c r="A6406" s="76" t="s">
        <v>2630</v>
      </c>
      <c r="B6406" s="77" t="s">
        <v>839</v>
      </c>
      <c r="C6406" s="78">
        <v>2.292</v>
      </c>
      <c r="D6406" s="78">
        <v>31.34</v>
      </c>
      <c r="E6406" s="78">
        <f>TRUNC(C6406*D6406,2)</f>
        <v>71.83</v>
      </c>
    </row>
    <row r="6407" ht="38.25" spans="1:5">
      <c r="A6407" s="76" t="s">
        <v>2823</v>
      </c>
      <c r="B6407" s="77" t="s">
        <v>977</v>
      </c>
      <c r="C6407" s="78">
        <v>0.072</v>
      </c>
      <c r="D6407" s="78">
        <v>10.01</v>
      </c>
      <c r="E6407" s="78">
        <f>TRUNC(C6407*D6407,2)</f>
        <v>0.72</v>
      </c>
    </row>
    <row r="6408" ht="38.25" spans="1:5">
      <c r="A6408" s="76" t="s">
        <v>2824</v>
      </c>
      <c r="B6408" s="77" t="s">
        <v>979</v>
      </c>
      <c r="C6408" s="78">
        <v>0.067</v>
      </c>
      <c r="D6408" s="78">
        <v>0.72</v>
      </c>
      <c r="E6408" s="78">
        <f>TRUNC(C6408*D6408,2)</f>
        <v>0.04</v>
      </c>
    </row>
    <row r="6409" spans="1:5">
      <c r="A6409" s="76" t="s">
        <v>122</v>
      </c>
      <c r="B6409" s="77"/>
      <c r="C6409" s="78"/>
      <c r="D6409" s="78"/>
      <c r="E6409" s="78">
        <f>SUM(E6404:E6408)</f>
        <v>369.38</v>
      </c>
    </row>
    <row r="6410" spans="1:5">
      <c r="A6410" s="76"/>
      <c r="B6410" s="77"/>
      <c r="C6410" s="78"/>
      <c r="D6410" s="78"/>
      <c r="E6410" s="78"/>
    </row>
    <row r="6411" spans="1:5">
      <c r="A6411" s="76" t="s">
        <v>2538</v>
      </c>
      <c r="B6411" s="77"/>
      <c r="C6411" s="78"/>
      <c r="D6411" s="78"/>
      <c r="E6411" s="78">
        <f>E6409</f>
        <v>369.38</v>
      </c>
    </row>
    <row r="6412" spans="1:5">
      <c r="A6412" s="76" t="s">
        <v>2539</v>
      </c>
      <c r="B6412" s="77"/>
      <c r="C6412" s="78"/>
      <c r="D6412" s="78">
        <v>0</v>
      </c>
      <c r="E6412" s="78">
        <f>TRUNC(D6412*E6411/100,2)</f>
        <v>0</v>
      </c>
    </row>
    <row r="6413" spans="1:5">
      <c r="A6413" s="76" t="s">
        <v>2540</v>
      </c>
      <c r="B6413" s="77"/>
      <c r="C6413" s="78"/>
      <c r="D6413" s="78"/>
      <c r="E6413" s="78">
        <f>E6411+E6412</f>
        <v>369.38</v>
      </c>
    </row>
    <row r="6414" spans="1:5">
      <c r="A6414" s="76"/>
      <c r="B6414" s="77"/>
      <c r="C6414" s="78"/>
      <c r="D6414" s="78"/>
      <c r="E6414" s="78"/>
    </row>
    <row r="6415" spans="1:5">
      <c r="A6415" s="76" t="s">
        <v>3092</v>
      </c>
      <c r="B6415" s="77" t="s">
        <v>3966</v>
      </c>
      <c r="C6415" s="78"/>
      <c r="D6415" s="78"/>
      <c r="E6415" s="78"/>
    </row>
    <row r="6416" ht="25.5" spans="1:5">
      <c r="A6416" s="76" t="s">
        <v>3967</v>
      </c>
      <c r="B6416" s="77"/>
      <c r="C6416" s="78"/>
      <c r="D6416" s="78"/>
      <c r="E6416" s="78"/>
    </row>
    <row r="6417" spans="1:5">
      <c r="A6417" s="76" t="s">
        <v>3085</v>
      </c>
      <c r="B6417" s="77"/>
      <c r="C6417" s="78"/>
      <c r="D6417" s="78"/>
      <c r="E6417" s="78"/>
    </row>
    <row r="6418" spans="1:5">
      <c r="A6418" s="76"/>
      <c r="B6418" s="77"/>
      <c r="C6418" s="78"/>
      <c r="D6418" s="78"/>
      <c r="E6418" s="78"/>
    </row>
    <row r="6419" spans="1:5">
      <c r="A6419" s="76" t="s">
        <v>2543</v>
      </c>
      <c r="B6419" s="77" t="s">
        <v>135</v>
      </c>
      <c r="C6419" s="78" t="s">
        <v>136</v>
      </c>
      <c r="D6419" s="78" t="s">
        <v>2534</v>
      </c>
      <c r="E6419" s="78" t="s">
        <v>2535</v>
      </c>
    </row>
    <row r="6420" ht="38.25" spans="1:5">
      <c r="A6420" s="76" t="s">
        <v>3968</v>
      </c>
      <c r="B6420" s="77" t="s">
        <v>839</v>
      </c>
      <c r="C6420" s="78">
        <v>1</v>
      </c>
      <c r="D6420" s="78">
        <v>0.15</v>
      </c>
      <c r="E6420" s="78">
        <f>TRUNC(C6420*D6420,2)</f>
        <v>0.15</v>
      </c>
    </row>
    <row r="6421" ht="38.25" spans="1:5">
      <c r="A6421" s="76" t="s">
        <v>3969</v>
      </c>
      <c r="B6421" s="77" t="s">
        <v>839</v>
      </c>
      <c r="C6421" s="78">
        <v>1</v>
      </c>
      <c r="D6421" s="78">
        <v>0.71</v>
      </c>
      <c r="E6421" s="78">
        <f>TRUNC(C6421*D6421,2)</f>
        <v>0.71</v>
      </c>
    </row>
    <row r="6422" ht="38.25" spans="1:5">
      <c r="A6422" s="76" t="s">
        <v>3970</v>
      </c>
      <c r="B6422" s="77" t="s">
        <v>839</v>
      </c>
      <c r="C6422" s="78">
        <v>1</v>
      </c>
      <c r="D6422" s="78">
        <v>0.57</v>
      </c>
      <c r="E6422" s="78">
        <f>TRUNC(C6422*D6422,2)</f>
        <v>0.57</v>
      </c>
    </row>
    <row r="6423" ht="38.25" spans="1:5">
      <c r="A6423" s="76" t="s">
        <v>3971</v>
      </c>
      <c r="B6423" s="77" t="s">
        <v>839</v>
      </c>
      <c r="C6423" s="78">
        <v>1</v>
      </c>
      <c r="D6423" s="78">
        <v>8.58</v>
      </c>
      <c r="E6423" s="78">
        <f>TRUNC(C6423*D6423,2)</f>
        <v>8.58</v>
      </c>
    </row>
    <row r="6424" spans="1:5">
      <c r="A6424" s="76" t="s">
        <v>122</v>
      </c>
      <c r="B6424" s="77"/>
      <c r="C6424" s="78"/>
      <c r="D6424" s="78"/>
      <c r="E6424" s="78">
        <f>SUM(E6420:E6423)</f>
        <v>10.01</v>
      </c>
    </row>
    <row r="6425" spans="1:5">
      <c r="A6425" s="76"/>
      <c r="B6425" s="77"/>
      <c r="C6425" s="78"/>
      <c r="D6425" s="78"/>
      <c r="E6425" s="78"/>
    </row>
    <row r="6426" spans="1:5">
      <c r="A6426" s="76" t="s">
        <v>2538</v>
      </c>
      <c r="B6426" s="77"/>
      <c r="C6426" s="78"/>
      <c r="D6426" s="78"/>
      <c r="E6426" s="78">
        <f>E6424</f>
        <v>10.01</v>
      </c>
    </row>
    <row r="6427" spans="1:5">
      <c r="A6427" s="76" t="s">
        <v>2539</v>
      </c>
      <c r="B6427" s="77"/>
      <c r="C6427" s="78"/>
      <c r="D6427" s="78">
        <v>0</v>
      </c>
      <c r="E6427" s="78">
        <f>TRUNC(D6427*E6426/100,2)</f>
        <v>0</v>
      </c>
    </row>
    <row r="6428" spans="1:5">
      <c r="A6428" s="76" t="s">
        <v>2540</v>
      </c>
      <c r="B6428" s="77"/>
      <c r="C6428" s="78"/>
      <c r="D6428" s="78"/>
      <c r="E6428" s="78">
        <f>E6426+E6427</f>
        <v>10.01</v>
      </c>
    </row>
    <row r="6429" spans="1:5">
      <c r="A6429" s="76"/>
      <c r="B6429" s="77"/>
      <c r="C6429" s="78"/>
      <c r="D6429" s="78"/>
      <c r="E6429" s="78"/>
    </row>
    <row r="6430" spans="1:5">
      <c r="A6430" s="76" t="s">
        <v>3092</v>
      </c>
      <c r="B6430" s="77" t="s">
        <v>3972</v>
      </c>
      <c r="C6430" s="78"/>
      <c r="D6430" s="78"/>
      <c r="E6430" s="78"/>
    </row>
    <row r="6431" ht="25.5" spans="1:5">
      <c r="A6431" s="76" t="s">
        <v>3973</v>
      </c>
      <c r="B6431" s="77"/>
      <c r="C6431" s="78"/>
      <c r="D6431" s="78"/>
      <c r="E6431" s="78"/>
    </row>
    <row r="6432" spans="1:5">
      <c r="A6432" s="76" t="s">
        <v>2764</v>
      </c>
      <c r="B6432" s="77"/>
      <c r="C6432" s="78"/>
      <c r="D6432" s="78"/>
      <c r="E6432" s="78"/>
    </row>
    <row r="6433" spans="1:5">
      <c r="A6433" s="76"/>
      <c r="B6433" s="77"/>
      <c r="C6433" s="78"/>
      <c r="D6433" s="78"/>
      <c r="E6433" s="78"/>
    </row>
    <row r="6434" spans="1:5">
      <c r="A6434" s="76" t="s">
        <v>279</v>
      </c>
      <c r="B6434" s="77" t="s">
        <v>135</v>
      </c>
      <c r="C6434" s="78" t="s">
        <v>136</v>
      </c>
      <c r="D6434" s="78" t="s">
        <v>2534</v>
      </c>
      <c r="E6434" s="78" t="s">
        <v>2535</v>
      </c>
    </row>
    <row r="6435" ht="51" spans="1:5">
      <c r="A6435" s="76" t="s">
        <v>3974</v>
      </c>
      <c r="B6435" s="77" t="s">
        <v>494</v>
      </c>
      <c r="C6435" s="78">
        <v>1.43e-5</v>
      </c>
      <c r="D6435" s="78">
        <v>10731.19</v>
      </c>
      <c r="E6435" s="78">
        <f>TRUNC(C6435*D6435,2)</f>
        <v>0.15</v>
      </c>
    </row>
    <row r="6436" spans="1:5">
      <c r="A6436" s="76" t="s">
        <v>122</v>
      </c>
      <c r="B6436" s="77"/>
      <c r="C6436" s="78"/>
      <c r="D6436" s="78"/>
      <c r="E6436" s="78">
        <f>SUM(E6435:E6435)</f>
        <v>0.15</v>
      </c>
    </row>
    <row r="6437" spans="1:5">
      <c r="A6437" s="76"/>
      <c r="B6437" s="77"/>
      <c r="C6437" s="78"/>
      <c r="D6437" s="78"/>
      <c r="E6437" s="78"/>
    </row>
    <row r="6438" spans="1:5">
      <c r="A6438" s="76" t="s">
        <v>2538</v>
      </c>
      <c r="B6438" s="77"/>
      <c r="C6438" s="78"/>
      <c r="D6438" s="78"/>
      <c r="E6438" s="78">
        <f>E6436</f>
        <v>0.15</v>
      </c>
    </row>
    <row r="6439" spans="1:5">
      <c r="A6439" s="76" t="s">
        <v>2539</v>
      </c>
      <c r="B6439" s="77"/>
      <c r="C6439" s="78"/>
      <c r="D6439" s="78">
        <v>0</v>
      </c>
      <c r="E6439" s="78">
        <f>TRUNC(D6439*E6438/100,2)</f>
        <v>0</v>
      </c>
    </row>
    <row r="6440" spans="1:5">
      <c r="A6440" s="76" t="s">
        <v>2540</v>
      </c>
      <c r="B6440" s="77"/>
      <c r="C6440" s="78"/>
      <c r="D6440" s="78"/>
      <c r="E6440" s="78">
        <f>E6438+E6439</f>
        <v>0.15</v>
      </c>
    </row>
    <row r="6441" spans="1:5">
      <c r="A6441" s="76"/>
      <c r="B6441" s="77"/>
      <c r="C6441" s="78"/>
      <c r="D6441" s="78"/>
      <c r="E6441" s="78"/>
    </row>
    <row r="6442" spans="1:5">
      <c r="A6442" s="76" t="s">
        <v>3092</v>
      </c>
      <c r="B6442" s="77" t="s">
        <v>3975</v>
      </c>
      <c r="C6442" s="78"/>
      <c r="D6442" s="78"/>
      <c r="E6442" s="78"/>
    </row>
    <row r="6443" ht="25.5" spans="1:5">
      <c r="A6443" s="76" t="s">
        <v>3976</v>
      </c>
      <c r="B6443" s="77"/>
      <c r="C6443" s="78"/>
      <c r="D6443" s="78"/>
      <c r="E6443" s="78"/>
    </row>
    <row r="6444" spans="1:5">
      <c r="A6444" s="76" t="s">
        <v>2764</v>
      </c>
      <c r="B6444" s="77"/>
      <c r="C6444" s="78"/>
      <c r="D6444" s="78"/>
      <c r="E6444" s="78"/>
    </row>
    <row r="6445" spans="1:5">
      <c r="A6445" s="76"/>
      <c r="B6445" s="77"/>
      <c r="C6445" s="78"/>
      <c r="D6445" s="78"/>
      <c r="E6445" s="78"/>
    </row>
    <row r="6446" spans="1:5">
      <c r="A6446" s="76" t="s">
        <v>279</v>
      </c>
      <c r="B6446" s="77" t="s">
        <v>135</v>
      </c>
      <c r="C6446" s="78" t="s">
        <v>136</v>
      </c>
      <c r="D6446" s="78" t="s">
        <v>2534</v>
      </c>
      <c r="E6446" s="78" t="s">
        <v>2535</v>
      </c>
    </row>
    <row r="6447" ht="51" spans="1:5">
      <c r="A6447" s="76" t="s">
        <v>3974</v>
      </c>
      <c r="B6447" s="77" t="s">
        <v>494</v>
      </c>
      <c r="C6447" s="78">
        <v>6.67e-5</v>
      </c>
      <c r="D6447" s="78">
        <v>10731.19</v>
      </c>
      <c r="E6447" s="78">
        <f>TRUNC(C6447*D6447,2)</f>
        <v>0.71</v>
      </c>
    </row>
    <row r="6448" spans="1:5">
      <c r="A6448" s="76" t="s">
        <v>122</v>
      </c>
      <c r="B6448" s="77"/>
      <c r="C6448" s="78"/>
      <c r="D6448" s="78"/>
      <c r="E6448" s="78">
        <f>SUM(E6447:E6447)</f>
        <v>0.71</v>
      </c>
    </row>
    <row r="6449" spans="1:5">
      <c r="A6449" s="76"/>
      <c r="B6449" s="77"/>
      <c r="C6449" s="78"/>
      <c r="D6449" s="78"/>
      <c r="E6449" s="78"/>
    </row>
    <row r="6450" spans="1:5">
      <c r="A6450" s="76" t="s">
        <v>2538</v>
      </c>
      <c r="B6450" s="77"/>
      <c r="C6450" s="78"/>
      <c r="D6450" s="78"/>
      <c r="E6450" s="78">
        <f>E6448</f>
        <v>0.71</v>
      </c>
    </row>
    <row r="6451" spans="1:5">
      <c r="A6451" s="76" t="s">
        <v>2539</v>
      </c>
      <c r="B6451" s="77"/>
      <c r="C6451" s="78"/>
      <c r="D6451" s="78">
        <v>0</v>
      </c>
      <c r="E6451" s="78">
        <f>TRUNC(D6451*E6450/100,2)</f>
        <v>0</v>
      </c>
    </row>
    <row r="6452" spans="1:5">
      <c r="A6452" s="76" t="s">
        <v>2540</v>
      </c>
      <c r="B6452" s="77"/>
      <c r="C6452" s="78"/>
      <c r="D6452" s="78"/>
      <c r="E6452" s="78">
        <f>E6450+E6451</f>
        <v>0.71</v>
      </c>
    </row>
    <row r="6453" spans="1:5">
      <c r="A6453" s="76"/>
      <c r="B6453" s="77"/>
      <c r="C6453" s="78"/>
      <c r="D6453" s="78"/>
      <c r="E6453" s="78"/>
    </row>
    <row r="6454" spans="1:5">
      <c r="A6454" s="76" t="s">
        <v>3092</v>
      </c>
      <c r="B6454" s="77" t="s">
        <v>3977</v>
      </c>
      <c r="C6454" s="78"/>
      <c r="D6454" s="78"/>
      <c r="E6454" s="78"/>
    </row>
    <row r="6455" ht="25.5" spans="1:5">
      <c r="A6455" s="76" t="s">
        <v>3978</v>
      </c>
      <c r="B6455" s="77"/>
      <c r="C6455" s="78"/>
      <c r="D6455" s="78"/>
      <c r="E6455" s="78"/>
    </row>
    <row r="6456" spans="1:5">
      <c r="A6456" s="76" t="s">
        <v>2764</v>
      </c>
      <c r="B6456" s="77"/>
      <c r="C6456" s="78"/>
      <c r="D6456" s="78"/>
      <c r="E6456" s="78"/>
    </row>
    <row r="6457" spans="1:5">
      <c r="A6457" s="76"/>
      <c r="B6457" s="77"/>
      <c r="C6457" s="78"/>
      <c r="D6457" s="78"/>
      <c r="E6457" s="78"/>
    </row>
    <row r="6458" spans="1:5">
      <c r="A6458" s="76" t="s">
        <v>279</v>
      </c>
      <c r="B6458" s="77" t="s">
        <v>135</v>
      </c>
      <c r="C6458" s="78" t="s">
        <v>136</v>
      </c>
      <c r="D6458" s="78" t="s">
        <v>2534</v>
      </c>
      <c r="E6458" s="78" t="s">
        <v>2535</v>
      </c>
    </row>
    <row r="6459" ht="51" spans="1:5">
      <c r="A6459" s="76" t="s">
        <v>3974</v>
      </c>
      <c r="B6459" s="77" t="s">
        <v>494</v>
      </c>
      <c r="C6459" s="78">
        <v>5.33e-5</v>
      </c>
      <c r="D6459" s="78">
        <v>10731.19</v>
      </c>
      <c r="E6459" s="78">
        <f>TRUNC(C6459*D6459,2)</f>
        <v>0.57</v>
      </c>
    </row>
    <row r="6460" spans="1:5">
      <c r="A6460" s="76" t="s">
        <v>122</v>
      </c>
      <c r="B6460" s="77"/>
      <c r="C6460" s="78"/>
      <c r="D6460" s="78"/>
      <c r="E6460" s="78">
        <f>SUM(E6459:E6459)</f>
        <v>0.57</v>
      </c>
    </row>
    <row r="6461" spans="1:5">
      <c r="A6461" s="76"/>
      <c r="B6461" s="77"/>
      <c r="C6461" s="78"/>
      <c r="D6461" s="78"/>
      <c r="E6461" s="78"/>
    </row>
    <row r="6462" spans="1:5">
      <c r="A6462" s="76" t="s">
        <v>2538</v>
      </c>
      <c r="B6462" s="77"/>
      <c r="C6462" s="78"/>
      <c r="D6462" s="78"/>
      <c r="E6462" s="78">
        <f>E6460</f>
        <v>0.57</v>
      </c>
    </row>
    <row r="6463" spans="1:5">
      <c r="A6463" s="76" t="s">
        <v>2539</v>
      </c>
      <c r="B6463" s="77"/>
      <c r="C6463" s="78"/>
      <c r="D6463" s="78">
        <v>0</v>
      </c>
      <c r="E6463" s="78">
        <f>TRUNC(D6463*E6462/100,2)</f>
        <v>0</v>
      </c>
    </row>
    <row r="6464" spans="1:5">
      <c r="A6464" s="76" t="s">
        <v>2540</v>
      </c>
      <c r="B6464" s="77"/>
      <c r="C6464" s="78"/>
      <c r="D6464" s="78"/>
      <c r="E6464" s="78">
        <f>E6462+E6463</f>
        <v>0.57</v>
      </c>
    </row>
    <row r="6465" spans="1:5">
      <c r="A6465" s="76"/>
      <c r="B6465" s="77"/>
      <c r="C6465" s="78"/>
      <c r="D6465" s="78"/>
      <c r="E6465" s="78"/>
    </row>
    <row r="6466" spans="1:5">
      <c r="A6466" s="76" t="s">
        <v>3092</v>
      </c>
      <c r="B6466" s="77" t="s">
        <v>3979</v>
      </c>
      <c r="C6466" s="78"/>
      <c r="D6466" s="78"/>
      <c r="E6466" s="78"/>
    </row>
    <row r="6467" ht="38.25" spans="1:5">
      <c r="A6467" s="76" t="s">
        <v>3980</v>
      </c>
      <c r="B6467" s="77"/>
      <c r="C6467" s="78"/>
      <c r="D6467" s="78"/>
      <c r="E6467" s="78"/>
    </row>
    <row r="6468" spans="1:5">
      <c r="A6468" s="76" t="s">
        <v>2764</v>
      </c>
      <c r="B6468" s="77"/>
      <c r="C6468" s="78"/>
      <c r="D6468" s="78"/>
      <c r="E6468" s="78"/>
    </row>
    <row r="6469" spans="1:5">
      <c r="A6469" s="76"/>
      <c r="B6469" s="77"/>
      <c r="C6469" s="78"/>
      <c r="D6469" s="78"/>
      <c r="E6469" s="78"/>
    </row>
    <row r="6470" spans="1:5">
      <c r="A6470" s="76" t="s">
        <v>2543</v>
      </c>
      <c r="B6470" s="77" t="s">
        <v>135</v>
      </c>
      <c r="C6470" s="78" t="s">
        <v>136</v>
      </c>
      <c r="D6470" s="78" t="s">
        <v>2534</v>
      </c>
      <c r="E6470" s="78" t="s">
        <v>2535</v>
      </c>
    </row>
    <row r="6471" spans="1:5">
      <c r="A6471" s="76" t="s">
        <v>3366</v>
      </c>
      <c r="B6471" s="77" t="s">
        <v>215</v>
      </c>
      <c r="C6471" s="78">
        <v>1.44</v>
      </c>
      <c r="D6471" s="78">
        <v>5.96</v>
      </c>
      <c r="E6471" s="78">
        <f>TRUNC(C6471*D6471,2)</f>
        <v>8.58</v>
      </c>
    </row>
    <row r="6472" spans="1:5">
      <c r="A6472" s="76" t="s">
        <v>122</v>
      </c>
      <c r="B6472" s="77"/>
      <c r="C6472" s="78"/>
      <c r="D6472" s="78"/>
      <c r="E6472" s="78">
        <f>SUM(E6471:E6471)</f>
        <v>8.58</v>
      </c>
    </row>
    <row r="6473" spans="1:5">
      <c r="A6473" s="76"/>
      <c r="B6473" s="77"/>
      <c r="C6473" s="78"/>
      <c r="D6473" s="78"/>
      <c r="E6473" s="78"/>
    </row>
    <row r="6474" spans="1:5">
      <c r="A6474" s="76" t="s">
        <v>2538</v>
      </c>
      <c r="B6474" s="77"/>
      <c r="C6474" s="78"/>
      <c r="D6474" s="78"/>
      <c r="E6474" s="78">
        <f>E6472</f>
        <v>8.58</v>
      </c>
    </row>
    <row r="6475" spans="1:5">
      <c r="A6475" s="76" t="s">
        <v>2539</v>
      </c>
      <c r="B6475" s="77"/>
      <c r="C6475" s="78"/>
      <c r="D6475" s="78">
        <v>0</v>
      </c>
      <c r="E6475" s="78">
        <f>TRUNC(D6475*E6474/100,2)</f>
        <v>0</v>
      </c>
    </row>
    <row r="6476" spans="1:5">
      <c r="A6476" s="76" t="s">
        <v>2540</v>
      </c>
      <c r="B6476" s="77"/>
      <c r="C6476" s="78"/>
      <c r="D6476" s="78"/>
      <c r="E6476" s="78">
        <f>E6474+E6475</f>
        <v>8.58</v>
      </c>
    </row>
    <row r="6477" spans="1:5">
      <c r="A6477" s="76"/>
      <c r="B6477" s="77"/>
      <c r="C6477" s="78"/>
      <c r="D6477" s="78"/>
      <c r="E6477" s="78"/>
    </row>
    <row r="6478" spans="1:5">
      <c r="A6478" s="76" t="s">
        <v>3092</v>
      </c>
      <c r="B6478" s="77" t="s">
        <v>3981</v>
      </c>
      <c r="C6478" s="78"/>
      <c r="D6478" s="78"/>
      <c r="E6478" s="78"/>
    </row>
    <row r="6479" ht="25.5" spans="1:5">
      <c r="A6479" s="76" t="s">
        <v>3982</v>
      </c>
      <c r="B6479" s="77"/>
      <c r="C6479" s="78"/>
      <c r="D6479" s="78"/>
      <c r="E6479" s="78"/>
    </row>
    <row r="6480" spans="1:5">
      <c r="A6480" s="76" t="s">
        <v>3091</v>
      </c>
      <c r="B6480" s="77"/>
      <c r="C6480" s="78"/>
      <c r="D6480" s="78"/>
      <c r="E6480" s="78"/>
    </row>
    <row r="6481" spans="1:5">
      <c r="A6481" s="76"/>
      <c r="B6481" s="77"/>
      <c r="C6481" s="78"/>
      <c r="D6481" s="78"/>
      <c r="E6481" s="78"/>
    </row>
    <row r="6482" spans="1:5">
      <c r="A6482" s="76" t="s">
        <v>2543</v>
      </c>
      <c r="B6482" s="77" t="s">
        <v>135</v>
      </c>
      <c r="C6482" s="78" t="s">
        <v>136</v>
      </c>
      <c r="D6482" s="78" t="s">
        <v>2534</v>
      </c>
      <c r="E6482" s="78" t="s">
        <v>2535</v>
      </c>
    </row>
    <row r="6483" ht="38.25" spans="1:5">
      <c r="A6483" s="76" t="s">
        <v>3968</v>
      </c>
      <c r="B6483" s="77" t="s">
        <v>839</v>
      </c>
      <c r="C6483" s="78">
        <v>1</v>
      </c>
      <c r="D6483" s="78">
        <v>0.15</v>
      </c>
      <c r="E6483" s="78">
        <f>TRUNC(C6483*D6483,2)</f>
        <v>0.15</v>
      </c>
    </row>
    <row r="6484" ht="38.25" spans="1:5">
      <c r="A6484" s="76" t="s">
        <v>3970</v>
      </c>
      <c r="B6484" s="77" t="s">
        <v>839</v>
      </c>
      <c r="C6484" s="78">
        <v>1</v>
      </c>
      <c r="D6484" s="78">
        <v>0.57</v>
      </c>
      <c r="E6484" s="78">
        <f>TRUNC(C6484*D6484,2)</f>
        <v>0.57</v>
      </c>
    </row>
    <row r="6485" spans="1:5">
      <c r="A6485" s="76" t="s">
        <v>122</v>
      </c>
      <c r="B6485" s="77"/>
      <c r="C6485" s="78"/>
      <c r="D6485" s="78"/>
      <c r="E6485" s="78">
        <f>SUM(E6483:E6484)</f>
        <v>0.72</v>
      </c>
    </row>
    <row r="6486" spans="1:5">
      <c r="A6486" s="76"/>
      <c r="B6486" s="77"/>
      <c r="C6486" s="78"/>
      <c r="D6486" s="78"/>
      <c r="E6486" s="78"/>
    </row>
    <row r="6487" spans="1:5">
      <c r="A6487" s="76" t="s">
        <v>2538</v>
      </c>
      <c r="B6487" s="77"/>
      <c r="C6487" s="78"/>
      <c r="D6487" s="78"/>
      <c r="E6487" s="78">
        <f>E6485</f>
        <v>0.72</v>
      </c>
    </row>
    <row r="6488" spans="1:5">
      <c r="A6488" s="76" t="s">
        <v>2539</v>
      </c>
      <c r="B6488" s="77"/>
      <c r="C6488" s="78"/>
      <c r="D6488" s="78">
        <v>0</v>
      </c>
      <c r="E6488" s="78">
        <f>TRUNC(D6488*E6487/100,2)</f>
        <v>0</v>
      </c>
    </row>
    <row r="6489" spans="1:5">
      <c r="A6489" s="76" t="s">
        <v>2540</v>
      </c>
      <c r="B6489" s="77"/>
      <c r="C6489" s="78"/>
      <c r="D6489" s="78"/>
      <c r="E6489" s="78">
        <f>E6487+E6488</f>
        <v>0.72</v>
      </c>
    </row>
    <row r="6490" spans="1:5">
      <c r="A6490" s="76"/>
      <c r="B6490" s="77"/>
      <c r="C6490" s="78"/>
      <c r="D6490" s="78"/>
      <c r="E6490" s="78"/>
    </row>
    <row r="6491" spans="1:5">
      <c r="A6491" s="76" t="s">
        <v>3092</v>
      </c>
      <c r="B6491" s="77" t="s">
        <v>546</v>
      </c>
      <c r="C6491" s="78"/>
      <c r="D6491" s="78"/>
      <c r="E6491" s="78"/>
    </row>
    <row r="6492" ht="25.5" spans="1:5">
      <c r="A6492" s="76" t="s">
        <v>2826</v>
      </c>
      <c r="B6492" s="77"/>
      <c r="C6492" s="78"/>
      <c r="D6492" s="78"/>
      <c r="E6492" s="78"/>
    </row>
    <row r="6493" spans="1:5">
      <c r="A6493" s="76" t="s">
        <v>2619</v>
      </c>
      <c r="B6493" s="77"/>
      <c r="C6493" s="78"/>
      <c r="D6493" s="78"/>
      <c r="E6493" s="78"/>
    </row>
    <row r="6494" spans="1:5">
      <c r="A6494" s="76"/>
      <c r="B6494" s="77"/>
      <c r="C6494" s="78"/>
      <c r="D6494" s="78"/>
      <c r="E6494" s="78"/>
    </row>
    <row r="6495" spans="1:5">
      <c r="A6495" s="76" t="s">
        <v>2543</v>
      </c>
      <c r="B6495" s="77" t="s">
        <v>135</v>
      </c>
      <c r="C6495" s="78" t="s">
        <v>136</v>
      </c>
      <c r="D6495" s="78" t="s">
        <v>2534</v>
      </c>
      <c r="E6495" s="78" t="s">
        <v>2535</v>
      </c>
    </row>
    <row r="6496" ht="25.5" spans="1:5">
      <c r="A6496" s="76" t="s">
        <v>2740</v>
      </c>
      <c r="B6496" s="77" t="s">
        <v>476</v>
      </c>
      <c r="C6496" s="78">
        <v>1.19</v>
      </c>
      <c r="D6496" s="78">
        <v>198.43</v>
      </c>
      <c r="E6496" s="78">
        <f>TRUNC(C6496*D6496,2)</f>
        <v>236.13</v>
      </c>
    </row>
    <row r="6497" spans="1:5">
      <c r="A6497" s="76" t="s">
        <v>2621</v>
      </c>
      <c r="B6497" s="77" t="s">
        <v>839</v>
      </c>
      <c r="C6497" s="78">
        <v>0.634</v>
      </c>
      <c r="D6497" s="78">
        <v>23.75</v>
      </c>
      <c r="E6497" s="78">
        <f>TRUNC(C6497*D6497,2)</f>
        <v>15.05</v>
      </c>
    </row>
    <row r="6498" spans="1:5">
      <c r="A6498" s="76" t="s">
        <v>2630</v>
      </c>
      <c r="B6498" s="77" t="s">
        <v>839</v>
      </c>
      <c r="C6498" s="78">
        <v>1.579</v>
      </c>
      <c r="D6498" s="78">
        <v>31.34</v>
      </c>
      <c r="E6498" s="78">
        <f>TRUNC(C6498*D6498,2)</f>
        <v>49.48</v>
      </c>
    </row>
    <row r="6499" ht="38.25" spans="1:5">
      <c r="A6499" s="76" t="s">
        <v>2823</v>
      </c>
      <c r="B6499" s="77" t="s">
        <v>977</v>
      </c>
      <c r="C6499" s="78">
        <v>0.032</v>
      </c>
      <c r="D6499" s="78">
        <v>10.01</v>
      </c>
      <c r="E6499" s="78">
        <f>TRUNC(C6499*D6499,2)</f>
        <v>0.32</v>
      </c>
    </row>
    <row r="6500" ht="38.25" spans="1:5">
      <c r="A6500" s="76" t="s">
        <v>2824</v>
      </c>
      <c r="B6500" s="77" t="s">
        <v>979</v>
      </c>
      <c r="C6500" s="78">
        <v>0.03</v>
      </c>
      <c r="D6500" s="78">
        <v>0.72</v>
      </c>
      <c r="E6500" s="78">
        <f>TRUNC(C6500*D6500,2)</f>
        <v>0.02</v>
      </c>
    </row>
    <row r="6501" spans="1:5">
      <c r="A6501" s="76" t="s">
        <v>122</v>
      </c>
      <c r="B6501" s="77"/>
      <c r="C6501" s="78"/>
      <c r="D6501" s="78"/>
      <c r="E6501" s="78">
        <f>SUM(E6496:E6500)</f>
        <v>301</v>
      </c>
    </row>
    <row r="6502" spans="1:5">
      <c r="A6502" s="76"/>
      <c r="B6502" s="77"/>
      <c r="C6502" s="78"/>
      <c r="D6502" s="78"/>
      <c r="E6502" s="78"/>
    </row>
    <row r="6503" spans="1:5">
      <c r="A6503" s="76" t="s">
        <v>2538</v>
      </c>
      <c r="B6503" s="77"/>
      <c r="C6503" s="78"/>
      <c r="D6503" s="78"/>
      <c r="E6503" s="78">
        <f>E6501</f>
        <v>301</v>
      </c>
    </row>
    <row r="6504" spans="1:5">
      <c r="A6504" s="76" t="s">
        <v>2539</v>
      </c>
      <c r="B6504" s="77"/>
      <c r="C6504" s="78"/>
      <c r="D6504" s="78">
        <v>0</v>
      </c>
      <c r="E6504" s="78">
        <f>TRUNC(D6504*E6503/100,2)</f>
        <v>0</v>
      </c>
    </row>
    <row r="6505" spans="1:5">
      <c r="A6505" s="76" t="s">
        <v>2540</v>
      </c>
      <c r="B6505" s="77"/>
      <c r="C6505" s="78"/>
      <c r="D6505" s="78"/>
      <c r="E6505" s="78">
        <f>E6503+E6504</f>
        <v>301</v>
      </c>
    </row>
    <row r="6506" spans="1:5">
      <c r="A6506" s="76"/>
      <c r="B6506" s="77"/>
      <c r="C6506" s="78"/>
      <c r="D6506" s="78"/>
      <c r="E6506" s="78"/>
    </row>
    <row r="6507" spans="1:5">
      <c r="A6507" s="76" t="s">
        <v>3092</v>
      </c>
      <c r="B6507" s="77" t="s">
        <v>3983</v>
      </c>
      <c r="C6507" s="78"/>
      <c r="D6507" s="78"/>
      <c r="E6507" s="78"/>
    </row>
    <row r="6508" ht="38.25" spans="1:5">
      <c r="A6508" s="76" t="s">
        <v>3984</v>
      </c>
      <c r="B6508" s="77"/>
      <c r="C6508" s="78"/>
      <c r="D6508" s="78"/>
      <c r="E6508" s="78"/>
    </row>
    <row r="6509" spans="1:5">
      <c r="A6509" s="76" t="s">
        <v>2563</v>
      </c>
      <c r="B6509" s="77"/>
      <c r="C6509" s="78"/>
      <c r="D6509" s="78"/>
      <c r="E6509" s="78"/>
    </row>
    <row r="6510" spans="1:5">
      <c r="A6510" s="76"/>
      <c r="B6510" s="77"/>
      <c r="C6510" s="78"/>
      <c r="D6510" s="78"/>
      <c r="E6510" s="78"/>
    </row>
    <row r="6511" spans="1:5">
      <c r="A6511" s="76" t="s">
        <v>2543</v>
      </c>
      <c r="B6511" s="77" t="s">
        <v>135</v>
      </c>
      <c r="C6511" s="78" t="s">
        <v>136</v>
      </c>
      <c r="D6511" s="78" t="s">
        <v>2534</v>
      </c>
      <c r="E6511" s="78" t="s">
        <v>2535</v>
      </c>
    </row>
    <row r="6512" spans="1:5">
      <c r="A6512" s="76" t="s">
        <v>2621</v>
      </c>
      <c r="B6512" s="77" t="s">
        <v>839</v>
      </c>
      <c r="C6512" s="78">
        <v>0.089</v>
      </c>
      <c r="D6512" s="78">
        <v>23.75</v>
      </c>
      <c r="E6512" s="78">
        <f>TRUNC(C6512*D6512,2)</f>
        <v>2.11</v>
      </c>
    </row>
    <row r="6513" spans="1:5">
      <c r="A6513" s="76" t="s">
        <v>2630</v>
      </c>
      <c r="B6513" s="77" t="s">
        <v>839</v>
      </c>
      <c r="C6513" s="78">
        <v>0.045</v>
      </c>
      <c r="D6513" s="78">
        <v>31.34</v>
      </c>
      <c r="E6513" s="78">
        <f>TRUNC(C6513*D6513,2)</f>
        <v>1.41</v>
      </c>
    </row>
    <row r="6514" ht="25.5" spans="1:5">
      <c r="A6514" s="76" t="s">
        <v>3079</v>
      </c>
      <c r="B6514" s="77" t="s">
        <v>977</v>
      </c>
      <c r="C6514" s="78">
        <v>0.025</v>
      </c>
      <c r="D6514" s="78">
        <v>6.35</v>
      </c>
      <c r="E6514" s="78">
        <f>TRUNC(C6514*D6514,2)</f>
        <v>0.15</v>
      </c>
    </row>
    <row r="6515" ht="25.5" spans="1:5">
      <c r="A6515" s="76" t="s">
        <v>3081</v>
      </c>
      <c r="B6515" s="77" t="s">
        <v>979</v>
      </c>
      <c r="C6515" s="78">
        <v>0.042</v>
      </c>
      <c r="D6515" s="78">
        <v>0.86</v>
      </c>
      <c r="E6515" s="78">
        <f>TRUNC(C6515*D6515,2)</f>
        <v>0.03</v>
      </c>
    </row>
    <row r="6516" spans="1:5">
      <c r="A6516" s="76" t="s">
        <v>122</v>
      </c>
      <c r="B6516" s="77"/>
      <c r="C6516" s="78"/>
      <c r="D6516" s="78"/>
      <c r="E6516" s="78">
        <f>SUM(E6512:E6515)</f>
        <v>3.7</v>
      </c>
    </row>
    <row r="6517" spans="1:5">
      <c r="A6517" s="76"/>
      <c r="B6517" s="77"/>
      <c r="C6517" s="78"/>
      <c r="D6517" s="78"/>
      <c r="E6517" s="78"/>
    </row>
    <row r="6518" spans="1:5">
      <c r="A6518" s="76" t="s">
        <v>2538</v>
      </c>
      <c r="B6518" s="77"/>
      <c r="C6518" s="78"/>
      <c r="D6518" s="78"/>
      <c r="E6518" s="78">
        <f>E6516</f>
        <v>3.7</v>
      </c>
    </row>
    <row r="6519" spans="1:5">
      <c r="A6519" s="76" t="s">
        <v>2539</v>
      </c>
      <c r="B6519" s="77"/>
      <c r="C6519" s="78"/>
      <c r="D6519" s="78">
        <v>0</v>
      </c>
      <c r="E6519" s="78">
        <f>TRUNC(D6519*E6518/100,2)</f>
        <v>0</v>
      </c>
    </row>
    <row r="6520" spans="1:5">
      <c r="A6520" s="76" t="s">
        <v>2540</v>
      </c>
      <c r="B6520" s="77"/>
      <c r="C6520" s="78"/>
      <c r="D6520" s="78"/>
      <c r="E6520" s="78">
        <f>E6518+E6519</f>
        <v>3.7</v>
      </c>
    </row>
    <row r="6521" spans="1:5">
      <c r="A6521" s="76"/>
      <c r="B6521" s="77"/>
      <c r="C6521" s="78"/>
      <c r="D6521" s="78"/>
      <c r="E6521" s="78"/>
    </row>
    <row r="6522" spans="1:5">
      <c r="A6522" s="76" t="s">
        <v>3092</v>
      </c>
      <c r="B6522" s="77" t="s">
        <v>3985</v>
      </c>
      <c r="C6522" s="78"/>
      <c r="D6522" s="78"/>
      <c r="E6522" s="78"/>
    </row>
    <row r="6523" ht="25.5" spans="1:5">
      <c r="A6523" s="76" t="s">
        <v>3986</v>
      </c>
      <c r="B6523" s="77"/>
      <c r="C6523" s="78"/>
      <c r="D6523" s="78"/>
      <c r="E6523" s="78"/>
    </row>
    <row r="6524" spans="1:5">
      <c r="A6524" s="76" t="s">
        <v>3085</v>
      </c>
      <c r="B6524" s="77"/>
      <c r="C6524" s="78"/>
      <c r="D6524" s="78"/>
      <c r="E6524" s="78"/>
    </row>
    <row r="6525" spans="1:5">
      <c r="A6525" s="76"/>
      <c r="B6525" s="77"/>
      <c r="C6525" s="78"/>
      <c r="D6525" s="78"/>
      <c r="E6525" s="78"/>
    </row>
    <row r="6526" spans="1:5">
      <c r="A6526" s="76" t="s">
        <v>2543</v>
      </c>
      <c r="B6526" s="77" t="s">
        <v>135</v>
      </c>
      <c r="C6526" s="78" t="s">
        <v>136</v>
      </c>
      <c r="D6526" s="78" t="s">
        <v>2534</v>
      </c>
      <c r="E6526" s="78" t="s">
        <v>2535</v>
      </c>
    </row>
    <row r="6527" ht="25.5" spans="1:5">
      <c r="A6527" s="76" t="s">
        <v>3987</v>
      </c>
      <c r="B6527" s="77" t="s">
        <v>839</v>
      </c>
      <c r="C6527" s="78">
        <v>1</v>
      </c>
      <c r="D6527" s="78">
        <v>0.68</v>
      </c>
      <c r="E6527" s="78">
        <f>TRUNC(C6527*D6527,2)</f>
        <v>0.68</v>
      </c>
    </row>
    <row r="6528" ht="25.5" spans="1:5">
      <c r="A6528" s="76" t="s">
        <v>3988</v>
      </c>
      <c r="B6528" s="77" t="s">
        <v>839</v>
      </c>
      <c r="C6528" s="78">
        <v>1</v>
      </c>
      <c r="D6528" s="78">
        <v>0.18</v>
      </c>
      <c r="E6528" s="78">
        <f>TRUNC(C6528*D6528,2)</f>
        <v>0.18</v>
      </c>
    </row>
    <row r="6529" ht="25.5" spans="1:5">
      <c r="A6529" s="76" t="s">
        <v>3989</v>
      </c>
      <c r="B6529" s="77" t="s">
        <v>839</v>
      </c>
      <c r="C6529" s="78">
        <v>1</v>
      </c>
      <c r="D6529" s="78">
        <v>0.85</v>
      </c>
      <c r="E6529" s="78">
        <f>TRUNC(C6529*D6529,2)</f>
        <v>0.85</v>
      </c>
    </row>
    <row r="6530" ht="25.5" spans="1:5">
      <c r="A6530" s="76" t="s">
        <v>3990</v>
      </c>
      <c r="B6530" s="77" t="s">
        <v>839</v>
      </c>
      <c r="C6530" s="78">
        <v>1</v>
      </c>
      <c r="D6530" s="78">
        <v>4.64</v>
      </c>
      <c r="E6530" s="78">
        <f>TRUNC(C6530*D6530,2)</f>
        <v>4.64</v>
      </c>
    </row>
    <row r="6531" spans="1:5">
      <c r="A6531" s="76" t="s">
        <v>122</v>
      </c>
      <c r="B6531" s="77"/>
      <c r="C6531" s="78"/>
      <c r="D6531" s="78"/>
      <c r="E6531" s="78">
        <f>SUM(E6527:E6530)</f>
        <v>6.35</v>
      </c>
    </row>
    <row r="6532" spans="1:5">
      <c r="A6532" s="76"/>
      <c r="B6532" s="77"/>
      <c r="C6532" s="78"/>
      <c r="D6532" s="78"/>
      <c r="E6532" s="78"/>
    </row>
    <row r="6533" spans="1:5">
      <c r="A6533" s="76" t="s">
        <v>2538</v>
      </c>
      <c r="B6533" s="77"/>
      <c r="C6533" s="78"/>
      <c r="D6533" s="78"/>
      <c r="E6533" s="78">
        <f>E6531</f>
        <v>6.35</v>
      </c>
    </row>
    <row r="6534" spans="1:5">
      <c r="A6534" s="76" t="s">
        <v>2539</v>
      </c>
      <c r="B6534" s="77"/>
      <c r="C6534" s="78"/>
      <c r="D6534" s="78">
        <v>0</v>
      </c>
      <c r="E6534" s="78">
        <f>TRUNC(D6534*E6533/100,2)</f>
        <v>0</v>
      </c>
    </row>
    <row r="6535" spans="1:5">
      <c r="A6535" s="76" t="s">
        <v>2540</v>
      </c>
      <c r="B6535" s="77"/>
      <c r="C6535" s="78"/>
      <c r="D6535" s="78"/>
      <c r="E6535" s="78">
        <f>E6533+E6534</f>
        <v>6.35</v>
      </c>
    </row>
    <row r="6536" spans="1:5">
      <c r="A6536" s="76"/>
      <c r="B6536" s="77"/>
      <c r="C6536" s="78"/>
      <c r="D6536" s="78"/>
      <c r="E6536" s="78"/>
    </row>
    <row r="6537" spans="1:5">
      <c r="A6537" s="76" t="s">
        <v>3092</v>
      </c>
      <c r="B6537" s="77" t="s">
        <v>3991</v>
      </c>
      <c r="C6537" s="78"/>
      <c r="D6537" s="78"/>
      <c r="E6537" s="78"/>
    </row>
    <row r="6538" ht="25.5" spans="1:5">
      <c r="A6538" s="76" t="s">
        <v>3992</v>
      </c>
      <c r="B6538" s="77"/>
      <c r="C6538" s="78"/>
      <c r="D6538" s="78"/>
      <c r="E6538" s="78"/>
    </row>
    <row r="6539" spans="1:5">
      <c r="A6539" s="76" t="s">
        <v>2764</v>
      </c>
      <c r="B6539" s="77"/>
      <c r="C6539" s="78"/>
      <c r="D6539" s="78"/>
      <c r="E6539" s="78"/>
    </row>
    <row r="6540" spans="1:5">
      <c r="A6540" s="76"/>
      <c r="B6540" s="77"/>
      <c r="C6540" s="78"/>
      <c r="D6540" s="78"/>
      <c r="E6540" s="78"/>
    </row>
    <row r="6541" spans="1:5">
      <c r="A6541" s="76" t="s">
        <v>279</v>
      </c>
      <c r="B6541" s="77" t="s">
        <v>135</v>
      </c>
      <c r="C6541" s="78" t="s">
        <v>136</v>
      </c>
      <c r="D6541" s="78" t="s">
        <v>2534</v>
      </c>
      <c r="E6541" s="78" t="s">
        <v>2535</v>
      </c>
    </row>
    <row r="6542" ht="38.25" spans="1:5">
      <c r="A6542" s="76" t="s">
        <v>3993</v>
      </c>
      <c r="B6542" s="77" t="s">
        <v>494</v>
      </c>
      <c r="C6542" s="78">
        <v>5.33e-5</v>
      </c>
      <c r="D6542" s="78">
        <v>12782.95</v>
      </c>
      <c r="E6542" s="78">
        <f>TRUNC(C6542*D6542,2)</f>
        <v>0.68</v>
      </c>
    </row>
    <row r="6543" spans="1:5">
      <c r="A6543" s="76" t="s">
        <v>122</v>
      </c>
      <c r="B6543" s="77"/>
      <c r="C6543" s="78"/>
      <c r="D6543" s="78"/>
      <c r="E6543" s="78">
        <f>SUM(E6542:E6542)</f>
        <v>0.68</v>
      </c>
    </row>
    <row r="6544" spans="1:5">
      <c r="A6544" s="76"/>
      <c r="B6544" s="77"/>
      <c r="C6544" s="78"/>
      <c r="D6544" s="78"/>
      <c r="E6544" s="78"/>
    </row>
    <row r="6545" spans="1:5">
      <c r="A6545" s="76" t="s">
        <v>2538</v>
      </c>
      <c r="B6545" s="77"/>
      <c r="C6545" s="78"/>
      <c r="D6545" s="78"/>
      <c r="E6545" s="78">
        <f>E6543</f>
        <v>0.68</v>
      </c>
    </row>
    <row r="6546" spans="1:5">
      <c r="A6546" s="76" t="s">
        <v>2539</v>
      </c>
      <c r="B6546" s="77"/>
      <c r="C6546" s="78"/>
      <c r="D6546" s="78">
        <v>0</v>
      </c>
      <c r="E6546" s="78">
        <f>TRUNC(D6546*E6545/100,2)</f>
        <v>0</v>
      </c>
    </row>
    <row r="6547" spans="1:5">
      <c r="A6547" s="76" t="s">
        <v>2540</v>
      </c>
      <c r="B6547" s="77"/>
      <c r="C6547" s="78"/>
      <c r="D6547" s="78"/>
      <c r="E6547" s="78">
        <f>E6545+E6546</f>
        <v>0.68</v>
      </c>
    </row>
    <row r="6548" spans="1:5">
      <c r="A6548" s="76"/>
      <c r="B6548" s="77"/>
      <c r="C6548" s="78"/>
      <c r="D6548" s="78"/>
      <c r="E6548" s="78"/>
    </row>
    <row r="6549" spans="1:5">
      <c r="A6549" s="76" t="s">
        <v>3092</v>
      </c>
      <c r="B6549" s="77" t="s">
        <v>3994</v>
      </c>
      <c r="C6549" s="78"/>
      <c r="D6549" s="78"/>
      <c r="E6549" s="78"/>
    </row>
    <row r="6550" ht="25.5" spans="1:5">
      <c r="A6550" s="76" t="s">
        <v>3995</v>
      </c>
      <c r="B6550" s="77"/>
      <c r="C6550" s="78"/>
      <c r="D6550" s="78"/>
      <c r="E6550" s="78"/>
    </row>
    <row r="6551" spans="1:5">
      <c r="A6551" s="76" t="s">
        <v>2764</v>
      </c>
      <c r="B6551" s="77"/>
      <c r="C6551" s="78"/>
      <c r="D6551" s="78"/>
      <c r="E6551" s="78"/>
    </row>
    <row r="6552" spans="1:5">
      <c r="A6552" s="76"/>
      <c r="B6552" s="77"/>
      <c r="C6552" s="78"/>
      <c r="D6552" s="78"/>
      <c r="E6552" s="78"/>
    </row>
    <row r="6553" spans="1:5">
      <c r="A6553" s="76" t="s">
        <v>279</v>
      </c>
      <c r="B6553" s="77" t="s">
        <v>135</v>
      </c>
      <c r="C6553" s="78" t="s">
        <v>136</v>
      </c>
      <c r="D6553" s="78" t="s">
        <v>2534</v>
      </c>
      <c r="E6553" s="78" t="s">
        <v>2535</v>
      </c>
    </row>
    <row r="6554" ht="38.25" spans="1:5">
      <c r="A6554" s="76" t="s">
        <v>3993</v>
      </c>
      <c r="B6554" s="77" t="s">
        <v>494</v>
      </c>
      <c r="C6554" s="78">
        <v>1.43e-5</v>
      </c>
      <c r="D6554" s="78">
        <v>12782.95</v>
      </c>
      <c r="E6554" s="78">
        <f>TRUNC(C6554*D6554,2)</f>
        <v>0.18</v>
      </c>
    </row>
    <row r="6555" spans="1:5">
      <c r="A6555" s="76" t="s">
        <v>122</v>
      </c>
      <c r="B6555" s="77"/>
      <c r="C6555" s="78"/>
      <c r="D6555" s="78"/>
      <c r="E6555" s="78">
        <f>SUM(E6554:E6554)</f>
        <v>0.18</v>
      </c>
    </row>
    <row r="6556" spans="1:5">
      <c r="A6556" s="76"/>
      <c r="B6556" s="77"/>
      <c r="C6556" s="78"/>
      <c r="D6556" s="78"/>
      <c r="E6556" s="78"/>
    </row>
    <row r="6557" spans="1:5">
      <c r="A6557" s="76" t="s">
        <v>2538</v>
      </c>
      <c r="B6557" s="77"/>
      <c r="C6557" s="78"/>
      <c r="D6557" s="78"/>
      <c r="E6557" s="78">
        <f>E6555</f>
        <v>0.18</v>
      </c>
    </row>
    <row r="6558" spans="1:5">
      <c r="A6558" s="76" t="s">
        <v>2539</v>
      </c>
      <c r="B6558" s="77"/>
      <c r="C6558" s="78"/>
      <c r="D6558" s="78">
        <v>0</v>
      </c>
      <c r="E6558" s="78">
        <f>TRUNC(D6558*E6557/100,2)</f>
        <v>0</v>
      </c>
    </row>
    <row r="6559" spans="1:5">
      <c r="A6559" s="76" t="s">
        <v>2540</v>
      </c>
      <c r="B6559" s="77"/>
      <c r="C6559" s="78"/>
      <c r="D6559" s="78"/>
      <c r="E6559" s="78">
        <f>E6557+E6558</f>
        <v>0.18</v>
      </c>
    </row>
    <row r="6560" spans="1:5">
      <c r="A6560" s="76"/>
      <c r="B6560" s="77"/>
      <c r="C6560" s="78"/>
      <c r="D6560" s="78"/>
      <c r="E6560" s="78"/>
    </row>
    <row r="6561" spans="1:5">
      <c r="A6561" s="76" t="s">
        <v>3092</v>
      </c>
      <c r="B6561" s="77" t="s">
        <v>3996</v>
      </c>
      <c r="C6561" s="78"/>
      <c r="D6561" s="78"/>
      <c r="E6561" s="78"/>
    </row>
    <row r="6562" ht="25.5" spans="1:5">
      <c r="A6562" s="76" t="s">
        <v>3997</v>
      </c>
      <c r="B6562" s="77"/>
      <c r="C6562" s="78"/>
      <c r="D6562" s="78"/>
      <c r="E6562" s="78"/>
    </row>
    <row r="6563" spans="1:5">
      <c r="A6563" s="76" t="s">
        <v>2764</v>
      </c>
      <c r="B6563" s="77"/>
      <c r="C6563" s="78"/>
      <c r="D6563" s="78"/>
      <c r="E6563" s="78"/>
    </row>
    <row r="6564" spans="1:5">
      <c r="A6564" s="76"/>
      <c r="B6564" s="77"/>
      <c r="C6564" s="78"/>
      <c r="D6564" s="78"/>
      <c r="E6564" s="78"/>
    </row>
    <row r="6565" spans="1:5">
      <c r="A6565" s="76" t="s">
        <v>279</v>
      </c>
      <c r="B6565" s="77" t="s">
        <v>135</v>
      </c>
      <c r="C6565" s="78" t="s">
        <v>136</v>
      </c>
      <c r="D6565" s="78" t="s">
        <v>2534</v>
      </c>
      <c r="E6565" s="78" t="s">
        <v>2535</v>
      </c>
    </row>
    <row r="6566" ht="38.25" spans="1:5">
      <c r="A6566" s="76" t="s">
        <v>3993</v>
      </c>
      <c r="B6566" s="77" t="s">
        <v>494</v>
      </c>
      <c r="C6566" s="78">
        <v>6.67e-5</v>
      </c>
      <c r="D6566" s="78">
        <v>12782.95</v>
      </c>
      <c r="E6566" s="78">
        <f>TRUNC(C6566*D6566,2)</f>
        <v>0.85</v>
      </c>
    </row>
    <row r="6567" spans="1:5">
      <c r="A6567" s="76" t="s">
        <v>122</v>
      </c>
      <c r="B6567" s="77"/>
      <c r="C6567" s="78"/>
      <c r="D6567" s="78"/>
      <c r="E6567" s="78">
        <f>SUM(E6566:E6566)</f>
        <v>0.85</v>
      </c>
    </row>
    <row r="6568" spans="1:5">
      <c r="A6568" s="76"/>
      <c r="B6568" s="77"/>
      <c r="C6568" s="78"/>
      <c r="D6568" s="78"/>
      <c r="E6568" s="78"/>
    </row>
    <row r="6569" spans="1:5">
      <c r="A6569" s="76" t="s">
        <v>2538</v>
      </c>
      <c r="B6569" s="77"/>
      <c r="C6569" s="78"/>
      <c r="D6569" s="78"/>
      <c r="E6569" s="78">
        <f>E6567</f>
        <v>0.85</v>
      </c>
    </row>
    <row r="6570" spans="1:5">
      <c r="A6570" s="76" t="s">
        <v>2539</v>
      </c>
      <c r="B6570" s="77"/>
      <c r="C6570" s="78"/>
      <c r="D6570" s="78">
        <v>0</v>
      </c>
      <c r="E6570" s="78">
        <f>TRUNC(D6570*E6569/100,2)</f>
        <v>0</v>
      </c>
    </row>
    <row r="6571" spans="1:5">
      <c r="A6571" s="76" t="s">
        <v>2540</v>
      </c>
      <c r="B6571" s="77"/>
      <c r="C6571" s="78"/>
      <c r="D6571" s="78"/>
      <c r="E6571" s="78">
        <f>E6569+E6570</f>
        <v>0.85</v>
      </c>
    </row>
    <row r="6572" spans="1:5">
      <c r="A6572" s="76"/>
      <c r="B6572" s="77"/>
      <c r="C6572" s="78"/>
      <c r="D6572" s="78"/>
      <c r="E6572" s="78"/>
    </row>
    <row r="6573" spans="1:5">
      <c r="A6573" s="76" t="s">
        <v>3092</v>
      </c>
      <c r="B6573" s="77" t="s">
        <v>3998</v>
      </c>
      <c r="C6573" s="78"/>
      <c r="D6573" s="78"/>
      <c r="E6573" s="78"/>
    </row>
    <row r="6574" ht="25.5" spans="1:5">
      <c r="A6574" s="76" t="s">
        <v>3999</v>
      </c>
      <c r="B6574" s="77"/>
      <c r="C6574" s="78"/>
      <c r="D6574" s="78"/>
      <c r="E6574" s="78"/>
    </row>
    <row r="6575" spans="1:5">
      <c r="A6575" s="76" t="s">
        <v>2764</v>
      </c>
      <c r="B6575" s="77"/>
      <c r="C6575" s="78"/>
      <c r="D6575" s="78"/>
      <c r="E6575" s="78"/>
    </row>
    <row r="6576" spans="1:5">
      <c r="A6576" s="76"/>
      <c r="B6576" s="77"/>
      <c r="C6576" s="78"/>
      <c r="D6576" s="78"/>
      <c r="E6576" s="78"/>
    </row>
    <row r="6577" spans="1:5">
      <c r="A6577" s="76" t="s">
        <v>2543</v>
      </c>
      <c r="B6577" s="77" t="s">
        <v>135</v>
      </c>
      <c r="C6577" s="78" t="s">
        <v>136</v>
      </c>
      <c r="D6577" s="78" t="s">
        <v>2534</v>
      </c>
      <c r="E6577" s="78" t="s">
        <v>2535</v>
      </c>
    </row>
    <row r="6578" spans="1:5">
      <c r="A6578" s="76" t="s">
        <v>3366</v>
      </c>
      <c r="B6578" s="77" t="s">
        <v>215</v>
      </c>
      <c r="C6578" s="78">
        <v>0.78</v>
      </c>
      <c r="D6578" s="78">
        <v>5.96</v>
      </c>
      <c r="E6578" s="78">
        <f>TRUNC(C6578*D6578,2)</f>
        <v>4.64</v>
      </c>
    </row>
    <row r="6579" spans="1:5">
      <c r="A6579" s="76" t="s">
        <v>122</v>
      </c>
      <c r="B6579" s="77"/>
      <c r="C6579" s="78"/>
      <c r="D6579" s="78"/>
      <c r="E6579" s="78">
        <f>SUM(E6578:E6578)</f>
        <v>4.64</v>
      </c>
    </row>
    <row r="6580" spans="1:5">
      <c r="A6580" s="76"/>
      <c r="B6580" s="77"/>
      <c r="C6580" s="78"/>
      <c r="D6580" s="78"/>
      <c r="E6580" s="78"/>
    </row>
    <row r="6581" spans="1:5">
      <c r="A6581" s="76" t="s">
        <v>2538</v>
      </c>
      <c r="B6581" s="77"/>
      <c r="C6581" s="78"/>
      <c r="D6581" s="78"/>
      <c r="E6581" s="78">
        <f>E6579</f>
        <v>4.64</v>
      </c>
    </row>
    <row r="6582" spans="1:5">
      <c r="A6582" s="76" t="s">
        <v>2539</v>
      </c>
      <c r="B6582" s="77"/>
      <c r="C6582" s="78"/>
      <c r="D6582" s="78">
        <v>0</v>
      </c>
      <c r="E6582" s="78">
        <f>TRUNC(D6582*E6581/100,2)</f>
        <v>0</v>
      </c>
    </row>
    <row r="6583" spans="1:5">
      <c r="A6583" s="76" t="s">
        <v>2540</v>
      </c>
      <c r="B6583" s="77"/>
      <c r="C6583" s="78"/>
      <c r="D6583" s="78"/>
      <c r="E6583" s="78">
        <f>E6581+E6582</f>
        <v>4.64</v>
      </c>
    </row>
    <row r="6584" spans="1:5">
      <c r="A6584" s="76"/>
      <c r="B6584" s="77"/>
      <c r="C6584" s="78"/>
      <c r="D6584" s="78"/>
      <c r="E6584" s="78"/>
    </row>
    <row r="6585" spans="1:5">
      <c r="A6585" s="76" t="s">
        <v>3092</v>
      </c>
      <c r="B6585" s="77" t="s">
        <v>4000</v>
      </c>
      <c r="C6585" s="78"/>
      <c r="D6585" s="78"/>
      <c r="E6585" s="78"/>
    </row>
    <row r="6586" ht="25.5" spans="1:5">
      <c r="A6586" s="76" t="s">
        <v>4001</v>
      </c>
      <c r="B6586" s="77"/>
      <c r="C6586" s="78"/>
      <c r="D6586" s="78"/>
      <c r="E6586" s="78"/>
    </row>
    <row r="6587" spans="1:5">
      <c r="A6587" s="76" t="s">
        <v>3091</v>
      </c>
      <c r="B6587" s="77"/>
      <c r="C6587" s="78"/>
      <c r="D6587" s="78"/>
      <c r="E6587" s="78"/>
    </row>
    <row r="6588" spans="1:5">
      <c r="A6588" s="76"/>
      <c r="B6588" s="77"/>
      <c r="C6588" s="78"/>
      <c r="D6588" s="78"/>
      <c r="E6588" s="78"/>
    </row>
    <row r="6589" spans="1:5">
      <c r="A6589" s="76" t="s">
        <v>2543</v>
      </c>
      <c r="B6589" s="77" t="s">
        <v>135</v>
      </c>
      <c r="C6589" s="78" t="s">
        <v>136</v>
      </c>
      <c r="D6589" s="78" t="s">
        <v>2534</v>
      </c>
      <c r="E6589" s="78" t="s">
        <v>2535</v>
      </c>
    </row>
    <row r="6590" ht="25.5" spans="1:5">
      <c r="A6590" s="76" t="s">
        <v>3987</v>
      </c>
      <c r="B6590" s="77" t="s">
        <v>839</v>
      </c>
      <c r="C6590" s="78">
        <v>1</v>
      </c>
      <c r="D6590" s="78">
        <v>0.68</v>
      </c>
      <c r="E6590" s="78">
        <f>TRUNC(C6590*D6590,2)</f>
        <v>0.68</v>
      </c>
    </row>
    <row r="6591" ht="25.5" spans="1:5">
      <c r="A6591" s="76" t="s">
        <v>3988</v>
      </c>
      <c r="B6591" s="77" t="s">
        <v>839</v>
      </c>
      <c r="C6591" s="78">
        <v>1</v>
      </c>
      <c r="D6591" s="78">
        <v>0.18</v>
      </c>
      <c r="E6591" s="78">
        <f>TRUNC(C6591*D6591,2)</f>
        <v>0.18</v>
      </c>
    </row>
    <row r="6592" spans="1:5">
      <c r="A6592" s="76" t="s">
        <v>122</v>
      </c>
      <c r="B6592" s="77"/>
      <c r="C6592" s="78"/>
      <c r="D6592" s="78"/>
      <c r="E6592" s="78">
        <f>SUM(E6590:E6591)</f>
        <v>0.86</v>
      </c>
    </row>
    <row r="6593" spans="1:5">
      <c r="A6593" s="76"/>
      <c r="B6593" s="77"/>
      <c r="C6593" s="78"/>
      <c r="D6593" s="78"/>
      <c r="E6593" s="78"/>
    </row>
    <row r="6594" spans="1:5">
      <c r="A6594" s="76" t="s">
        <v>2538</v>
      </c>
      <c r="B6594" s="77"/>
      <c r="C6594" s="78"/>
      <c r="D6594" s="78"/>
      <c r="E6594" s="78">
        <f>E6592</f>
        <v>0.86</v>
      </c>
    </row>
    <row r="6595" spans="1:5">
      <c r="A6595" s="76" t="s">
        <v>2539</v>
      </c>
      <c r="B6595" s="77"/>
      <c r="C6595" s="78"/>
      <c r="D6595" s="78">
        <v>0</v>
      </c>
      <c r="E6595" s="78">
        <f>TRUNC(D6595*E6594/100,2)</f>
        <v>0</v>
      </c>
    </row>
    <row r="6596" spans="1:5">
      <c r="A6596" s="76" t="s">
        <v>2540</v>
      </c>
      <c r="B6596" s="77"/>
      <c r="C6596" s="78"/>
      <c r="D6596" s="78"/>
      <c r="E6596" s="78">
        <f>E6594+E6595</f>
        <v>0.86</v>
      </c>
    </row>
    <row r="6597" spans="1:5">
      <c r="A6597" s="76"/>
      <c r="B6597" s="77"/>
      <c r="C6597" s="78"/>
      <c r="D6597" s="78"/>
      <c r="E6597" s="78"/>
    </row>
    <row r="6598" spans="1:5">
      <c r="A6598" s="76" t="s">
        <v>3092</v>
      </c>
      <c r="B6598" s="77" t="s">
        <v>4002</v>
      </c>
      <c r="C6598" s="78"/>
      <c r="D6598" s="78"/>
      <c r="E6598" s="78"/>
    </row>
    <row r="6599" ht="25.5" spans="1:5">
      <c r="A6599" s="76" t="s">
        <v>4003</v>
      </c>
      <c r="B6599" s="77"/>
      <c r="C6599" s="78"/>
      <c r="D6599" s="78"/>
      <c r="E6599" s="78"/>
    </row>
    <row r="6600" spans="1:5">
      <c r="A6600" s="76" t="s">
        <v>2563</v>
      </c>
      <c r="B6600" s="77"/>
      <c r="C6600" s="78"/>
      <c r="D6600" s="78"/>
      <c r="E6600" s="78"/>
    </row>
    <row r="6601" spans="1:5">
      <c r="A6601" s="76"/>
      <c r="B6601" s="77"/>
      <c r="C6601" s="78"/>
      <c r="D6601" s="78"/>
      <c r="E6601" s="78"/>
    </row>
    <row r="6602" spans="1:5">
      <c r="A6602" s="76" t="s">
        <v>2543</v>
      </c>
      <c r="B6602" s="77" t="s">
        <v>135</v>
      </c>
      <c r="C6602" s="78" t="s">
        <v>136</v>
      </c>
      <c r="D6602" s="78" t="s">
        <v>2534</v>
      </c>
      <c r="E6602" s="78" t="s">
        <v>2535</v>
      </c>
    </row>
    <row r="6603" ht="25.5" spans="1:5">
      <c r="A6603" s="76" t="s">
        <v>2814</v>
      </c>
      <c r="B6603" s="77" t="s">
        <v>215</v>
      </c>
      <c r="C6603" s="78">
        <v>0.017</v>
      </c>
      <c r="D6603" s="78">
        <v>7.16</v>
      </c>
      <c r="E6603" s="78">
        <f t="shared" ref="E6603:E6609" si="54">TRUNC(C6603*D6603,2)</f>
        <v>0.12</v>
      </c>
    </row>
    <row r="6604" ht="25.5" spans="1:5">
      <c r="A6604" s="76" t="s">
        <v>2582</v>
      </c>
      <c r="B6604" s="77" t="s">
        <v>112</v>
      </c>
      <c r="C6604" s="78">
        <v>0.37</v>
      </c>
      <c r="D6604" s="78">
        <v>7.78</v>
      </c>
      <c r="E6604" s="78">
        <f t="shared" si="54"/>
        <v>2.87</v>
      </c>
    </row>
    <row r="6605" spans="1:5">
      <c r="A6605" s="76" t="s">
        <v>2611</v>
      </c>
      <c r="B6605" s="77" t="s">
        <v>463</v>
      </c>
      <c r="C6605" s="78">
        <v>0.095</v>
      </c>
      <c r="D6605" s="78">
        <v>18.72</v>
      </c>
      <c r="E6605" s="78">
        <f t="shared" si="54"/>
        <v>1.77</v>
      </c>
    </row>
    <row r="6606" ht="25.5" spans="1:5">
      <c r="A6606" s="76" t="s">
        <v>2834</v>
      </c>
      <c r="B6606" s="77" t="s">
        <v>112</v>
      </c>
      <c r="C6606" s="78">
        <v>0.44</v>
      </c>
      <c r="D6606" s="78">
        <v>2.72</v>
      </c>
      <c r="E6606" s="78">
        <f t="shared" si="54"/>
        <v>1.19</v>
      </c>
    </row>
    <row r="6607" ht="25.5" spans="1:5">
      <c r="A6607" s="76" t="s">
        <v>4004</v>
      </c>
      <c r="B6607" s="77" t="s">
        <v>112</v>
      </c>
      <c r="C6607" s="78">
        <v>1.38</v>
      </c>
      <c r="D6607" s="78">
        <v>18.37</v>
      </c>
      <c r="E6607" s="78">
        <f t="shared" si="54"/>
        <v>25.35</v>
      </c>
    </row>
    <row r="6608" spans="1:5">
      <c r="A6608" s="76" t="s">
        <v>2576</v>
      </c>
      <c r="B6608" s="77" t="s">
        <v>839</v>
      </c>
      <c r="C6608" s="78">
        <v>1.444</v>
      </c>
      <c r="D6608" s="78">
        <v>24.4</v>
      </c>
      <c r="E6608" s="78">
        <f t="shared" si="54"/>
        <v>35.23</v>
      </c>
    </row>
    <row r="6609" spans="1:5">
      <c r="A6609" s="76" t="s">
        <v>2577</v>
      </c>
      <c r="B6609" s="77" t="s">
        <v>839</v>
      </c>
      <c r="C6609" s="78">
        <v>2.357</v>
      </c>
      <c r="D6609" s="78">
        <v>30.91</v>
      </c>
      <c r="E6609" s="78">
        <f t="shared" si="54"/>
        <v>72.85</v>
      </c>
    </row>
    <row r="6610" spans="1:5">
      <c r="A6610" s="76" t="s">
        <v>122</v>
      </c>
      <c r="B6610" s="77"/>
      <c r="C6610" s="78"/>
      <c r="D6610" s="78"/>
      <c r="E6610" s="78">
        <f>SUM(E6603:E6609)</f>
        <v>139.38</v>
      </c>
    </row>
    <row r="6611" spans="1:5">
      <c r="A6611" s="76"/>
      <c r="B6611" s="77"/>
      <c r="C6611" s="78"/>
      <c r="D6611" s="78"/>
      <c r="E6611" s="78"/>
    </row>
    <row r="6612" spans="1:5">
      <c r="A6612" s="76" t="s">
        <v>2538</v>
      </c>
      <c r="B6612" s="77"/>
      <c r="C6612" s="78"/>
      <c r="D6612" s="78"/>
      <c r="E6612" s="78">
        <f>E6610</f>
        <v>139.38</v>
      </c>
    </row>
    <row r="6613" spans="1:5">
      <c r="A6613" s="76" t="s">
        <v>2539</v>
      </c>
      <c r="B6613" s="77"/>
      <c r="C6613" s="78"/>
      <c r="D6613" s="78">
        <v>0</v>
      </c>
      <c r="E6613" s="78">
        <f>TRUNC(D6613*E6612/100,2)</f>
        <v>0</v>
      </c>
    </row>
    <row r="6614" spans="1:5">
      <c r="A6614" s="76" t="s">
        <v>2540</v>
      </c>
      <c r="B6614" s="77"/>
      <c r="C6614" s="78"/>
      <c r="D6614" s="78"/>
      <c r="E6614" s="78">
        <f>E6612+E6613</f>
        <v>139.38</v>
      </c>
    </row>
    <row r="6615" spans="1:5">
      <c r="A6615" s="76"/>
      <c r="B6615" s="77"/>
      <c r="C6615" s="78"/>
      <c r="D6615" s="78"/>
      <c r="E6615" s="78"/>
    </row>
    <row r="6616" spans="1:5">
      <c r="A6616" s="76" t="s">
        <v>3092</v>
      </c>
      <c r="B6616" s="77" t="s">
        <v>4005</v>
      </c>
      <c r="C6616" s="78"/>
      <c r="D6616" s="78"/>
      <c r="E6616" s="78"/>
    </row>
    <row r="6617" ht="25.5" spans="1:5">
      <c r="A6617" s="76" t="s">
        <v>4006</v>
      </c>
      <c r="B6617" s="77"/>
      <c r="C6617" s="78"/>
      <c r="D6617" s="78"/>
      <c r="E6617" s="78"/>
    </row>
    <row r="6618" spans="1:5">
      <c r="A6618" s="76" t="s">
        <v>2563</v>
      </c>
      <c r="B6618" s="77"/>
      <c r="C6618" s="78"/>
      <c r="D6618" s="78"/>
      <c r="E6618" s="78"/>
    </row>
    <row r="6619" spans="1:5">
      <c r="A6619" s="76"/>
      <c r="B6619" s="77"/>
      <c r="C6619" s="78"/>
      <c r="D6619" s="78"/>
      <c r="E6619" s="78"/>
    </row>
    <row r="6620" spans="1:5">
      <c r="A6620" s="76" t="s">
        <v>2543</v>
      </c>
      <c r="B6620" s="77" t="s">
        <v>135</v>
      </c>
      <c r="C6620" s="78" t="s">
        <v>136</v>
      </c>
      <c r="D6620" s="78" t="s">
        <v>2534</v>
      </c>
      <c r="E6620" s="78" t="s">
        <v>2535</v>
      </c>
    </row>
    <row r="6621" spans="1:5">
      <c r="A6621" s="76" t="s">
        <v>4007</v>
      </c>
      <c r="B6621" s="77" t="s">
        <v>466</v>
      </c>
      <c r="C6621" s="78">
        <v>1.04</v>
      </c>
      <c r="D6621" s="78">
        <v>2.76</v>
      </c>
      <c r="E6621" s="78">
        <f>TRUNC(C6621*D6621,2)</f>
        <v>2.87</v>
      </c>
    </row>
    <row r="6622" spans="1:5">
      <c r="A6622" s="76" t="s">
        <v>2621</v>
      </c>
      <c r="B6622" s="77" t="s">
        <v>839</v>
      </c>
      <c r="C6622" s="78">
        <v>0.005</v>
      </c>
      <c r="D6622" s="78">
        <v>23.75</v>
      </c>
      <c r="E6622" s="78">
        <f>TRUNC(C6622*D6622,2)</f>
        <v>0.11</v>
      </c>
    </row>
    <row r="6623" spans="1:5">
      <c r="A6623" s="76" t="s">
        <v>2630</v>
      </c>
      <c r="B6623" s="77" t="s">
        <v>839</v>
      </c>
      <c r="C6623" s="78">
        <v>0.014</v>
      </c>
      <c r="D6623" s="78">
        <v>31.34</v>
      </c>
      <c r="E6623" s="78">
        <f>TRUNC(C6623*D6623,2)</f>
        <v>0.43</v>
      </c>
    </row>
    <row r="6624" spans="1:5">
      <c r="A6624" s="76" t="s">
        <v>122</v>
      </c>
      <c r="B6624" s="77"/>
      <c r="C6624" s="78"/>
      <c r="D6624" s="78"/>
      <c r="E6624" s="78">
        <f>SUM(E6621:E6623)</f>
        <v>3.41</v>
      </c>
    </row>
    <row r="6625" spans="1:5">
      <c r="A6625" s="76"/>
      <c r="B6625" s="77"/>
      <c r="C6625" s="78"/>
      <c r="D6625" s="78"/>
      <c r="E6625" s="78"/>
    </row>
    <row r="6626" spans="1:5">
      <c r="A6626" s="76" t="s">
        <v>2538</v>
      </c>
      <c r="B6626" s="77"/>
      <c r="C6626" s="78"/>
      <c r="D6626" s="78"/>
      <c r="E6626" s="78">
        <f>E6624</f>
        <v>3.41</v>
      </c>
    </row>
    <row r="6627" spans="1:5">
      <c r="A6627" s="76" t="s">
        <v>2539</v>
      </c>
      <c r="B6627" s="77"/>
      <c r="C6627" s="78"/>
      <c r="D6627" s="78">
        <v>0</v>
      </c>
      <c r="E6627" s="78">
        <f>TRUNC(D6627*E6626/100,2)</f>
        <v>0</v>
      </c>
    </row>
    <row r="6628" spans="1:5">
      <c r="A6628" s="76" t="s">
        <v>2540</v>
      </c>
      <c r="B6628" s="77"/>
      <c r="C6628" s="78"/>
      <c r="D6628" s="78"/>
      <c r="E6628" s="78">
        <f>E6626+E6627</f>
        <v>3.41</v>
      </c>
    </row>
    <row r="6629" spans="1:5">
      <c r="A6629" s="76"/>
      <c r="B6629" s="77"/>
      <c r="C6629" s="78"/>
      <c r="D6629" s="78"/>
      <c r="E6629" s="78"/>
    </row>
    <row r="6630" spans="1:5">
      <c r="A6630" s="76" t="s">
        <v>3092</v>
      </c>
      <c r="B6630" s="77" t="s">
        <v>4008</v>
      </c>
      <c r="C6630" s="78"/>
      <c r="D6630" s="78"/>
      <c r="E6630" s="78"/>
    </row>
    <row r="6631" ht="25.5" spans="1:5">
      <c r="A6631" s="76" t="s">
        <v>4009</v>
      </c>
      <c r="B6631" s="77"/>
      <c r="C6631" s="78"/>
      <c r="D6631" s="78"/>
      <c r="E6631" s="78"/>
    </row>
    <row r="6632" spans="1:5">
      <c r="A6632" s="76" t="s">
        <v>2776</v>
      </c>
      <c r="B6632" s="77"/>
      <c r="C6632" s="78"/>
      <c r="D6632" s="78"/>
      <c r="E6632" s="78"/>
    </row>
    <row r="6633" spans="1:5">
      <c r="A6633" s="76"/>
      <c r="B6633" s="77"/>
      <c r="C6633" s="78"/>
      <c r="D6633" s="78"/>
      <c r="E6633" s="78"/>
    </row>
    <row r="6634" spans="1:5">
      <c r="A6634" s="76" t="s">
        <v>2543</v>
      </c>
      <c r="B6634" s="77" t="s">
        <v>135</v>
      </c>
      <c r="C6634" s="78" t="s">
        <v>136</v>
      </c>
      <c r="D6634" s="78" t="s">
        <v>2534</v>
      </c>
      <c r="E6634" s="78" t="s">
        <v>2535</v>
      </c>
    </row>
    <row r="6635" ht="25.5" spans="1:5">
      <c r="A6635" s="76" t="s">
        <v>2777</v>
      </c>
      <c r="B6635" s="77" t="s">
        <v>463</v>
      </c>
      <c r="C6635" s="78">
        <v>0.011</v>
      </c>
      <c r="D6635" s="78">
        <v>19.38</v>
      </c>
      <c r="E6635" s="78">
        <f>TRUNC(C6635*D6635,2)</f>
        <v>0.21</v>
      </c>
    </row>
    <row r="6636" ht="25.5" spans="1:5">
      <c r="A6636" s="76" t="s">
        <v>2915</v>
      </c>
      <c r="B6636" s="77" t="s">
        <v>466</v>
      </c>
      <c r="C6636" s="78">
        <v>0.392</v>
      </c>
      <c r="D6636" s="78">
        <v>27.68</v>
      </c>
      <c r="E6636" s="78">
        <f>TRUNC(C6636*D6636,2)</f>
        <v>10.85</v>
      </c>
    </row>
    <row r="6637" ht="25.5" spans="1:5">
      <c r="A6637" s="76" t="s">
        <v>4010</v>
      </c>
      <c r="B6637" s="77" t="s">
        <v>112</v>
      </c>
      <c r="C6637" s="78">
        <v>0.322</v>
      </c>
      <c r="D6637" s="78">
        <v>6.31</v>
      </c>
      <c r="E6637" s="78">
        <f>TRUNC(C6637*D6637,2)</f>
        <v>2.03</v>
      </c>
    </row>
    <row r="6638" spans="1:5">
      <c r="A6638" s="76" t="s">
        <v>2779</v>
      </c>
      <c r="B6638" s="77" t="s">
        <v>839</v>
      </c>
      <c r="C6638" s="78">
        <v>0.008</v>
      </c>
      <c r="D6638" s="78">
        <v>24.57</v>
      </c>
      <c r="E6638" s="78">
        <f>TRUNC(C6638*D6638,2)</f>
        <v>0.19</v>
      </c>
    </row>
    <row r="6639" spans="1:5">
      <c r="A6639" s="76" t="s">
        <v>2780</v>
      </c>
      <c r="B6639" s="77" t="s">
        <v>839</v>
      </c>
      <c r="C6639" s="78">
        <v>0.024</v>
      </c>
      <c r="D6639" s="78">
        <v>31.13</v>
      </c>
      <c r="E6639" s="78">
        <f>TRUNC(C6639*D6639,2)</f>
        <v>0.74</v>
      </c>
    </row>
    <row r="6640" spans="1:5">
      <c r="A6640" s="76" t="s">
        <v>122</v>
      </c>
      <c r="B6640" s="77"/>
      <c r="C6640" s="78"/>
      <c r="D6640" s="78"/>
      <c r="E6640" s="78">
        <f>SUM(E6635:E6639)</f>
        <v>14.02</v>
      </c>
    </row>
    <row r="6641" spans="1:5">
      <c r="A6641" s="76"/>
      <c r="B6641" s="77"/>
      <c r="C6641" s="78"/>
      <c r="D6641" s="78"/>
      <c r="E6641" s="78"/>
    </row>
    <row r="6642" spans="1:5">
      <c r="A6642" s="76" t="s">
        <v>2538</v>
      </c>
      <c r="B6642" s="77"/>
      <c r="C6642" s="78"/>
      <c r="D6642" s="78"/>
      <c r="E6642" s="78">
        <f>E6640</f>
        <v>14.02</v>
      </c>
    </row>
    <row r="6643" spans="1:5">
      <c r="A6643" s="76" t="s">
        <v>2539</v>
      </c>
      <c r="B6643" s="77"/>
      <c r="C6643" s="78"/>
      <c r="D6643" s="78">
        <v>0</v>
      </c>
      <c r="E6643" s="78">
        <f>TRUNC(D6643*E6642/100,2)</f>
        <v>0</v>
      </c>
    </row>
    <row r="6644" spans="1:5">
      <c r="A6644" s="76" t="s">
        <v>2540</v>
      </c>
      <c r="B6644" s="77"/>
      <c r="C6644" s="78"/>
      <c r="D6644" s="78"/>
      <c r="E6644" s="78">
        <f>E6642+E6643</f>
        <v>14.02</v>
      </c>
    </row>
    <row r="6645" spans="1:5">
      <c r="A6645" s="76"/>
      <c r="B6645" s="77"/>
      <c r="C6645" s="78"/>
      <c r="D6645" s="78"/>
      <c r="E6645" s="78"/>
    </row>
    <row r="6646" spans="1:5">
      <c r="A6646" s="76" t="s">
        <v>3092</v>
      </c>
      <c r="B6646" s="77" t="s">
        <v>4011</v>
      </c>
      <c r="C6646" s="78"/>
      <c r="D6646" s="78"/>
      <c r="E6646" s="78"/>
    </row>
    <row r="6647" ht="25.5" spans="1:5">
      <c r="A6647" s="76" t="s">
        <v>4012</v>
      </c>
      <c r="B6647" s="77"/>
      <c r="C6647" s="78"/>
      <c r="D6647" s="78"/>
      <c r="E6647" s="78"/>
    </row>
    <row r="6648" spans="1:5">
      <c r="A6648" s="76" t="s">
        <v>2619</v>
      </c>
      <c r="B6648" s="77"/>
      <c r="C6648" s="78"/>
      <c r="D6648" s="78"/>
      <c r="E6648" s="78"/>
    </row>
    <row r="6649" spans="1:5">
      <c r="A6649" s="76"/>
      <c r="B6649" s="77"/>
      <c r="C6649" s="78"/>
      <c r="D6649" s="78"/>
      <c r="E6649" s="78"/>
    </row>
    <row r="6650" spans="1:5">
      <c r="A6650" s="76" t="s">
        <v>2543</v>
      </c>
      <c r="B6650" s="77" t="s">
        <v>135</v>
      </c>
      <c r="C6650" s="78" t="s">
        <v>136</v>
      </c>
      <c r="D6650" s="78" t="s">
        <v>2534</v>
      </c>
      <c r="E6650" s="78" t="s">
        <v>2535</v>
      </c>
    </row>
    <row r="6651" ht="38.25" spans="1:5">
      <c r="A6651" s="76" t="s">
        <v>4013</v>
      </c>
      <c r="B6651" s="77" t="s">
        <v>476</v>
      </c>
      <c r="C6651" s="78">
        <v>1.06</v>
      </c>
      <c r="D6651" s="78">
        <v>539.62</v>
      </c>
      <c r="E6651" s="78">
        <f>TRUNC(C6651*D6651,2)</f>
        <v>571.99</v>
      </c>
    </row>
    <row r="6652" spans="1:5">
      <c r="A6652" s="76" t="s">
        <v>2621</v>
      </c>
      <c r="B6652" s="77" t="s">
        <v>839</v>
      </c>
      <c r="C6652" s="78">
        <v>0.411</v>
      </c>
      <c r="D6652" s="78">
        <v>23.75</v>
      </c>
      <c r="E6652" s="78">
        <f>TRUNC(C6652*D6652,2)</f>
        <v>9.76</v>
      </c>
    </row>
    <row r="6653" spans="1:5">
      <c r="A6653" s="76" t="s">
        <v>2630</v>
      </c>
      <c r="B6653" s="77" t="s">
        <v>839</v>
      </c>
      <c r="C6653" s="78">
        <v>0.411</v>
      </c>
      <c r="D6653" s="78">
        <v>31.34</v>
      </c>
      <c r="E6653" s="78">
        <f>TRUNC(C6653*D6653,2)</f>
        <v>12.88</v>
      </c>
    </row>
    <row r="6654" ht="25.5" spans="1:5">
      <c r="A6654" s="76" t="s">
        <v>2818</v>
      </c>
      <c r="B6654" s="77" t="s">
        <v>977</v>
      </c>
      <c r="C6654" s="78">
        <v>0.053</v>
      </c>
      <c r="D6654" s="78">
        <v>1.23</v>
      </c>
      <c r="E6654" s="78">
        <f>TRUNC(C6654*D6654,2)</f>
        <v>0.06</v>
      </c>
    </row>
    <row r="6655" ht="25.5" spans="1:5">
      <c r="A6655" s="76" t="s">
        <v>2819</v>
      </c>
      <c r="B6655" s="77" t="s">
        <v>979</v>
      </c>
      <c r="C6655" s="78">
        <v>0.049</v>
      </c>
      <c r="D6655" s="78">
        <v>0.53</v>
      </c>
      <c r="E6655" s="78">
        <f>TRUNC(C6655*D6655,2)</f>
        <v>0.02</v>
      </c>
    </row>
    <row r="6656" spans="1:5">
      <c r="A6656" s="76" t="s">
        <v>122</v>
      </c>
      <c r="B6656" s="77"/>
      <c r="C6656" s="78"/>
      <c r="D6656" s="78"/>
      <c r="E6656" s="78">
        <f>SUM(E6651:E6655)</f>
        <v>594.71</v>
      </c>
    </row>
    <row r="6657" spans="1:5">
      <c r="A6657" s="76"/>
      <c r="B6657" s="77"/>
      <c r="C6657" s="78"/>
      <c r="D6657" s="78"/>
      <c r="E6657" s="78"/>
    </row>
    <row r="6658" spans="1:5">
      <c r="A6658" s="76" t="s">
        <v>2538</v>
      </c>
      <c r="B6658" s="77"/>
      <c r="C6658" s="78"/>
      <c r="D6658" s="78"/>
      <c r="E6658" s="78">
        <f>E6656</f>
        <v>594.71</v>
      </c>
    </row>
    <row r="6659" spans="1:5">
      <c r="A6659" s="76" t="s">
        <v>2539</v>
      </c>
      <c r="B6659" s="77"/>
      <c r="C6659" s="78"/>
      <c r="D6659" s="78">
        <v>0</v>
      </c>
      <c r="E6659" s="78">
        <f>TRUNC(D6659*E6658/100,2)</f>
        <v>0</v>
      </c>
    </row>
    <row r="6660" spans="1:5">
      <c r="A6660" s="76" t="s">
        <v>2540</v>
      </c>
      <c r="B6660" s="77"/>
      <c r="C6660" s="78"/>
      <c r="D6660" s="78"/>
      <c r="E6660" s="78">
        <f>E6658+E6659</f>
        <v>594.71</v>
      </c>
    </row>
    <row r="6661" spans="1:5">
      <c r="A6661" s="76"/>
      <c r="B6661" s="77"/>
      <c r="C6661" s="78"/>
      <c r="D6661" s="78"/>
      <c r="E6661" s="78"/>
    </row>
    <row r="6662" spans="1:5">
      <c r="A6662" s="76" t="s">
        <v>3092</v>
      </c>
      <c r="B6662" s="77" t="s">
        <v>4014</v>
      </c>
      <c r="C6662" s="78"/>
      <c r="D6662" s="78"/>
      <c r="E6662" s="78"/>
    </row>
    <row r="6663" ht="25.5" spans="1:5">
      <c r="A6663" s="76" t="s">
        <v>4015</v>
      </c>
      <c r="B6663" s="77"/>
      <c r="C6663" s="78"/>
      <c r="D6663" s="78"/>
      <c r="E6663" s="78"/>
    </row>
    <row r="6664" spans="1:5">
      <c r="A6664" s="76" t="s">
        <v>2563</v>
      </c>
      <c r="B6664" s="77"/>
      <c r="C6664" s="78"/>
      <c r="D6664" s="78"/>
      <c r="E6664" s="78"/>
    </row>
    <row r="6665" spans="1:5">
      <c r="A6665" s="76"/>
      <c r="B6665" s="77"/>
      <c r="C6665" s="78"/>
      <c r="D6665" s="78"/>
      <c r="E6665" s="78"/>
    </row>
    <row r="6666" spans="1:5">
      <c r="A6666" s="76" t="s">
        <v>2543</v>
      </c>
      <c r="B6666" s="77" t="s">
        <v>135</v>
      </c>
      <c r="C6666" s="78" t="s">
        <v>136</v>
      </c>
      <c r="D6666" s="78" t="s">
        <v>2534</v>
      </c>
      <c r="E6666" s="78" t="s">
        <v>2535</v>
      </c>
    </row>
    <row r="6667" ht="25.5" spans="1:5">
      <c r="A6667" s="76" t="s">
        <v>4016</v>
      </c>
      <c r="B6667" s="77" t="s">
        <v>463</v>
      </c>
      <c r="C6667" s="78">
        <v>4</v>
      </c>
      <c r="D6667" s="78">
        <v>9.17</v>
      </c>
      <c r="E6667" s="78">
        <f>TRUNC(C6667*D6667,2)</f>
        <v>36.68</v>
      </c>
    </row>
    <row r="6668" spans="1:5">
      <c r="A6668" s="76" t="s">
        <v>2630</v>
      </c>
      <c r="B6668" s="77" t="s">
        <v>839</v>
      </c>
      <c r="C6668" s="78">
        <v>0.088</v>
      </c>
      <c r="D6668" s="78">
        <v>31.34</v>
      </c>
      <c r="E6668" s="78">
        <f>TRUNC(C6668*D6668,2)</f>
        <v>2.75</v>
      </c>
    </row>
    <row r="6669" ht="25.5" spans="1:5">
      <c r="A6669" s="76" t="s">
        <v>4017</v>
      </c>
      <c r="B6669" s="77" t="s">
        <v>977</v>
      </c>
      <c r="C6669" s="78">
        <v>0.007</v>
      </c>
      <c r="D6669" s="78">
        <v>9.88</v>
      </c>
      <c r="E6669" s="78">
        <f>TRUNC(C6669*D6669,2)</f>
        <v>0.06</v>
      </c>
    </row>
    <row r="6670" spans="1:5">
      <c r="A6670" s="76" t="s">
        <v>122</v>
      </c>
      <c r="B6670" s="77"/>
      <c r="C6670" s="78"/>
      <c r="D6670" s="78"/>
      <c r="E6670" s="78">
        <f>SUM(E6667:E6669)</f>
        <v>39.49</v>
      </c>
    </row>
    <row r="6671" spans="1:5">
      <c r="A6671" s="76"/>
      <c r="B6671" s="77"/>
      <c r="C6671" s="78"/>
      <c r="D6671" s="78"/>
      <c r="E6671" s="78"/>
    </row>
    <row r="6672" spans="1:5">
      <c r="A6672" s="76" t="s">
        <v>2538</v>
      </c>
      <c r="B6672" s="77"/>
      <c r="C6672" s="78"/>
      <c r="D6672" s="78"/>
      <c r="E6672" s="78">
        <f>E6670</f>
        <v>39.49</v>
      </c>
    </row>
    <row r="6673" spans="1:5">
      <c r="A6673" s="76" t="s">
        <v>2539</v>
      </c>
      <c r="B6673" s="77"/>
      <c r="C6673" s="78"/>
      <c r="D6673" s="78">
        <v>0</v>
      </c>
      <c r="E6673" s="78">
        <f>TRUNC(D6673*E6672/100,2)</f>
        <v>0</v>
      </c>
    </row>
    <row r="6674" spans="1:5">
      <c r="A6674" s="76" t="s">
        <v>2540</v>
      </c>
      <c r="B6674" s="77"/>
      <c r="C6674" s="78"/>
      <c r="D6674" s="78"/>
      <c r="E6674" s="78">
        <f>E6672+E6673</f>
        <v>39.49</v>
      </c>
    </row>
    <row r="6675" spans="1:5">
      <c r="A6675" s="76"/>
      <c r="B6675" s="77"/>
      <c r="C6675" s="78"/>
      <c r="D6675" s="78"/>
      <c r="E6675" s="78"/>
    </row>
    <row r="6676" spans="1:5">
      <c r="A6676" s="76" t="s">
        <v>3092</v>
      </c>
      <c r="B6676" s="77" t="s">
        <v>4018</v>
      </c>
      <c r="C6676" s="78"/>
      <c r="D6676" s="78"/>
      <c r="E6676" s="78"/>
    </row>
    <row r="6677" ht="25.5" spans="1:5">
      <c r="A6677" s="76" t="s">
        <v>4019</v>
      </c>
      <c r="B6677" s="77"/>
      <c r="C6677" s="78"/>
      <c r="D6677" s="78"/>
      <c r="E6677" s="78"/>
    </row>
    <row r="6678" spans="1:5">
      <c r="A6678" s="76" t="s">
        <v>3085</v>
      </c>
      <c r="B6678" s="77"/>
      <c r="C6678" s="78"/>
      <c r="D6678" s="78"/>
      <c r="E6678" s="78"/>
    </row>
    <row r="6679" spans="1:5">
      <c r="A6679" s="76"/>
      <c r="B6679" s="77"/>
      <c r="C6679" s="78"/>
      <c r="D6679" s="78"/>
      <c r="E6679" s="78"/>
    </row>
    <row r="6680" spans="1:5">
      <c r="A6680" s="76" t="s">
        <v>2543</v>
      </c>
      <c r="B6680" s="77" t="s">
        <v>135</v>
      </c>
      <c r="C6680" s="78" t="s">
        <v>136</v>
      </c>
      <c r="D6680" s="78" t="s">
        <v>2534</v>
      </c>
      <c r="E6680" s="78" t="s">
        <v>2535</v>
      </c>
    </row>
    <row r="6681" ht="25.5" spans="1:5">
      <c r="A6681" s="76" t="s">
        <v>4020</v>
      </c>
      <c r="B6681" s="77" t="s">
        <v>839</v>
      </c>
      <c r="C6681" s="78">
        <v>1</v>
      </c>
      <c r="D6681" s="78">
        <v>0.6</v>
      </c>
      <c r="E6681" s="78">
        <f>TRUNC(C6681*D6681,2)</f>
        <v>0.6</v>
      </c>
    </row>
    <row r="6682" ht="25.5" spans="1:5">
      <c r="A6682" s="76" t="s">
        <v>4021</v>
      </c>
      <c r="B6682" s="77" t="s">
        <v>839</v>
      </c>
      <c r="C6682" s="78">
        <v>1</v>
      </c>
      <c r="D6682" s="78">
        <v>0.12</v>
      </c>
      <c r="E6682" s="78">
        <f>TRUNC(C6682*D6682,2)</f>
        <v>0.12</v>
      </c>
    </row>
    <row r="6683" ht="25.5" spans="1:5">
      <c r="A6683" s="76" t="s">
        <v>4022</v>
      </c>
      <c r="B6683" s="77" t="s">
        <v>839</v>
      </c>
      <c r="C6683" s="78">
        <v>1</v>
      </c>
      <c r="D6683" s="78">
        <v>0.58</v>
      </c>
      <c r="E6683" s="78">
        <f>TRUNC(C6683*D6683,2)</f>
        <v>0.58</v>
      </c>
    </row>
    <row r="6684" ht="25.5" spans="1:5">
      <c r="A6684" s="76" t="s">
        <v>4023</v>
      </c>
      <c r="B6684" s="77" t="s">
        <v>839</v>
      </c>
      <c r="C6684" s="78">
        <v>1</v>
      </c>
      <c r="D6684" s="78">
        <v>8.58</v>
      </c>
      <c r="E6684" s="78">
        <f>TRUNC(C6684*D6684,2)</f>
        <v>8.58</v>
      </c>
    </row>
    <row r="6685" spans="1:5">
      <c r="A6685" s="76" t="s">
        <v>122</v>
      </c>
      <c r="B6685" s="77"/>
      <c r="C6685" s="78"/>
      <c r="D6685" s="78"/>
      <c r="E6685" s="78">
        <f>SUM(E6681:E6684)</f>
        <v>9.88</v>
      </c>
    </row>
    <row r="6686" spans="1:5">
      <c r="A6686" s="76"/>
      <c r="B6686" s="77"/>
      <c r="C6686" s="78"/>
      <c r="D6686" s="78"/>
      <c r="E6686" s="78"/>
    </row>
    <row r="6687" spans="1:5">
      <c r="A6687" s="76" t="s">
        <v>2538</v>
      </c>
      <c r="B6687" s="77"/>
      <c r="C6687" s="78"/>
      <c r="D6687" s="78"/>
      <c r="E6687" s="78">
        <f>E6685</f>
        <v>9.88</v>
      </c>
    </row>
    <row r="6688" spans="1:5">
      <c r="A6688" s="76" t="s">
        <v>2539</v>
      </c>
      <c r="B6688" s="77"/>
      <c r="C6688" s="78"/>
      <c r="D6688" s="78">
        <v>0</v>
      </c>
      <c r="E6688" s="78">
        <f>TRUNC(D6688*E6687/100,2)</f>
        <v>0</v>
      </c>
    </row>
    <row r="6689" spans="1:5">
      <c r="A6689" s="76" t="s">
        <v>2540</v>
      </c>
      <c r="B6689" s="77"/>
      <c r="C6689" s="78"/>
      <c r="D6689" s="78"/>
      <c r="E6689" s="78">
        <f>E6687+E6688</f>
        <v>9.88</v>
      </c>
    </row>
    <row r="6690" spans="1:5">
      <c r="A6690" s="76"/>
      <c r="B6690" s="77"/>
      <c r="C6690" s="78"/>
      <c r="D6690" s="78"/>
      <c r="E6690" s="78"/>
    </row>
    <row r="6691" spans="1:5">
      <c r="A6691" s="76" t="s">
        <v>3092</v>
      </c>
      <c r="B6691" s="77" t="s">
        <v>4024</v>
      </c>
      <c r="C6691" s="78"/>
      <c r="D6691" s="78"/>
      <c r="E6691" s="78"/>
    </row>
    <row r="6692" ht="25.5" spans="1:5">
      <c r="A6692" s="76" t="s">
        <v>4025</v>
      </c>
      <c r="B6692" s="77"/>
      <c r="C6692" s="78"/>
      <c r="D6692" s="78"/>
      <c r="E6692" s="78"/>
    </row>
    <row r="6693" spans="1:5">
      <c r="A6693" s="76" t="s">
        <v>2764</v>
      </c>
      <c r="B6693" s="77"/>
      <c r="C6693" s="78"/>
      <c r="D6693" s="78"/>
      <c r="E6693" s="78"/>
    </row>
    <row r="6694" spans="1:5">
      <c r="A6694" s="76"/>
      <c r="B6694" s="77"/>
      <c r="C6694" s="78"/>
      <c r="D6694" s="78"/>
      <c r="E6694" s="78"/>
    </row>
    <row r="6695" spans="1:5">
      <c r="A6695" s="76" t="s">
        <v>2543</v>
      </c>
      <c r="B6695" s="77" t="s">
        <v>135</v>
      </c>
      <c r="C6695" s="78" t="s">
        <v>136</v>
      </c>
      <c r="D6695" s="78" t="s">
        <v>2534</v>
      </c>
      <c r="E6695" s="78" t="s">
        <v>2535</v>
      </c>
    </row>
    <row r="6696" ht="25.5" spans="1:5">
      <c r="A6696" s="76" t="s">
        <v>4026</v>
      </c>
      <c r="B6696" s="77" t="s">
        <v>494</v>
      </c>
      <c r="C6696" s="78">
        <v>7.2e-5</v>
      </c>
      <c r="D6696" s="78">
        <v>8337.53</v>
      </c>
      <c r="E6696" s="78">
        <f>TRUNC(C6696*D6696,2)</f>
        <v>0.6</v>
      </c>
    </row>
    <row r="6697" spans="1:5">
      <c r="A6697" s="76" t="s">
        <v>122</v>
      </c>
      <c r="B6697" s="77"/>
      <c r="C6697" s="78"/>
      <c r="D6697" s="78"/>
      <c r="E6697" s="78">
        <f>SUM(E6696:E6696)</f>
        <v>0.6</v>
      </c>
    </row>
    <row r="6698" spans="1:5">
      <c r="A6698" s="76"/>
      <c r="B6698" s="77"/>
      <c r="C6698" s="78"/>
      <c r="D6698" s="78"/>
      <c r="E6698" s="78"/>
    </row>
    <row r="6699" spans="1:5">
      <c r="A6699" s="76" t="s">
        <v>2538</v>
      </c>
      <c r="B6699" s="77"/>
      <c r="C6699" s="78"/>
      <c r="D6699" s="78"/>
      <c r="E6699" s="78">
        <f>E6697</f>
        <v>0.6</v>
      </c>
    </row>
    <row r="6700" spans="1:5">
      <c r="A6700" s="76" t="s">
        <v>2539</v>
      </c>
      <c r="B6700" s="77"/>
      <c r="C6700" s="78"/>
      <c r="D6700" s="78">
        <v>0</v>
      </c>
      <c r="E6700" s="78">
        <f>TRUNC(D6700*E6699/100,2)</f>
        <v>0</v>
      </c>
    </row>
    <row r="6701" spans="1:5">
      <c r="A6701" s="76" t="s">
        <v>2540</v>
      </c>
      <c r="B6701" s="77"/>
      <c r="C6701" s="78"/>
      <c r="D6701" s="78"/>
      <c r="E6701" s="78">
        <f>E6699+E6700</f>
        <v>0.6</v>
      </c>
    </row>
    <row r="6702" spans="1:5">
      <c r="A6702" s="76"/>
      <c r="B6702" s="77"/>
      <c r="C6702" s="78"/>
      <c r="D6702" s="78"/>
      <c r="E6702" s="78"/>
    </row>
    <row r="6703" spans="1:5">
      <c r="A6703" s="76" t="s">
        <v>3092</v>
      </c>
      <c r="B6703" s="77" t="s">
        <v>4027</v>
      </c>
      <c r="C6703" s="78"/>
      <c r="D6703" s="78"/>
      <c r="E6703" s="78"/>
    </row>
    <row r="6704" ht="25.5" spans="1:5">
      <c r="A6704" s="76" t="s">
        <v>4028</v>
      </c>
      <c r="B6704" s="77"/>
      <c r="C6704" s="78"/>
      <c r="D6704" s="78"/>
      <c r="E6704" s="78"/>
    </row>
    <row r="6705" spans="1:5">
      <c r="A6705" s="76" t="s">
        <v>2764</v>
      </c>
      <c r="B6705" s="77"/>
      <c r="C6705" s="78"/>
      <c r="D6705" s="78"/>
      <c r="E6705" s="78"/>
    </row>
    <row r="6706" spans="1:5">
      <c r="A6706" s="76"/>
      <c r="B6706" s="77"/>
      <c r="C6706" s="78"/>
      <c r="D6706" s="78"/>
      <c r="E6706" s="78"/>
    </row>
    <row r="6707" spans="1:5">
      <c r="A6707" s="76" t="s">
        <v>2543</v>
      </c>
      <c r="B6707" s="77" t="s">
        <v>135</v>
      </c>
      <c r="C6707" s="78" t="s">
        <v>136</v>
      </c>
      <c r="D6707" s="78" t="s">
        <v>2534</v>
      </c>
      <c r="E6707" s="78" t="s">
        <v>2535</v>
      </c>
    </row>
    <row r="6708" ht="25.5" spans="1:5">
      <c r="A6708" s="76" t="s">
        <v>4026</v>
      </c>
      <c r="B6708" s="77" t="s">
        <v>494</v>
      </c>
      <c r="C6708" s="78">
        <v>1.48e-5</v>
      </c>
      <c r="D6708" s="78">
        <v>8337.53</v>
      </c>
      <c r="E6708" s="78">
        <f>TRUNC(C6708*D6708,2)</f>
        <v>0.12</v>
      </c>
    </row>
    <row r="6709" spans="1:5">
      <c r="A6709" s="76" t="s">
        <v>122</v>
      </c>
      <c r="B6709" s="77"/>
      <c r="C6709" s="78"/>
      <c r="D6709" s="78"/>
      <c r="E6709" s="78">
        <f>SUM(E6708:E6708)</f>
        <v>0.12</v>
      </c>
    </row>
    <row r="6710" spans="1:5">
      <c r="A6710" s="76"/>
      <c r="B6710" s="77"/>
      <c r="C6710" s="78"/>
      <c r="D6710" s="78"/>
      <c r="E6710" s="78"/>
    </row>
    <row r="6711" spans="1:5">
      <c r="A6711" s="76" t="s">
        <v>2538</v>
      </c>
      <c r="B6711" s="77"/>
      <c r="C6711" s="78"/>
      <c r="D6711" s="78"/>
      <c r="E6711" s="78">
        <f>E6709</f>
        <v>0.12</v>
      </c>
    </row>
    <row r="6712" spans="1:5">
      <c r="A6712" s="76" t="s">
        <v>2539</v>
      </c>
      <c r="B6712" s="77"/>
      <c r="C6712" s="78"/>
      <c r="D6712" s="78">
        <v>0</v>
      </c>
      <c r="E6712" s="78">
        <f>TRUNC(D6712*E6711/100,2)</f>
        <v>0</v>
      </c>
    </row>
    <row r="6713" spans="1:5">
      <c r="A6713" s="76" t="s">
        <v>2540</v>
      </c>
      <c r="B6713" s="77"/>
      <c r="C6713" s="78"/>
      <c r="D6713" s="78"/>
      <c r="E6713" s="78">
        <f>E6711+E6712</f>
        <v>0.12</v>
      </c>
    </row>
    <row r="6714" spans="1:5">
      <c r="A6714" s="76"/>
      <c r="B6714" s="77"/>
      <c r="C6714" s="78"/>
      <c r="D6714" s="78"/>
      <c r="E6714" s="78"/>
    </row>
    <row r="6715" spans="1:5">
      <c r="A6715" s="76" t="s">
        <v>3092</v>
      </c>
      <c r="B6715" s="77" t="s">
        <v>4029</v>
      </c>
      <c r="C6715" s="78"/>
      <c r="D6715" s="78"/>
      <c r="E6715" s="78"/>
    </row>
    <row r="6716" ht="25.5" spans="1:5">
      <c r="A6716" s="76" t="s">
        <v>4030</v>
      </c>
      <c r="B6716" s="77"/>
      <c r="C6716" s="78"/>
      <c r="D6716" s="78"/>
      <c r="E6716" s="78"/>
    </row>
    <row r="6717" spans="1:5">
      <c r="A6717" s="76" t="s">
        <v>2764</v>
      </c>
      <c r="B6717" s="77"/>
      <c r="C6717" s="78"/>
      <c r="D6717" s="78"/>
      <c r="E6717" s="78"/>
    </row>
    <row r="6718" spans="1:5">
      <c r="A6718" s="76"/>
      <c r="B6718" s="77"/>
      <c r="C6718" s="78"/>
      <c r="D6718" s="78"/>
      <c r="E6718" s="78"/>
    </row>
    <row r="6719" spans="1:5">
      <c r="A6719" s="76" t="s">
        <v>2543</v>
      </c>
      <c r="B6719" s="77" t="s">
        <v>135</v>
      </c>
      <c r="C6719" s="78" t="s">
        <v>136</v>
      </c>
      <c r="D6719" s="78" t="s">
        <v>2534</v>
      </c>
      <c r="E6719" s="78" t="s">
        <v>2535</v>
      </c>
    </row>
    <row r="6720" ht="25.5" spans="1:5">
      <c r="A6720" s="76" t="s">
        <v>4026</v>
      </c>
      <c r="B6720" s="77" t="s">
        <v>494</v>
      </c>
      <c r="C6720" s="78">
        <v>7e-5</v>
      </c>
      <c r="D6720" s="78">
        <v>8337.53</v>
      </c>
      <c r="E6720" s="78">
        <f>TRUNC(C6720*D6720,2)</f>
        <v>0.58</v>
      </c>
    </row>
    <row r="6721" spans="1:5">
      <c r="A6721" s="76" t="s">
        <v>122</v>
      </c>
      <c r="B6721" s="77"/>
      <c r="C6721" s="78"/>
      <c r="D6721" s="78"/>
      <c r="E6721" s="78">
        <f>SUM(E6720:E6720)</f>
        <v>0.58</v>
      </c>
    </row>
    <row r="6722" spans="1:5">
      <c r="A6722" s="76"/>
      <c r="B6722" s="77"/>
      <c r="C6722" s="78"/>
      <c r="D6722" s="78"/>
      <c r="E6722" s="78"/>
    </row>
    <row r="6723" spans="1:5">
      <c r="A6723" s="76" t="s">
        <v>2538</v>
      </c>
      <c r="B6723" s="77"/>
      <c r="C6723" s="78"/>
      <c r="D6723" s="78"/>
      <c r="E6723" s="78">
        <f>E6721</f>
        <v>0.58</v>
      </c>
    </row>
    <row r="6724" spans="1:5">
      <c r="A6724" s="76" t="s">
        <v>2539</v>
      </c>
      <c r="B6724" s="77"/>
      <c r="C6724" s="78"/>
      <c r="D6724" s="78">
        <v>0</v>
      </c>
      <c r="E6724" s="78">
        <f>TRUNC(D6724*E6723/100,2)</f>
        <v>0</v>
      </c>
    </row>
    <row r="6725" spans="1:5">
      <c r="A6725" s="76" t="s">
        <v>2540</v>
      </c>
      <c r="B6725" s="77"/>
      <c r="C6725" s="78"/>
      <c r="D6725" s="78"/>
      <c r="E6725" s="78">
        <f>E6723+E6724</f>
        <v>0.58</v>
      </c>
    </row>
    <row r="6726" spans="1:5">
      <c r="A6726" s="76"/>
      <c r="B6726" s="77"/>
      <c r="C6726" s="78"/>
      <c r="D6726" s="78"/>
      <c r="E6726" s="78"/>
    </row>
    <row r="6727" spans="1:5">
      <c r="A6727" s="76" t="s">
        <v>3092</v>
      </c>
      <c r="B6727" s="77" t="s">
        <v>4031</v>
      </c>
      <c r="C6727" s="78"/>
      <c r="D6727" s="78"/>
      <c r="E6727" s="78"/>
    </row>
    <row r="6728" ht="25.5" spans="1:5">
      <c r="A6728" s="76" t="s">
        <v>4032</v>
      </c>
      <c r="B6728" s="77"/>
      <c r="C6728" s="78"/>
      <c r="D6728" s="78"/>
      <c r="E6728" s="78"/>
    </row>
    <row r="6729" spans="1:5">
      <c r="A6729" s="76" t="s">
        <v>2764</v>
      </c>
      <c r="B6729" s="77"/>
      <c r="C6729" s="78"/>
      <c r="D6729" s="78"/>
      <c r="E6729" s="78"/>
    </row>
    <row r="6730" spans="1:5">
      <c r="A6730" s="76"/>
      <c r="B6730" s="77"/>
      <c r="C6730" s="78"/>
      <c r="D6730" s="78"/>
      <c r="E6730" s="78"/>
    </row>
    <row r="6731" spans="1:5">
      <c r="A6731" s="76" t="s">
        <v>2543</v>
      </c>
      <c r="B6731" s="77" t="s">
        <v>135</v>
      </c>
      <c r="C6731" s="78" t="s">
        <v>136</v>
      </c>
      <c r="D6731" s="78" t="s">
        <v>2534</v>
      </c>
      <c r="E6731" s="78" t="s">
        <v>2535</v>
      </c>
    </row>
    <row r="6732" spans="1:5">
      <c r="A6732" s="76" t="s">
        <v>3366</v>
      </c>
      <c r="B6732" s="77" t="s">
        <v>215</v>
      </c>
      <c r="C6732" s="78">
        <v>1.44</v>
      </c>
      <c r="D6732" s="78">
        <v>5.96</v>
      </c>
      <c r="E6732" s="78">
        <f>TRUNC(C6732*D6732,2)</f>
        <v>8.58</v>
      </c>
    </row>
    <row r="6733" spans="1:5">
      <c r="A6733" s="76" t="s">
        <v>122</v>
      </c>
      <c r="B6733" s="77"/>
      <c r="C6733" s="78"/>
      <c r="D6733" s="78"/>
      <c r="E6733" s="78">
        <f>SUM(E6732:E6732)</f>
        <v>8.58</v>
      </c>
    </row>
    <row r="6734" spans="1:5">
      <c r="A6734" s="76"/>
      <c r="B6734" s="77"/>
      <c r="C6734" s="78"/>
      <c r="D6734" s="78"/>
      <c r="E6734" s="78"/>
    </row>
    <row r="6735" spans="1:5">
      <c r="A6735" s="76" t="s">
        <v>2538</v>
      </c>
      <c r="B6735" s="77"/>
      <c r="C6735" s="78"/>
      <c r="D6735" s="78"/>
      <c r="E6735" s="78">
        <f>E6733</f>
        <v>8.58</v>
      </c>
    </row>
    <row r="6736" spans="1:5">
      <c r="A6736" s="76" t="s">
        <v>2539</v>
      </c>
      <c r="B6736" s="77"/>
      <c r="C6736" s="78"/>
      <c r="D6736" s="78">
        <v>0</v>
      </c>
      <c r="E6736" s="78">
        <f>TRUNC(D6736*E6735/100,2)</f>
        <v>0</v>
      </c>
    </row>
    <row r="6737" spans="1:5">
      <c r="A6737" s="76" t="s">
        <v>2540</v>
      </c>
      <c r="B6737" s="77"/>
      <c r="C6737" s="78"/>
      <c r="D6737" s="78"/>
      <c r="E6737" s="78">
        <f>E6735+E6736</f>
        <v>8.58</v>
      </c>
    </row>
    <row r="6738" spans="1:5">
      <c r="A6738" s="76"/>
      <c r="B6738" s="77"/>
      <c r="C6738" s="78"/>
      <c r="D6738" s="78"/>
      <c r="E6738" s="78"/>
    </row>
    <row r="6739" spans="1:5">
      <c r="A6739" s="76" t="s">
        <v>3092</v>
      </c>
      <c r="B6739" s="77" t="s">
        <v>4033</v>
      </c>
      <c r="C6739" s="78"/>
      <c r="D6739" s="78"/>
      <c r="E6739" s="78"/>
    </row>
    <row r="6740" spans="1:5">
      <c r="A6740" s="76" t="s">
        <v>4034</v>
      </c>
      <c r="B6740" s="77"/>
      <c r="C6740" s="78"/>
      <c r="D6740" s="78"/>
      <c r="E6740" s="78"/>
    </row>
    <row r="6741" spans="1:5">
      <c r="A6741" s="76" t="s">
        <v>2764</v>
      </c>
      <c r="B6741" s="77"/>
      <c r="C6741" s="78"/>
      <c r="D6741" s="78"/>
      <c r="E6741" s="78"/>
    </row>
    <row r="6742" spans="1:5">
      <c r="A6742" s="76"/>
      <c r="B6742" s="77"/>
      <c r="C6742" s="78"/>
      <c r="D6742" s="78"/>
      <c r="E6742" s="78"/>
    </row>
    <row r="6743" spans="1:5">
      <c r="A6743" s="76" t="s">
        <v>279</v>
      </c>
      <c r="B6743" s="77" t="s">
        <v>135</v>
      </c>
      <c r="C6743" s="78" t="s">
        <v>136</v>
      </c>
      <c r="D6743" s="78" t="s">
        <v>2534</v>
      </c>
      <c r="E6743" s="78" t="s">
        <v>2535</v>
      </c>
    </row>
    <row r="6744" ht="25.5" spans="1:5">
      <c r="A6744" s="76" t="s">
        <v>3111</v>
      </c>
      <c r="B6744" s="77" t="s">
        <v>839</v>
      </c>
      <c r="C6744" s="78">
        <v>1</v>
      </c>
      <c r="D6744" s="78">
        <v>1.5</v>
      </c>
      <c r="E6744" s="78">
        <f>TRUNC(C6744*D6744,2)</f>
        <v>1.5</v>
      </c>
    </row>
    <row r="6745" spans="1:5">
      <c r="A6745" s="76" t="s">
        <v>122</v>
      </c>
      <c r="B6745" s="77"/>
      <c r="C6745" s="78"/>
      <c r="D6745" s="78"/>
      <c r="E6745" s="78">
        <f>SUM(E6744:E6744)</f>
        <v>1.5</v>
      </c>
    </row>
    <row r="6746" spans="1:5">
      <c r="A6746" s="76"/>
      <c r="B6746" s="77"/>
      <c r="C6746" s="78"/>
      <c r="D6746" s="78"/>
      <c r="E6746" s="78"/>
    </row>
    <row r="6747" spans="1:5">
      <c r="A6747" s="76" t="s">
        <v>280</v>
      </c>
      <c r="B6747" s="77" t="s">
        <v>135</v>
      </c>
      <c r="C6747" s="78" t="s">
        <v>136</v>
      </c>
      <c r="D6747" s="78" t="s">
        <v>2534</v>
      </c>
      <c r="E6747" s="78" t="s">
        <v>2535</v>
      </c>
    </row>
    <row r="6748" ht="25.5" spans="1:5">
      <c r="A6748" s="76" t="s">
        <v>3112</v>
      </c>
      <c r="B6748" s="77" t="s">
        <v>839</v>
      </c>
      <c r="C6748" s="78">
        <v>1</v>
      </c>
      <c r="D6748" s="78">
        <v>3.95</v>
      </c>
      <c r="E6748" s="78">
        <f>TRUNC(C6748*D6748,2)</f>
        <v>3.95</v>
      </c>
    </row>
    <row r="6749" spans="1:5">
      <c r="A6749" s="76" t="s">
        <v>4035</v>
      </c>
      <c r="B6749" s="77" t="s">
        <v>839</v>
      </c>
      <c r="C6749" s="78">
        <v>1</v>
      </c>
      <c r="D6749" s="78">
        <v>20.54</v>
      </c>
      <c r="E6749" s="78">
        <f>TRUNC(C6749*D6749,2)</f>
        <v>20.54</v>
      </c>
    </row>
    <row r="6750" ht="25.5" spans="1:5">
      <c r="A6750" s="76" t="s">
        <v>3113</v>
      </c>
      <c r="B6750" s="77" t="s">
        <v>839</v>
      </c>
      <c r="C6750" s="78">
        <v>1</v>
      </c>
      <c r="D6750" s="78">
        <v>0.08</v>
      </c>
      <c r="E6750" s="78">
        <f>TRUNC(C6750*D6750,2)</f>
        <v>0.08</v>
      </c>
    </row>
    <row r="6751" spans="1:5">
      <c r="A6751" s="76" t="s">
        <v>122</v>
      </c>
      <c r="B6751" s="77"/>
      <c r="C6751" s="78"/>
      <c r="D6751" s="78"/>
      <c r="E6751" s="78">
        <f>SUM(E6748:E6750)</f>
        <v>24.57</v>
      </c>
    </row>
    <row r="6752" spans="1:5">
      <c r="A6752" s="76" t="s">
        <v>117</v>
      </c>
      <c r="B6752" s="77"/>
      <c r="C6752" s="78"/>
      <c r="D6752" s="78"/>
      <c r="E6752" s="78" t="str">
        <f>"0"</f>
        <v>0</v>
      </c>
    </row>
    <row r="6753" spans="1:5">
      <c r="A6753" s="76" t="s">
        <v>2537</v>
      </c>
      <c r="B6753" s="77"/>
      <c r="C6753" s="78"/>
      <c r="D6753" s="78"/>
      <c r="E6753" s="78">
        <f>E6751+E6752</f>
        <v>24.57</v>
      </c>
    </row>
    <row r="6754" spans="1:5">
      <c r="A6754" s="76"/>
      <c r="B6754" s="77"/>
      <c r="C6754" s="78"/>
      <c r="D6754" s="78"/>
      <c r="E6754" s="78"/>
    </row>
    <row r="6755" spans="1:5">
      <c r="A6755" s="76" t="s">
        <v>2543</v>
      </c>
      <c r="B6755" s="77" t="s">
        <v>135</v>
      </c>
      <c r="C6755" s="78" t="s">
        <v>136</v>
      </c>
      <c r="D6755" s="78" t="s">
        <v>2534</v>
      </c>
      <c r="E6755" s="78" t="s">
        <v>2535</v>
      </c>
    </row>
    <row r="6756" ht="25.5" spans="1:5">
      <c r="A6756" s="76" t="s">
        <v>3296</v>
      </c>
      <c r="B6756" s="77" t="s">
        <v>839</v>
      </c>
      <c r="C6756" s="78">
        <v>1</v>
      </c>
      <c r="D6756" s="78">
        <v>1.43</v>
      </c>
      <c r="E6756" s="78">
        <f>TRUNC(C6756*D6756,2)</f>
        <v>1.43</v>
      </c>
    </row>
    <row r="6757" spans="1:5">
      <c r="A6757" s="76" t="s">
        <v>3116</v>
      </c>
      <c r="B6757" s="77" t="s">
        <v>839</v>
      </c>
      <c r="C6757" s="78">
        <v>1</v>
      </c>
      <c r="D6757" s="78">
        <v>1.43</v>
      </c>
      <c r="E6757" s="78">
        <f>TRUNC(C6757*D6757,2)</f>
        <v>1.43</v>
      </c>
    </row>
    <row r="6758" ht="25.5" spans="1:5">
      <c r="A6758" s="76" t="s">
        <v>3297</v>
      </c>
      <c r="B6758" s="77" t="s">
        <v>839</v>
      </c>
      <c r="C6758" s="78">
        <v>1</v>
      </c>
      <c r="D6758" s="78">
        <v>0.44</v>
      </c>
      <c r="E6758" s="78">
        <f>TRUNC(C6758*D6758,2)</f>
        <v>0.44</v>
      </c>
    </row>
    <row r="6759" ht="25.5" spans="1:5">
      <c r="A6759" s="76" t="s">
        <v>4036</v>
      </c>
      <c r="B6759" s="77" t="s">
        <v>839</v>
      </c>
      <c r="C6759" s="78">
        <v>1</v>
      </c>
      <c r="D6759" s="78">
        <v>0.3</v>
      </c>
      <c r="E6759" s="78">
        <f>TRUNC(C6759*D6759,2)</f>
        <v>0.3</v>
      </c>
    </row>
    <row r="6760" spans="1:5">
      <c r="A6760" s="76" t="s">
        <v>122</v>
      </c>
      <c r="B6760" s="77"/>
      <c r="C6760" s="78"/>
      <c r="D6760" s="78"/>
      <c r="E6760" s="78">
        <f>SUM(E6756:E6759)</f>
        <v>3.6</v>
      </c>
    </row>
    <row r="6761" spans="1:5">
      <c r="A6761" s="76"/>
      <c r="B6761" s="77"/>
      <c r="C6761" s="78"/>
      <c r="D6761" s="78"/>
      <c r="E6761" s="78"/>
    </row>
    <row r="6762" spans="1:5">
      <c r="A6762" s="76" t="s">
        <v>2538</v>
      </c>
      <c r="B6762" s="77"/>
      <c r="C6762" s="78"/>
      <c r="D6762" s="78"/>
      <c r="E6762" s="78">
        <f>E6745+E6753+E6760</f>
        <v>29.67</v>
      </c>
    </row>
    <row r="6763" spans="1:5">
      <c r="A6763" s="76" t="s">
        <v>2539</v>
      </c>
      <c r="B6763" s="77"/>
      <c r="C6763" s="78"/>
      <c r="D6763" s="78">
        <v>0</v>
      </c>
      <c r="E6763" s="78">
        <f>TRUNC(D6763*E6762/100,2)</f>
        <v>0</v>
      </c>
    </row>
    <row r="6764" spans="1:5">
      <c r="A6764" s="76" t="s">
        <v>2540</v>
      </c>
      <c r="B6764" s="77"/>
      <c r="C6764" s="78"/>
      <c r="D6764" s="78"/>
      <c r="E6764" s="78">
        <f>E6762+E6763</f>
        <v>29.67</v>
      </c>
    </row>
    <row r="6765" spans="1:5">
      <c r="A6765" s="76"/>
      <c r="B6765" s="77"/>
      <c r="C6765" s="78"/>
      <c r="D6765" s="78"/>
      <c r="E6765" s="78"/>
    </row>
    <row r="6766" spans="1:5">
      <c r="A6766" s="76" t="s">
        <v>3092</v>
      </c>
      <c r="B6766" s="77" t="s">
        <v>4037</v>
      </c>
      <c r="C6766" s="78"/>
      <c r="D6766" s="78"/>
      <c r="E6766" s="78"/>
    </row>
    <row r="6767" ht="25.5" spans="1:5">
      <c r="A6767" s="76" t="s">
        <v>4038</v>
      </c>
      <c r="B6767" s="77"/>
      <c r="C6767" s="78"/>
      <c r="D6767" s="78"/>
      <c r="E6767" s="78"/>
    </row>
    <row r="6768" spans="1:5">
      <c r="A6768" s="76" t="s">
        <v>2764</v>
      </c>
      <c r="B6768" s="77"/>
      <c r="C6768" s="78"/>
      <c r="D6768" s="78"/>
      <c r="E6768" s="78"/>
    </row>
    <row r="6769" spans="1:5">
      <c r="A6769" s="76"/>
      <c r="B6769" s="77"/>
      <c r="C6769" s="78"/>
      <c r="D6769" s="78"/>
      <c r="E6769" s="78"/>
    </row>
    <row r="6770" spans="1:5">
      <c r="A6770" s="76" t="s">
        <v>280</v>
      </c>
      <c r="B6770" s="77" t="s">
        <v>135</v>
      </c>
      <c r="C6770" s="78" t="s">
        <v>136</v>
      </c>
      <c r="D6770" s="78" t="s">
        <v>2534</v>
      </c>
      <c r="E6770" s="78" t="s">
        <v>2535</v>
      </c>
    </row>
    <row r="6771" spans="1:5">
      <c r="A6771" s="76" t="s">
        <v>4035</v>
      </c>
      <c r="B6771" s="77" t="s">
        <v>839</v>
      </c>
      <c r="C6771" s="78">
        <v>0.01476</v>
      </c>
      <c r="D6771" s="78">
        <v>20.54</v>
      </c>
      <c r="E6771" s="78">
        <f>TRUNC(C6771*D6771,2)</f>
        <v>0.3</v>
      </c>
    </row>
    <row r="6772" spans="1:5">
      <c r="A6772" s="76" t="s">
        <v>122</v>
      </c>
      <c r="B6772" s="77"/>
      <c r="C6772" s="78"/>
      <c r="D6772" s="78"/>
      <c r="E6772" s="78">
        <f>SUM(E6771:E6771)</f>
        <v>0.3</v>
      </c>
    </row>
    <row r="6773" spans="1:5">
      <c r="A6773" s="76" t="s">
        <v>117</v>
      </c>
      <c r="B6773" s="77"/>
      <c r="C6773" s="78"/>
      <c r="D6773" s="78"/>
      <c r="E6773" s="78" t="str">
        <f>"0"</f>
        <v>0</v>
      </c>
    </row>
    <row r="6774" spans="1:5">
      <c r="A6774" s="76" t="s">
        <v>2537</v>
      </c>
      <c r="B6774" s="77"/>
      <c r="C6774" s="78"/>
      <c r="D6774" s="78"/>
      <c r="E6774" s="78">
        <f>E6772+E6773</f>
        <v>0.3</v>
      </c>
    </row>
    <row r="6775" spans="1:5">
      <c r="A6775" s="76"/>
      <c r="B6775" s="77"/>
      <c r="C6775" s="78"/>
      <c r="D6775" s="78"/>
      <c r="E6775" s="78"/>
    </row>
    <row r="6776" spans="1:5">
      <c r="A6776" s="76" t="s">
        <v>2538</v>
      </c>
      <c r="B6776" s="77"/>
      <c r="C6776" s="78"/>
      <c r="D6776" s="78"/>
      <c r="E6776" s="78">
        <f>E6774</f>
        <v>0.3</v>
      </c>
    </row>
    <row r="6777" spans="1:5">
      <c r="A6777" s="76" t="s">
        <v>2539</v>
      </c>
      <c r="B6777" s="77"/>
      <c r="C6777" s="78"/>
      <c r="D6777" s="78">
        <v>0</v>
      </c>
      <c r="E6777" s="78">
        <f>TRUNC(D6777*E6776/100,2)</f>
        <v>0</v>
      </c>
    </row>
    <row r="6778" spans="1:5">
      <c r="A6778" s="76" t="s">
        <v>2540</v>
      </c>
      <c r="B6778" s="77"/>
      <c r="C6778" s="78"/>
      <c r="D6778" s="78"/>
      <c r="E6778" s="78">
        <f>E6776+E6777</f>
        <v>0.3</v>
      </c>
    </row>
    <row r="6779" spans="1:5">
      <c r="A6779" s="76"/>
      <c r="B6779" s="77"/>
      <c r="C6779" s="78"/>
      <c r="D6779" s="78"/>
      <c r="E6779" s="78"/>
    </row>
    <row r="6780" spans="1:5">
      <c r="A6780" s="76" t="s">
        <v>3092</v>
      </c>
      <c r="B6780" s="77" t="s">
        <v>4039</v>
      </c>
      <c r="C6780" s="78"/>
      <c r="D6780" s="78"/>
      <c r="E6780" s="78"/>
    </row>
    <row r="6781" ht="25.5" spans="1:5">
      <c r="A6781" s="76" t="s">
        <v>4040</v>
      </c>
      <c r="B6781" s="77"/>
      <c r="C6781" s="78"/>
      <c r="D6781" s="78"/>
      <c r="E6781" s="78"/>
    </row>
    <row r="6782" spans="1:5">
      <c r="A6782" s="76" t="s">
        <v>2776</v>
      </c>
      <c r="B6782" s="77"/>
      <c r="C6782" s="78"/>
      <c r="D6782" s="78"/>
      <c r="E6782" s="78"/>
    </row>
    <row r="6783" spans="1:5">
      <c r="A6783" s="76"/>
      <c r="B6783" s="77"/>
      <c r="C6783" s="78"/>
      <c r="D6783" s="78"/>
      <c r="E6783" s="78"/>
    </row>
    <row r="6784" spans="1:5">
      <c r="A6784" s="76" t="s">
        <v>2543</v>
      </c>
      <c r="B6784" s="77" t="s">
        <v>135</v>
      </c>
      <c r="C6784" s="78" t="s">
        <v>136</v>
      </c>
      <c r="D6784" s="78" t="s">
        <v>2534</v>
      </c>
      <c r="E6784" s="78" t="s">
        <v>2535</v>
      </c>
    </row>
    <row r="6785" ht="25.5" spans="1:5">
      <c r="A6785" s="76" t="s">
        <v>2777</v>
      </c>
      <c r="B6785" s="77" t="s">
        <v>463</v>
      </c>
      <c r="C6785" s="78">
        <v>0.025</v>
      </c>
      <c r="D6785" s="78">
        <v>19.38</v>
      </c>
      <c r="E6785" s="78">
        <f>TRUNC(C6785*D6785,2)</f>
        <v>0.48</v>
      </c>
    </row>
    <row r="6786" ht="25.5" spans="1:5">
      <c r="A6786" s="76" t="s">
        <v>2778</v>
      </c>
      <c r="B6786" s="77" t="s">
        <v>494</v>
      </c>
      <c r="C6786" s="78">
        <v>2.816</v>
      </c>
      <c r="D6786" s="78">
        <v>0.22</v>
      </c>
      <c r="E6786" s="78">
        <f>TRUNC(C6786*D6786,2)</f>
        <v>0.61</v>
      </c>
    </row>
    <row r="6787" spans="1:5">
      <c r="A6787" s="76" t="s">
        <v>2779</v>
      </c>
      <c r="B6787" s="77" t="s">
        <v>839</v>
      </c>
      <c r="C6787" s="78">
        <v>0.0172</v>
      </c>
      <c r="D6787" s="78">
        <v>24.57</v>
      </c>
      <c r="E6787" s="78">
        <f>TRUNC(C6787*D6787,2)</f>
        <v>0.42</v>
      </c>
    </row>
    <row r="6788" spans="1:5">
      <c r="A6788" s="76" t="s">
        <v>2780</v>
      </c>
      <c r="B6788" s="77" t="s">
        <v>839</v>
      </c>
      <c r="C6788" s="78">
        <v>0.1055</v>
      </c>
      <c r="D6788" s="78">
        <v>31.13</v>
      </c>
      <c r="E6788" s="78">
        <f>TRUNC(C6788*D6788,2)</f>
        <v>3.28</v>
      </c>
    </row>
    <row r="6789" spans="1:5">
      <c r="A6789" s="76" t="s">
        <v>4041</v>
      </c>
      <c r="B6789" s="77" t="s">
        <v>463</v>
      </c>
      <c r="C6789" s="78">
        <v>1</v>
      </c>
      <c r="D6789" s="78">
        <v>12.09</v>
      </c>
      <c r="E6789" s="78">
        <f>TRUNC(C6789*D6789,2)</f>
        <v>12.09</v>
      </c>
    </row>
    <row r="6790" spans="1:5">
      <c r="A6790" s="76" t="s">
        <v>122</v>
      </c>
      <c r="B6790" s="77"/>
      <c r="C6790" s="78"/>
      <c r="D6790" s="78"/>
      <c r="E6790" s="78">
        <f>SUM(E6785:E6789)</f>
        <v>16.88</v>
      </c>
    </row>
    <row r="6791" spans="1:5">
      <c r="A6791" s="76"/>
      <c r="B6791" s="77"/>
      <c r="C6791" s="78"/>
      <c r="D6791" s="78"/>
      <c r="E6791" s="78"/>
    </row>
    <row r="6792" spans="1:5">
      <c r="A6792" s="76" t="s">
        <v>2538</v>
      </c>
      <c r="B6792" s="77"/>
      <c r="C6792" s="78"/>
      <c r="D6792" s="78"/>
      <c r="E6792" s="78">
        <f>E6790</f>
        <v>16.88</v>
      </c>
    </row>
    <row r="6793" spans="1:5">
      <c r="A6793" s="76" t="s">
        <v>2539</v>
      </c>
      <c r="B6793" s="77"/>
      <c r="C6793" s="78"/>
      <c r="D6793" s="78">
        <v>0</v>
      </c>
      <c r="E6793" s="78">
        <f>TRUNC(D6793*E6792/100,2)</f>
        <v>0</v>
      </c>
    </row>
    <row r="6794" spans="1:5">
      <c r="A6794" s="76" t="s">
        <v>2540</v>
      </c>
      <c r="B6794" s="77"/>
      <c r="C6794" s="78"/>
      <c r="D6794" s="78"/>
      <c r="E6794" s="78">
        <f>E6792+E6793</f>
        <v>16.88</v>
      </c>
    </row>
    <row r="6795" spans="1:5">
      <c r="A6795" s="76"/>
      <c r="B6795" s="77"/>
      <c r="C6795" s="78"/>
      <c r="D6795" s="78"/>
      <c r="E6795" s="78"/>
    </row>
    <row r="6796" spans="1:5">
      <c r="A6796" s="76" t="s">
        <v>3092</v>
      </c>
      <c r="B6796" s="77" t="s">
        <v>4042</v>
      </c>
      <c r="C6796" s="78"/>
      <c r="D6796" s="78"/>
      <c r="E6796" s="78"/>
    </row>
    <row r="6797" spans="1:5">
      <c r="A6797" s="76" t="s">
        <v>4043</v>
      </c>
      <c r="B6797" s="77"/>
      <c r="C6797" s="78"/>
      <c r="D6797" s="78"/>
      <c r="E6797" s="78"/>
    </row>
    <row r="6798" spans="1:5">
      <c r="A6798" s="76" t="s">
        <v>2776</v>
      </c>
      <c r="B6798" s="77"/>
      <c r="C6798" s="78"/>
      <c r="D6798" s="78"/>
      <c r="E6798" s="78"/>
    </row>
    <row r="6799" spans="1:5">
      <c r="A6799" s="76"/>
      <c r="B6799" s="77"/>
      <c r="C6799" s="78"/>
      <c r="D6799" s="78"/>
      <c r="E6799" s="78"/>
    </row>
    <row r="6800" spans="1:5">
      <c r="A6800" s="76" t="s">
        <v>2543</v>
      </c>
      <c r="B6800" s="77" t="s">
        <v>135</v>
      </c>
      <c r="C6800" s="78" t="s">
        <v>136</v>
      </c>
      <c r="D6800" s="78" t="s">
        <v>2534</v>
      </c>
      <c r="E6800" s="78" t="s">
        <v>2535</v>
      </c>
    </row>
    <row r="6801" spans="1:5">
      <c r="A6801" s="76" t="s">
        <v>3963</v>
      </c>
      <c r="B6801" s="77" t="s">
        <v>463</v>
      </c>
      <c r="C6801" s="78">
        <v>1.07</v>
      </c>
      <c r="D6801" s="78">
        <v>8.25</v>
      </c>
      <c r="E6801" s="78">
        <f>TRUNC(C6801*D6801,2)</f>
        <v>8.82</v>
      </c>
    </row>
    <row r="6802" spans="1:5">
      <c r="A6802" s="76" t="s">
        <v>2779</v>
      </c>
      <c r="B6802" s="77" t="s">
        <v>839</v>
      </c>
      <c r="C6802" s="78">
        <v>0.0152</v>
      </c>
      <c r="D6802" s="78">
        <v>24.57</v>
      </c>
      <c r="E6802" s="78">
        <f>TRUNC(C6802*D6802,2)</f>
        <v>0.37</v>
      </c>
    </row>
    <row r="6803" spans="1:5">
      <c r="A6803" s="76" t="s">
        <v>2780</v>
      </c>
      <c r="B6803" s="77" t="s">
        <v>839</v>
      </c>
      <c r="C6803" s="78">
        <v>0.0933</v>
      </c>
      <c r="D6803" s="78">
        <v>31.13</v>
      </c>
      <c r="E6803" s="78">
        <f>TRUNC(C6803*D6803,2)</f>
        <v>2.9</v>
      </c>
    </row>
    <row r="6804" spans="1:5">
      <c r="A6804" s="76" t="s">
        <v>122</v>
      </c>
      <c r="B6804" s="77"/>
      <c r="C6804" s="78"/>
      <c r="D6804" s="78"/>
      <c r="E6804" s="78">
        <f>SUM(E6801:E6803)</f>
        <v>12.09</v>
      </c>
    </row>
    <row r="6805" spans="1:5">
      <c r="A6805" s="76"/>
      <c r="B6805" s="77"/>
      <c r="C6805" s="78"/>
      <c r="D6805" s="78"/>
      <c r="E6805" s="78"/>
    </row>
    <row r="6806" spans="1:5">
      <c r="A6806" s="76" t="s">
        <v>2538</v>
      </c>
      <c r="B6806" s="77"/>
      <c r="C6806" s="78"/>
      <c r="D6806" s="78"/>
      <c r="E6806" s="78">
        <f>E6804</f>
        <v>12.09</v>
      </c>
    </row>
    <row r="6807" spans="1:5">
      <c r="A6807" s="76" t="s">
        <v>2539</v>
      </c>
      <c r="B6807" s="77"/>
      <c r="C6807" s="78"/>
      <c r="D6807" s="78">
        <v>0</v>
      </c>
      <c r="E6807" s="78">
        <f>TRUNC(D6807*E6806/100,2)</f>
        <v>0</v>
      </c>
    </row>
    <row r="6808" spans="1:5">
      <c r="A6808" s="76" t="s">
        <v>2540</v>
      </c>
      <c r="B6808" s="77"/>
      <c r="C6808" s="78"/>
      <c r="D6808" s="78"/>
      <c r="E6808" s="78">
        <f>E6806+E6807</f>
        <v>12.09</v>
      </c>
    </row>
    <row r="6809" spans="1:5">
      <c r="A6809" s="76"/>
      <c r="B6809" s="77"/>
      <c r="C6809" s="78"/>
      <c r="D6809" s="78"/>
      <c r="E6809" s="78"/>
    </row>
    <row r="6810" spans="1:5">
      <c r="A6810" s="76" t="s">
        <v>3092</v>
      </c>
      <c r="B6810" s="77" t="s">
        <v>4044</v>
      </c>
      <c r="C6810" s="78"/>
      <c r="D6810" s="78"/>
      <c r="E6810" s="78"/>
    </row>
    <row r="6811" spans="1:5">
      <c r="A6811" s="76" t="s">
        <v>4045</v>
      </c>
      <c r="B6811" s="77"/>
      <c r="C6811" s="78"/>
      <c r="D6811" s="78"/>
      <c r="E6811" s="78"/>
    </row>
    <row r="6812" spans="1:5">
      <c r="A6812" s="76" t="s">
        <v>2764</v>
      </c>
      <c r="B6812" s="77"/>
      <c r="C6812" s="78"/>
      <c r="D6812" s="78"/>
      <c r="E6812" s="78"/>
    </row>
    <row r="6813" spans="1:5">
      <c r="A6813" s="76"/>
      <c r="B6813" s="77"/>
      <c r="C6813" s="78"/>
      <c r="D6813" s="78"/>
      <c r="E6813" s="78"/>
    </row>
    <row r="6814" spans="1:5">
      <c r="A6814" s="76" t="s">
        <v>279</v>
      </c>
      <c r="B6814" s="77" t="s">
        <v>135</v>
      </c>
      <c r="C6814" s="78" t="s">
        <v>136</v>
      </c>
      <c r="D6814" s="78" t="s">
        <v>2534</v>
      </c>
      <c r="E6814" s="78" t="s">
        <v>2535</v>
      </c>
    </row>
    <row r="6815" ht="25.5" spans="1:5">
      <c r="A6815" s="76" t="s">
        <v>3111</v>
      </c>
      <c r="B6815" s="77" t="s">
        <v>839</v>
      </c>
      <c r="C6815" s="78">
        <v>1</v>
      </c>
      <c r="D6815" s="78">
        <v>1.5</v>
      </c>
      <c r="E6815" s="78">
        <f>TRUNC(C6815*D6815,2)</f>
        <v>1.5</v>
      </c>
    </row>
    <row r="6816" spans="1:5">
      <c r="A6816" s="76" t="s">
        <v>122</v>
      </c>
      <c r="B6816" s="77"/>
      <c r="C6816" s="78"/>
      <c r="D6816" s="78"/>
      <c r="E6816" s="78">
        <f>SUM(E6815:E6815)</f>
        <v>1.5</v>
      </c>
    </row>
    <row r="6817" spans="1:5">
      <c r="A6817" s="76"/>
      <c r="B6817" s="77"/>
      <c r="C6817" s="78"/>
      <c r="D6817" s="78"/>
      <c r="E6817" s="78"/>
    </row>
    <row r="6818" spans="1:5">
      <c r="A6818" s="76" t="s">
        <v>280</v>
      </c>
      <c r="B6818" s="77" t="s">
        <v>135</v>
      </c>
      <c r="C6818" s="78" t="s">
        <v>136</v>
      </c>
      <c r="D6818" s="78" t="s">
        <v>2534</v>
      </c>
      <c r="E6818" s="78" t="s">
        <v>2535</v>
      </c>
    </row>
    <row r="6819" ht="25.5" spans="1:5">
      <c r="A6819" s="76" t="s">
        <v>3112</v>
      </c>
      <c r="B6819" s="77" t="s">
        <v>839</v>
      </c>
      <c r="C6819" s="78">
        <v>1</v>
      </c>
      <c r="D6819" s="78">
        <v>3.95</v>
      </c>
      <c r="E6819" s="78">
        <f>TRUNC(C6819*D6819,2)</f>
        <v>3.95</v>
      </c>
    </row>
    <row r="6820" spans="1:5">
      <c r="A6820" s="76" t="s">
        <v>4046</v>
      </c>
      <c r="B6820" s="77" t="s">
        <v>839</v>
      </c>
      <c r="C6820" s="78">
        <v>1</v>
      </c>
      <c r="D6820" s="78">
        <v>17.35</v>
      </c>
      <c r="E6820" s="78">
        <f>TRUNC(C6820*D6820,2)</f>
        <v>17.35</v>
      </c>
    </row>
    <row r="6821" ht="25.5" spans="1:5">
      <c r="A6821" s="76" t="s">
        <v>3113</v>
      </c>
      <c r="B6821" s="77" t="s">
        <v>839</v>
      </c>
      <c r="C6821" s="78">
        <v>1</v>
      </c>
      <c r="D6821" s="78">
        <v>0.08</v>
      </c>
      <c r="E6821" s="78">
        <f>TRUNC(C6821*D6821,2)</f>
        <v>0.08</v>
      </c>
    </row>
    <row r="6822" spans="1:5">
      <c r="A6822" s="76" t="s">
        <v>122</v>
      </c>
      <c r="B6822" s="77"/>
      <c r="C6822" s="78"/>
      <c r="D6822" s="78"/>
      <c r="E6822" s="78">
        <f>SUM(E6819:E6821)</f>
        <v>21.38</v>
      </c>
    </row>
    <row r="6823" spans="1:5">
      <c r="A6823" s="76" t="s">
        <v>117</v>
      </c>
      <c r="B6823" s="77"/>
      <c r="C6823" s="78"/>
      <c r="D6823" s="78"/>
      <c r="E6823" s="78" t="str">
        <f>"0"</f>
        <v>0</v>
      </c>
    </row>
    <row r="6824" spans="1:5">
      <c r="A6824" s="76" t="s">
        <v>2537</v>
      </c>
      <c r="B6824" s="77"/>
      <c r="C6824" s="78"/>
      <c r="D6824" s="78"/>
      <c r="E6824" s="78">
        <f>E6822+E6823</f>
        <v>21.38</v>
      </c>
    </row>
    <row r="6825" spans="1:5">
      <c r="A6825" s="76"/>
      <c r="B6825" s="77"/>
      <c r="C6825" s="78"/>
      <c r="D6825" s="78"/>
      <c r="E6825" s="78"/>
    </row>
    <row r="6826" spans="1:5">
      <c r="A6826" s="76" t="s">
        <v>2543</v>
      </c>
      <c r="B6826" s="77" t="s">
        <v>135</v>
      </c>
      <c r="C6826" s="78" t="s">
        <v>136</v>
      </c>
      <c r="D6826" s="78" t="s">
        <v>2534</v>
      </c>
      <c r="E6826" s="78" t="s">
        <v>2535</v>
      </c>
    </row>
    <row r="6827" ht="25.5" spans="1:5">
      <c r="A6827" s="76" t="s">
        <v>3195</v>
      </c>
      <c r="B6827" s="77" t="s">
        <v>839</v>
      </c>
      <c r="C6827" s="78">
        <v>1</v>
      </c>
      <c r="D6827" s="78">
        <v>0.89</v>
      </c>
      <c r="E6827" s="78">
        <f>TRUNC(C6827*D6827,2)</f>
        <v>0.89</v>
      </c>
    </row>
    <row r="6828" spans="1:5">
      <c r="A6828" s="76" t="s">
        <v>3116</v>
      </c>
      <c r="B6828" s="77" t="s">
        <v>839</v>
      </c>
      <c r="C6828" s="78">
        <v>1</v>
      </c>
      <c r="D6828" s="78">
        <v>1.43</v>
      </c>
      <c r="E6828" s="78">
        <f>TRUNC(C6828*D6828,2)</f>
        <v>1.43</v>
      </c>
    </row>
    <row r="6829" ht="25.5" spans="1:5">
      <c r="A6829" s="76" t="s">
        <v>3196</v>
      </c>
      <c r="B6829" s="77" t="s">
        <v>839</v>
      </c>
      <c r="C6829" s="78">
        <v>1</v>
      </c>
      <c r="D6829" s="78">
        <v>0.01</v>
      </c>
      <c r="E6829" s="78">
        <f>TRUNC(C6829*D6829,2)</f>
        <v>0.01</v>
      </c>
    </row>
    <row r="6830" ht="25.5" spans="1:5">
      <c r="A6830" s="76" t="s">
        <v>4047</v>
      </c>
      <c r="B6830" s="77" t="s">
        <v>839</v>
      </c>
      <c r="C6830" s="78">
        <v>1</v>
      </c>
      <c r="D6830" s="78">
        <v>0.25</v>
      </c>
      <c r="E6830" s="78">
        <f>TRUNC(C6830*D6830,2)</f>
        <v>0.25</v>
      </c>
    </row>
    <row r="6831" spans="1:5">
      <c r="A6831" s="76" t="s">
        <v>122</v>
      </c>
      <c r="B6831" s="77"/>
      <c r="C6831" s="78"/>
      <c r="D6831" s="78"/>
      <c r="E6831" s="78">
        <f>SUM(E6827:E6830)</f>
        <v>2.58</v>
      </c>
    </row>
    <row r="6832" spans="1:5">
      <c r="A6832" s="76"/>
      <c r="B6832" s="77"/>
      <c r="C6832" s="78"/>
      <c r="D6832" s="78"/>
      <c r="E6832" s="78"/>
    </row>
    <row r="6833" spans="1:5">
      <c r="A6833" s="76" t="s">
        <v>2538</v>
      </c>
      <c r="B6833" s="77"/>
      <c r="C6833" s="78"/>
      <c r="D6833" s="78"/>
      <c r="E6833" s="78">
        <f>E6816+E6824+E6831</f>
        <v>25.46</v>
      </c>
    </row>
    <row r="6834" spans="1:5">
      <c r="A6834" s="76" t="s">
        <v>2539</v>
      </c>
      <c r="B6834" s="77"/>
      <c r="C6834" s="78"/>
      <c r="D6834" s="78">
        <v>0</v>
      </c>
      <c r="E6834" s="78">
        <f>TRUNC(D6834*E6833/100,2)</f>
        <v>0</v>
      </c>
    </row>
    <row r="6835" spans="1:5">
      <c r="A6835" s="76" t="s">
        <v>2540</v>
      </c>
      <c r="B6835" s="77"/>
      <c r="C6835" s="78"/>
      <c r="D6835" s="78"/>
      <c r="E6835" s="78">
        <f>E6833+E6834</f>
        <v>25.46</v>
      </c>
    </row>
    <row r="6836" spans="1:5">
      <c r="A6836" s="76"/>
      <c r="B6836" s="77"/>
      <c r="C6836" s="78"/>
      <c r="D6836" s="78"/>
      <c r="E6836" s="78"/>
    </row>
    <row r="6837" spans="1:5">
      <c r="A6837" s="76" t="s">
        <v>3092</v>
      </c>
      <c r="B6837" s="77" t="s">
        <v>4048</v>
      </c>
      <c r="C6837" s="78"/>
      <c r="D6837" s="78"/>
      <c r="E6837" s="78"/>
    </row>
    <row r="6838" ht="25.5" spans="1:5">
      <c r="A6838" s="76" t="s">
        <v>4049</v>
      </c>
      <c r="B6838" s="77"/>
      <c r="C6838" s="78"/>
      <c r="D6838" s="78"/>
      <c r="E6838" s="78"/>
    </row>
    <row r="6839" spans="1:5">
      <c r="A6839" s="76" t="s">
        <v>2764</v>
      </c>
      <c r="B6839" s="77"/>
      <c r="C6839" s="78"/>
      <c r="D6839" s="78"/>
      <c r="E6839" s="78"/>
    </row>
    <row r="6840" spans="1:5">
      <c r="A6840" s="76"/>
      <c r="B6840" s="77"/>
      <c r="C6840" s="78"/>
      <c r="D6840" s="78"/>
      <c r="E6840" s="78"/>
    </row>
    <row r="6841" spans="1:5">
      <c r="A6841" s="76" t="s">
        <v>280</v>
      </c>
      <c r="B6841" s="77" t="s">
        <v>135</v>
      </c>
      <c r="C6841" s="78" t="s">
        <v>136</v>
      </c>
      <c r="D6841" s="78" t="s">
        <v>2534</v>
      </c>
      <c r="E6841" s="78" t="s">
        <v>2535</v>
      </c>
    </row>
    <row r="6842" spans="1:5">
      <c r="A6842" s="76" t="s">
        <v>4046</v>
      </c>
      <c r="B6842" s="77" t="s">
        <v>839</v>
      </c>
      <c r="C6842" s="78">
        <v>0.01476</v>
      </c>
      <c r="D6842" s="78">
        <v>17.35</v>
      </c>
      <c r="E6842" s="78">
        <f>TRUNC(C6842*D6842,2)</f>
        <v>0.25</v>
      </c>
    </row>
    <row r="6843" spans="1:5">
      <c r="A6843" s="76" t="s">
        <v>122</v>
      </c>
      <c r="B6843" s="77"/>
      <c r="C6843" s="78"/>
      <c r="D6843" s="78"/>
      <c r="E6843" s="78">
        <f>SUM(E6842:E6842)</f>
        <v>0.25</v>
      </c>
    </row>
    <row r="6844" spans="1:5">
      <c r="A6844" s="76" t="s">
        <v>117</v>
      </c>
      <c r="B6844" s="77"/>
      <c r="C6844" s="78"/>
      <c r="D6844" s="78"/>
      <c r="E6844" s="78" t="str">
        <f>"0"</f>
        <v>0</v>
      </c>
    </row>
    <row r="6845" spans="1:5">
      <c r="A6845" s="76" t="s">
        <v>2537</v>
      </c>
      <c r="B6845" s="77"/>
      <c r="C6845" s="78"/>
      <c r="D6845" s="78"/>
      <c r="E6845" s="78">
        <f>E6843+E6844</f>
        <v>0.25</v>
      </c>
    </row>
    <row r="6846" spans="1:5">
      <c r="A6846" s="76"/>
      <c r="B6846" s="77"/>
      <c r="C6846" s="78"/>
      <c r="D6846" s="78"/>
      <c r="E6846" s="78"/>
    </row>
    <row r="6847" spans="1:5">
      <c r="A6847" s="76" t="s">
        <v>2538</v>
      </c>
      <c r="B6847" s="77"/>
      <c r="C6847" s="78"/>
      <c r="D6847" s="78"/>
      <c r="E6847" s="78">
        <f>E6845</f>
        <v>0.25</v>
      </c>
    </row>
    <row r="6848" spans="1:5">
      <c r="A6848" s="76" t="s">
        <v>2539</v>
      </c>
      <c r="B6848" s="77"/>
      <c r="C6848" s="78"/>
      <c r="D6848" s="78">
        <v>0</v>
      </c>
      <c r="E6848" s="78">
        <f>TRUNC(D6848*E6847/100,2)</f>
        <v>0</v>
      </c>
    </row>
    <row r="6849" spans="1:5">
      <c r="A6849" s="76" t="s">
        <v>2540</v>
      </c>
      <c r="B6849" s="77"/>
      <c r="C6849" s="78"/>
      <c r="D6849" s="78"/>
      <c r="E6849" s="78">
        <f>E6847+E6848</f>
        <v>0.25</v>
      </c>
    </row>
    <row r="6850" spans="1:5">
      <c r="A6850" s="76"/>
      <c r="B6850" s="77"/>
      <c r="C6850" s="78"/>
      <c r="D6850" s="78"/>
      <c r="E6850" s="78"/>
    </row>
    <row r="6851" spans="1:5">
      <c r="A6851" s="76" t="s">
        <v>3092</v>
      </c>
      <c r="B6851" s="77" t="s">
        <v>4050</v>
      </c>
      <c r="C6851" s="78"/>
      <c r="D6851" s="78"/>
      <c r="E6851" s="78"/>
    </row>
    <row r="6852" ht="25.5" spans="1:5">
      <c r="A6852" s="76" t="s">
        <v>4051</v>
      </c>
      <c r="B6852" s="77"/>
      <c r="C6852" s="78"/>
      <c r="D6852" s="78"/>
      <c r="E6852" s="78"/>
    </row>
    <row r="6853" spans="1:5">
      <c r="A6853" s="76" t="s">
        <v>2764</v>
      </c>
      <c r="B6853" s="77"/>
      <c r="C6853" s="78"/>
      <c r="D6853" s="78"/>
      <c r="E6853" s="78"/>
    </row>
    <row r="6854" spans="1:5">
      <c r="A6854" s="76"/>
      <c r="B6854" s="77"/>
      <c r="C6854" s="78"/>
      <c r="D6854" s="78"/>
      <c r="E6854" s="78"/>
    </row>
    <row r="6855" spans="1:5">
      <c r="A6855" s="76" t="s">
        <v>279</v>
      </c>
      <c r="B6855" s="77" t="s">
        <v>135</v>
      </c>
      <c r="C6855" s="78" t="s">
        <v>136</v>
      </c>
      <c r="D6855" s="78" t="s">
        <v>2534</v>
      </c>
      <c r="E6855" s="78" t="s">
        <v>2535</v>
      </c>
    </row>
    <row r="6856" ht="25.5" spans="1:5">
      <c r="A6856" s="76" t="s">
        <v>3111</v>
      </c>
      <c r="B6856" s="77" t="s">
        <v>839</v>
      </c>
      <c r="C6856" s="78">
        <v>1</v>
      </c>
      <c r="D6856" s="78">
        <v>1.5</v>
      </c>
      <c r="E6856" s="78">
        <f>TRUNC(C6856*D6856,2)</f>
        <v>1.5</v>
      </c>
    </row>
    <row r="6857" spans="1:5">
      <c r="A6857" s="76" t="s">
        <v>122</v>
      </c>
      <c r="B6857" s="77"/>
      <c r="C6857" s="78"/>
      <c r="D6857" s="78"/>
      <c r="E6857" s="78">
        <f>SUM(E6856:E6856)</f>
        <v>1.5</v>
      </c>
    </row>
    <row r="6858" spans="1:5">
      <c r="A6858" s="76"/>
      <c r="B6858" s="77"/>
      <c r="C6858" s="78"/>
      <c r="D6858" s="78"/>
      <c r="E6858" s="78"/>
    </row>
    <row r="6859" spans="1:5">
      <c r="A6859" s="76" t="s">
        <v>280</v>
      </c>
      <c r="B6859" s="77" t="s">
        <v>135</v>
      </c>
      <c r="C6859" s="78" t="s">
        <v>136</v>
      </c>
      <c r="D6859" s="78" t="s">
        <v>2534</v>
      </c>
      <c r="E6859" s="78" t="s">
        <v>2535</v>
      </c>
    </row>
    <row r="6860" ht="25.5" spans="1:5">
      <c r="A6860" s="76" t="s">
        <v>3112</v>
      </c>
      <c r="B6860" s="77" t="s">
        <v>839</v>
      </c>
      <c r="C6860" s="78">
        <v>1</v>
      </c>
      <c r="D6860" s="78">
        <v>3.95</v>
      </c>
      <c r="E6860" s="78">
        <f>TRUNC(C6860*D6860,2)</f>
        <v>3.95</v>
      </c>
    </row>
    <row r="6861" spans="1:5">
      <c r="A6861" s="76" t="s">
        <v>4052</v>
      </c>
      <c r="B6861" s="77" t="s">
        <v>839</v>
      </c>
      <c r="C6861" s="78">
        <v>1</v>
      </c>
      <c r="D6861" s="78">
        <v>15.35</v>
      </c>
      <c r="E6861" s="78">
        <f>TRUNC(C6861*D6861,2)</f>
        <v>15.35</v>
      </c>
    </row>
    <row r="6862" ht="25.5" spans="1:5">
      <c r="A6862" s="76" t="s">
        <v>3113</v>
      </c>
      <c r="B6862" s="77" t="s">
        <v>839</v>
      </c>
      <c r="C6862" s="78">
        <v>1</v>
      </c>
      <c r="D6862" s="78">
        <v>0.08</v>
      </c>
      <c r="E6862" s="78">
        <f>TRUNC(C6862*D6862,2)</f>
        <v>0.08</v>
      </c>
    </row>
    <row r="6863" spans="1:5">
      <c r="A6863" s="76" t="s">
        <v>122</v>
      </c>
      <c r="B6863" s="77"/>
      <c r="C6863" s="78"/>
      <c r="D6863" s="78"/>
      <c r="E6863" s="78">
        <f>SUM(E6860:E6862)</f>
        <v>19.38</v>
      </c>
    </row>
    <row r="6864" spans="1:5">
      <c r="A6864" s="76" t="s">
        <v>117</v>
      </c>
      <c r="B6864" s="77"/>
      <c r="C6864" s="78"/>
      <c r="D6864" s="78"/>
      <c r="E6864" s="78" t="str">
        <f>"0"</f>
        <v>0</v>
      </c>
    </row>
    <row r="6865" spans="1:5">
      <c r="A6865" s="76" t="s">
        <v>2537</v>
      </c>
      <c r="B6865" s="77"/>
      <c r="C6865" s="78"/>
      <c r="D6865" s="78"/>
      <c r="E6865" s="78">
        <f>E6863+E6864</f>
        <v>19.38</v>
      </c>
    </row>
    <row r="6866" spans="1:5">
      <c r="A6866" s="76"/>
      <c r="B6866" s="77"/>
      <c r="C6866" s="78"/>
      <c r="D6866" s="78"/>
      <c r="E6866" s="78"/>
    </row>
    <row r="6867" spans="1:5">
      <c r="A6867" s="76" t="s">
        <v>2543</v>
      </c>
      <c r="B6867" s="77" t="s">
        <v>135</v>
      </c>
      <c r="C6867" s="78" t="s">
        <v>136</v>
      </c>
      <c r="D6867" s="78" t="s">
        <v>2534</v>
      </c>
      <c r="E6867" s="78" t="s">
        <v>2535</v>
      </c>
    </row>
    <row r="6868" ht="25.5" spans="1:5">
      <c r="A6868" s="76" t="s">
        <v>4053</v>
      </c>
      <c r="B6868" s="77" t="s">
        <v>839</v>
      </c>
      <c r="C6868" s="78">
        <v>1</v>
      </c>
      <c r="D6868" s="78">
        <v>1.13</v>
      </c>
      <c r="E6868" s="78">
        <f>TRUNC(C6868*D6868,2)</f>
        <v>1.13</v>
      </c>
    </row>
    <row r="6869" spans="1:5">
      <c r="A6869" s="76" t="s">
        <v>3116</v>
      </c>
      <c r="B6869" s="77" t="s">
        <v>839</v>
      </c>
      <c r="C6869" s="78">
        <v>1</v>
      </c>
      <c r="D6869" s="78">
        <v>1.43</v>
      </c>
      <c r="E6869" s="78">
        <f>TRUNC(C6869*D6869,2)</f>
        <v>1.43</v>
      </c>
    </row>
    <row r="6870" ht="25.5" spans="1:5">
      <c r="A6870" s="76" t="s">
        <v>4054</v>
      </c>
      <c r="B6870" s="77" t="s">
        <v>839</v>
      </c>
      <c r="C6870" s="78">
        <v>1</v>
      </c>
      <c r="D6870" s="78">
        <v>0.31</v>
      </c>
      <c r="E6870" s="78">
        <f>TRUNC(C6870*D6870,2)</f>
        <v>0.31</v>
      </c>
    </row>
    <row r="6871" ht="25.5" spans="1:5">
      <c r="A6871" s="76" t="s">
        <v>4055</v>
      </c>
      <c r="B6871" s="77" t="s">
        <v>839</v>
      </c>
      <c r="C6871" s="78">
        <v>1</v>
      </c>
      <c r="D6871" s="78">
        <v>0.27</v>
      </c>
      <c r="E6871" s="78">
        <f>TRUNC(C6871*D6871,2)</f>
        <v>0.27</v>
      </c>
    </row>
    <row r="6872" spans="1:5">
      <c r="A6872" s="76" t="s">
        <v>122</v>
      </c>
      <c r="B6872" s="77"/>
      <c r="C6872" s="78"/>
      <c r="D6872" s="78"/>
      <c r="E6872" s="78">
        <f>SUM(E6868:E6871)</f>
        <v>3.14</v>
      </c>
    </row>
    <row r="6873" spans="1:5">
      <c r="A6873" s="76"/>
      <c r="B6873" s="77"/>
      <c r="C6873" s="78"/>
      <c r="D6873" s="78"/>
      <c r="E6873" s="78"/>
    </row>
    <row r="6874" spans="1:5">
      <c r="A6874" s="76" t="s">
        <v>2538</v>
      </c>
      <c r="B6874" s="77"/>
      <c r="C6874" s="78"/>
      <c r="D6874" s="78"/>
      <c r="E6874" s="78">
        <f>E6857+E6865+E6872</f>
        <v>24.02</v>
      </c>
    </row>
    <row r="6875" spans="1:5">
      <c r="A6875" s="76" t="s">
        <v>2539</v>
      </c>
      <c r="B6875" s="77"/>
      <c r="C6875" s="78"/>
      <c r="D6875" s="78">
        <v>0</v>
      </c>
      <c r="E6875" s="78">
        <f>TRUNC(D6875*E6874/100,2)</f>
        <v>0</v>
      </c>
    </row>
    <row r="6876" spans="1:5">
      <c r="A6876" s="76" t="s">
        <v>2540</v>
      </c>
      <c r="B6876" s="77"/>
      <c r="C6876" s="78"/>
      <c r="D6876" s="78"/>
      <c r="E6876" s="78">
        <f>E6874+E6875</f>
        <v>24.02</v>
      </c>
    </row>
    <row r="6877" spans="1:5">
      <c r="A6877" s="76"/>
      <c r="B6877" s="77"/>
      <c r="C6877" s="78"/>
      <c r="D6877" s="78"/>
      <c r="E6877" s="78"/>
    </row>
    <row r="6878" spans="1:5">
      <c r="A6878" s="76" t="s">
        <v>3092</v>
      </c>
      <c r="B6878" s="77" t="s">
        <v>4056</v>
      </c>
      <c r="C6878" s="78"/>
      <c r="D6878" s="78"/>
      <c r="E6878" s="78"/>
    </row>
    <row r="6879" ht="25.5" spans="1:5">
      <c r="A6879" s="76" t="s">
        <v>4057</v>
      </c>
      <c r="B6879" s="77"/>
      <c r="C6879" s="78"/>
      <c r="D6879" s="78"/>
      <c r="E6879" s="78"/>
    </row>
    <row r="6880" spans="1:5">
      <c r="A6880" s="76" t="s">
        <v>2764</v>
      </c>
      <c r="B6880" s="77"/>
      <c r="C6880" s="78"/>
      <c r="D6880" s="78"/>
      <c r="E6880" s="78"/>
    </row>
    <row r="6881" spans="1:5">
      <c r="A6881" s="76"/>
      <c r="B6881" s="77"/>
      <c r="C6881" s="78"/>
      <c r="D6881" s="78"/>
      <c r="E6881" s="78"/>
    </row>
    <row r="6882" spans="1:5">
      <c r="A6882" s="76" t="s">
        <v>280</v>
      </c>
      <c r="B6882" s="77" t="s">
        <v>135</v>
      </c>
      <c r="C6882" s="78" t="s">
        <v>136</v>
      </c>
      <c r="D6882" s="78" t="s">
        <v>2534</v>
      </c>
      <c r="E6882" s="78" t="s">
        <v>2535</v>
      </c>
    </row>
    <row r="6883" spans="1:5">
      <c r="A6883" s="76" t="s">
        <v>4052</v>
      </c>
      <c r="B6883" s="77" t="s">
        <v>839</v>
      </c>
      <c r="C6883" s="78">
        <v>0.01798</v>
      </c>
      <c r="D6883" s="78">
        <v>15.35</v>
      </c>
      <c r="E6883" s="78">
        <f>TRUNC(C6883*D6883,2)</f>
        <v>0.27</v>
      </c>
    </row>
    <row r="6884" spans="1:5">
      <c r="A6884" s="76" t="s">
        <v>122</v>
      </c>
      <c r="B6884" s="77"/>
      <c r="C6884" s="78"/>
      <c r="D6884" s="78"/>
      <c r="E6884" s="78">
        <f>SUM(E6883:E6883)</f>
        <v>0.27</v>
      </c>
    </row>
    <row r="6885" spans="1:5">
      <c r="A6885" s="76" t="s">
        <v>117</v>
      </c>
      <c r="B6885" s="77"/>
      <c r="C6885" s="78"/>
      <c r="D6885" s="78"/>
      <c r="E6885" s="78" t="str">
        <f>"0"</f>
        <v>0</v>
      </c>
    </row>
    <row r="6886" spans="1:5">
      <c r="A6886" s="76" t="s">
        <v>2537</v>
      </c>
      <c r="B6886" s="77"/>
      <c r="C6886" s="78"/>
      <c r="D6886" s="78"/>
      <c r="E6886" s="78">
        <f>E6884+E6885</f>
        <v>0.27</v>
      </c>
    </row>
    <row r="6887" spans="1:5">
      <c r="A6887" s="76"/>
      <c r="B6887" s="77"/>
      <c r="C6887" s="78"/>
      <c r="D6887" s="78"/>
      <c r="E6887" s="78"/>
    </row>
    <row r="6888" spans="1:5">
      <c r="A6888" s="76" t="s">
        <v>2538</v>
      </c>
      <c r="B6888" s="77"/>
      <c r="C6888" s="78"/>
      <c r="D6888" s="78"/>
      <c r="E6888" s="78">
        <f>E6886</f>
        <v>0.27</v>
      </c>
    </row>
    <row r="6889" spans="1:5">
      <c r="A6889" s="76" t="s">
        <v>2539</v>
      </c>
      <c r="B6889" s="77"/>
      <c r="C6889" s="78"/>
      <c r="D6889" s="78">
        <v>0</v>
      </c>
      <c r="E6889" s="78">
        <f>TRUNC(D6889*E6888/100,2)</f>
        <v>0</v>
      </c>
    </row>
    <row r="6890" spans="1:5">
      <c r="A6890" s="76" t="s">
        <v>2540</v>
      </c>
      <c r="B6890" s="77"/>
      <c r="C6890" s="78"/>
      <c r="D6890" s="78"/>
      <c r="E6890" s="78">
        <f>E6888+E6889</f>
        <v>0.27</v>
      </c>
    </row>
    <row r="6891" spans="1:5">
      <c r="A6891" s="76"/>
      <c r="B6891" s="77"/>
      <c r="C6891" s="78"/>
      <c r="D6891" s="78"/>
      <c r="E6891" s="78"/>
    </row>
    <row r="6892" spans="1:5">
      <c r="A6892" s="76" t="s">
        <v>3092</v>
      </c>
      <c r="B6892" s="77" t="s">
        <v>4058</v>
      </c>
      <c r="C6892" s="78"/>
      <c r="D6892" s="78"/>
      <c r="E6892" s="78"/>
    </row>
    <row r="6893" spans="1:5">
      <c r="A6893" s="76" t="s">
        <v>4059</v>
      </c>
      <c r="B6893" s="77"/>
      <c r="C6893" s="78"/>
      <c r="D6893" s="78"/>
      <c r="E6893" s="78"/>
    </row>
    <row r="6894" spans="1:5">
      <c r="A6894" s="76" t="s">
        <v>2764</v>
      </c>
      <c r="B6894" s="77"/>
      <c r="C6894" s="78"/>
      <c r="D6894" s="78"/>
      <c r="E6894" s="78"/>
    </row>
    <row r="6895" spans="1:5">
      <c r="A6895" s="76"/>
      <c r="B6895" s="77"/>
      <c r="C6895" s="78"/>
      <c r="D6895" s="78"/>
      <c r="E6895" s="78"/>
    </row>
    <row r="6896" spans="1:5">
      <c r="A6896" s="76" t="s">
        <v>279</v>
      </c>
      <c r="B6896" s="77" t="s">
        <v>135</v>
      </c>
      <c r="C6896" s="78" t="s">
        <v>136</v>
      </c>
      <c r="D6896" s="78" t="s">
        <v>2534</v>
      </c>
      <c r="E6896" s="78" t="s">
        <v>2535</v>
      </c>
    </row>
    <row r="6897" ht="25.5" spans="1:5">
      <c r="A6897" s="76" t="s">
        <v>3111</v>
      </c>
      <c r="B6897" s="77" t="s">
        <v>839</v>
      </c>
      <c r="C6897" s="78">
        <v>1</v>
      </c>
      <c r="D6897" s="78">
        <v>1.5</v>
      </c>
      <c r="E6897" s="78">
        <f>TRUNC(C6897*D6897,2)</f>
        <v>1.5</v>
      </c>
    </row>
    <row r="6898" spans="1:5">
      <c r="A6898" s="76" t="s">
        <v>122</v>
      </c>
      <c r="B6898" s="77"/>
      <c r="C6898" s="78"/>
      <c r="D6898" s="78"/>
      <c r="E6898" s="78">
        <f>SUM(E6897:E6897)</f>
        <v>1.5</v>
      </c>
    </row>
    <row r="6899" spans="1:5">
      <c r="A6899" s="76"/>
      <c r="B6899" s="77"/>
      <c r="C6899" s="78"/>
      <c r="D6899" s="78"/>
      <c r="E6899" s="78"/>
    </row>
    <row r="6900" spans="1:5">
      <c r="A6900" s="76" t="s">
        <v>280</v>
      </c>
      <c r="B6900" s="77" t="s">
        <v>135</v>
      </c>
      <c r="C6900" s="78" t="s">
        <v>136</v>
      </c>
      <c r="D6900" s="78" t="s">
        <v>2534</v>
      </c>
      <c r="E6900" s="78" t="s">
        <v>2535</v>
      </c>
    </row>
    <row r="6901" ht="25.5" spans="1:5">
      <c r="A6901" s="76" t="s">
        <v>3112</v>
      </c>
      <c r="B6901" s="77" t="s">
        <v>839</v>
      </c>
      <c r="C6901" s="78">
        <v>1</v>
      </c>
      <c r="D6901" s="78">
        <v>3.95</v>
      </c>
      <c r="E6901" s="78">
        <f>TRUNC(C6901*D6901,2)</f>
        <v>3.95</v>
      </c>
    </row>
    <row r="6902" spans="1:5">
      <c r="A6902" s="76" t="s">
        <v>4060</v>
      </c>
      <c r="B6902" s="77" t="s">
        <v>839</v>
      </c>
      <c r="C6902" s="78">
        <v>1</v>
      </c>
      <c r="D6902" s="78">
        <v>21.83</v>
      </c>
      <c r="E6902" s="78">
        <f>TRUNC(C6902*D6902,2)</f>
        <v>21.83</v>
      </c>
    </row>
    <row r="6903" ht="25.5" spans="1:5">
      <c r="A6903" s="76" t="s">
        <v>3113</v>
      </c>
      <c r="B6903" s="77" t="s">
        <v>839</v>
      </c>
      <c r="C6903" s="78">
        <v>1</v>
      </c>
      <c r="D6903" s="78">
        <v>0.08</v>
      </c>
      <c r="E6903" s="78">
        <f>TRUNC(C6903*D6903,2)</f>
        <v>0.08</v>
      </c>
    </row>
    <row r="6904" spans="1:5">
      <c r="A6904" s="76" t="s">
        <v>122</v>
      </c>
      <c r="B6904" s="77"/>
      <c r="C6904" s="78"/>
      <c r="D6904" s="78"/>
      <c r="E6904" s="78">
        <f>SUM(E6901:E6903)</f>
        <v>25.86</v>
      </c>
    </row>
    <row r="6905" spans="1:5">
      <c r="A6905" s="76" t="s">
        <v>117</v>
      </c>
      <c r="B6905" s="77"/>
      <c r="C6905" s="78"/>
      <c r="D6905" s="78"/>
      <c r="E6905" s="78" t="str">
        <f>"0"</f>
        <v>0</v>
      </c>
    </row>
    <row r="6906" spans="1:5">
      <c r="A6906" s="76" t="s">
        <v>2537</v>
      </c>
      <c r="B6906" s="77"/>
      <c r="C6906" s="78"/>
      <c r="D6906" s="78"/>
      <c r="E6906" s="78">
        <f>E6904+E6905</f>
        <v>25.86</v>
      </c>
    </row>
    <row r="6907" spans="1:5">
      <c r="A6907" s="76"/>
      <c r="B6907" s="77"/>
      <c r="C6907" s="78"/>
      <c r="D6907" s="78"/>
      <c r="E6907" s="78"/>
    </row>
    <row r="6908" spans="1:5">
      <c r="A6908" s="76" t="s">
        <v>2543</v>
      </c>
      <c r="B6908" s="77" t="s">
        <v>135</v>
      </c>
      <c r="C6908" s="78" t="s">
        <v>136</v>
      </c>
      <c r="D6908" s="78" t="s">
        <v>2534</v>
      </c>
      <c r="E6908" s="78" t="s">
        <v>2535</v>
      </c>
    </row>
    <row r="6909" ht="25.5" spans="1:5">
      <c r="A6909" s="76" t="s">
        <v>4053</v>
      </c>
      <c r="B6909" s="77" t="s">
        <v>839</v>
      </c>
      <c r="C6909" s="78">
        <v>1</v>
      </c>
      <c r="D6909" s="78">
        <v>1.13</v>
      </c>
      <c r="E6909" s="78">
        <f>TRUNC(C6909*D6909,2)</f>
        <v>1.13</v>
      </c>
    </row>
    <row r="6910" spans="1:5">
      <c r="A6910" s="76" t="s">
        <v>3116</v>
      </c>
      <c r="B6910" s="77" t="s">
        <v>839</v>
      </c>
      <c r="C6910" s="78">
        <v>1</v>
      </c>
      <c r="D6910" s="78">
        <v>1.43</v>
      </c>
      <c r="E6910" s="78">
        <f>TRUNC(C6910*D6910,2)</f>
        <v>1.43</v>
      </c>
    </row>
    <row r="6911" ht="25.5" spans="1:5">
      <c r="A6911" s="76" t="s">
        <v>4054</v>
      </c>
      <c r="B6911" s="77" t="s">
        <v>839</v>
      </c>
      <c r="C6911" s="78">
        <v>1</v>
      </c>
      <c r="D6911" s="78">
        <v>0.31</v>
      </c>
      <c r="E6911" s="78">
        <f>TRUNC(C6911*D6911,2)</f>
        <v>0.31</v>
      </c>
    </row>
    <row r="6912" ht="25.5" spans="1:5">
      <c r="A6912" s="76" t="s">
        <v>4061</v>
      </c>
      <c r="B6912" s="77" t="s">
        <v>839</v>
      </c>
      <c r="C6912" s="78">
        <v>1</v>
      </c>
      <c r="D6912" s="78">
        <v>0.39</v>
      </c>
      <c r="E6912" s="78">
        <f>TRUNC(C6912*D6912,2)</f>
        <v>0.39</v>
      </c>
    </row>
    <row r="6913" spans="1:5">
      <c r="A6913" s="76" t="s">
        <v>122</v>
      </c>
      <c r="B6913" s="77"/>
      <c r="C6913" s="78"/>
      <c r="D6913" s="78"/>
      <c r="E6913" s="78">
        <f>SUM(E6909:E6912)</f>
        <v>3.26</v>
      </c>
    </row>
    <row r="6914" spans="1:5">
      <c r="A6914" s="76"/>
      <c r="B6914" s="77"/>
      <c r="C6914" s="78"/>
      <c r="D6914" s="78"/>
      <c r="E6914" s="78"/>
    </row>
    <row r="6915" spans="1:5">
      <c r="A6915" s="76" t="s">
        <v>2538</v>
      </c>
      <c r="B6915" s="77"/>
      <c r="C6915" s="78"/>
      <c r="D6915" s="78"/>
      <c r="E6915" s="78">
        <f>E6898+E6906+E6913</f>
        <v>30.62</v>
      </c>
    </row>
    <row r="6916" spans="1:5">
      <c r="A6916" s="76" t="s">
        <v>2539</v>
      </c>
      <c r="B6916" s="77"/>
      <c r="C6916" s="78"/>
      <c r="D6916" s="78">
        <v>0</v>
      </c>
      <c r="E6916" s="78">
        <f>TRUNC(D6916*E6915/100,2)</f>
        <v>0</v>
      </c>
    </row>
    <row r="6917" spans="1:5">
      <c r="A6917" s="76" t="s">
        <v>2540</v>
      </c>
      <c r="B6917" s="77"/>
      <c r="C6917" s="78"/>
      <c r="D6917" s="78"/>
      <c r="E6917" s="78">
        <f>E6915+E6916</f>
        <v>30.62</v>
      </c>
    </row>
    <row r="6918" spans="1:5">
      <c r="A6918" s="76"/>
      <c r="B6918" s="77"/>
      <c r="C6918" s="78"/>
      <c r="D6918" s="78"/>
      <c r="E6918" s="78"/>
    </row>
    <row r="6919" spans="1:5">
      <c r="A6919" s="76" t="s">
        <v>3092</v>
      </c>
      <c r="B6919" s="77" t="s">
        <v>4062</v>
      </c>
      <c r="C6919" s="78"/>
      <c r="D6919" s="78"/>
      <c r="E6919" s="78"/>
    </row>
    <row r="6920" ht="25.5" spans="1:5">
      <c r="A6920" s="76" t="s">
        <v>4063</v>
      </c>
      <c r="B6920" s="77"/>
      <c r="C6920" s="78"/>
      <c r="D6920" s="78"/>
      <c r="E6920" s="78"/>
    </row>
    <row r="6921" spans="1:5">
      <c r="A6921" s="76" t="s">
        <v>2764</v>
      </c>
      <c r="B6921" s="77"/>
      <c r="C6921" s="78"/>
      <c r="D6921" s="78"/>
      <c r="E6921" s="78"/>
    </row>
    <row r="6922" spans="1:5">
      <c r="A6922" s="76"/>
      <c r="B6922" s="77"/>
      <c r="C6922" s="78"/>
      <c r="D6922" s="78"/>
      <c r="E6922" s="78"/>
    </row>
    <row r="6923" spans="1:5">
      <c r="A6923" s="76" t="s">
        <v>280</v>
      </c>
      <c r="B6923" s="77" t="s">
        <v>135</v>
      </c>
      <c r="C6923" s="78" t="s">
        <v>136</v>
      </c>
      <c r="D6923" s="78" t="s">
        <v>2534</v>
      </c>
      <c r="E6923" s="78" t="s">
        <v>2535</v>
      </c>
    </row>
    <row r="6924" spans="1:5">
      <c r="A6924" s="76" t="s">
        <v>4060</v>
      </c>
      <c r="B6924" s="77" t="s">
        <v>839</v>
      </c>
      <c r="C6924" s="78">
        <v>0.01798</v>
      </c>
      <c r="D6924" s="78">
        <v>21.83</v>
      </c>
      <c r="E6924" s="78">
        <f>TRUNC(C6924*D6924,2)</f>
        <v>0.39</v>
      </c>
    </row>
    <row r="6925" spans="1:5">
      <c r="A6925" s="76" t="s">
        <v>122</v>
      </c>
      <c r="B6925" s="77"/>
      <c r="C6925" s="78"/>
      <c r="D6925" s="78"/>
      <c r="E6925" s="78">
        <f>SUM(E6924:E6924)</f>
        <v>0.39</v>
      </c>
    </row>
    <row r="6926" spans="1:5">
      <c r="A6926" s="76" t="s">
        <v>117</v>
      </c>
      <c r="B6926" s="77"/>
      <c r="C6926" s="78"/>
      <c r="D6926" s="78"/>
      <c r="E6926" s="78" t="str">
        <f>"0"</f>
        <v>0</v>
      </c>
    </row>
    <row r="6927" spans="1:5">
      <c r="A6927" s="76" t="s">
        <v>2537</v>
      </c>
      <c r="B6927" s="77"/>
      <c r="C6927" s="78"/>
      <c r="D6927" s="78"/>
      <c r="E6927" s="78">
        <f>E6925+E6926</f>
        <v>0.39</v>
      </c>
    </row>
    <row r="6928" spans="1:5">
      <c r="A6928" s="76"/>
      <c r="B6928" s="77"/>
      <c r="C6928" s="78"/>
      <c r="D6928" s="78"/>
      <c r="E6928" s="78"/>
    </row>
    <row r="6929" spans="1:5">
      <c r="A6929" s="76" t="s">
        <v>2538</v>
      </c>
      <c r="B6929" s="77"/>
      <c r="C6929" s="78"/>
      <c r="D6929" s="78"/>
      <c r="E6929" s="78">
        <f>E6927</f>
        <v>0.39</v>
      </c>
    </row>
    <row r="6930" spans="1:5">
      <c r="A6930" s="76" t="s">
        <v>2539</v>
      </c>
      <c r="B6930" s="77"/>
      <c r="C6930" s="78"/>
      <c r="D6930" s="78">
        <v>0</v>
      </c>
      <c r="E6930" s="78">
        <f>TRUNC(D6930*E6929/100,2)</f>
        <v>0</v>
      </c>
    </row>
    <row r="6931" spans="1:5">
      <c r="A6931" s="76" t="s">
        <v>2540</v>
      </c>
      <c r="B6931" s="77"/>
      <c r="C6931" s="78"/>
      <c r="D6931" s="78"/>
      <c r="E6931" s="78">
        <f>E6929+E6930</f>
        <v>0.39</v>
      </c>
    </row>
    <row r="6932" spans="1:5">
      <c r="A6932" s="76"/>
      <c r="B6932" s="77"/>
      <c r="C6932" s="78"/>
      <c r="D6932" s="78"/>
      <c r="E6932" s="78"/>
    </row>
    <row r="6933" spans="1:5">
      <c r="A6933" s="76" t="s">
        <v>3092</v>
      </c>
      <c r="B6933" s="77" t="s">
        <v>4064</v>
      </c>
      <c r="C6933" s="78"/>
      <c r="D6933" s="78"/>
      <c r="E6933" s="78"/>
    </row>
    <row r="6934" ht="25.5" spans="1:5">
      <c r="A6934" s="76" t="s">
        <v>4065</v>
      </c>
      <c r="B6934" s="77"/>
      <c r="C6934" s="78"/>
      <c r="D6934" s="78"/>
      <c r="E6934" s="78"/>
    </row>
    <row r="6935" spans="1:5">
      <c r="A6935" s="76" t="s">
        <v>3085</v>
      </c>
      <c r="B6935" s="77"/>
      <c r="C6935" s="78"/>
      <c r="D6935" s="78"/>
      <c r="E6935" s="78"/>
    </row>
    <row r="6936" spans="1:5">
      <c r="A6936" s="76"/>
      <c r="B6936" s="77"/>
      <c r="C6936" s="78"/>
      <c r="D6936" s="78"/>
      <c r="E6936" s="78"/>
    </row>
    <row r="6937" spans="1:5">
      <c r="A6937" s="76" t="s">
        <v>2543</v>
      </c>
      <c r="B6937" s="77" t="s">
        <v>135</v>
      </c>
      <c r="C6937" s="78" t="s">
        <v>136</v>
      </c>
      <c r="D6937" s="78" t="s">
        <v>2534</v>
      </c>
      <c r="E6937" s="78" t="s">
        <v>2535</v>
      </c>
    </row>
    <row r="6938" ht="25.5" spans="1:5">
      <c r="A6938" s="76" t="s">
        <v>4066</v>
      </c>
      <c r="B6938" s="77" t="s">
        <v>839</v>
      </c>
      <c r="C6938" s="78">
        <v>1</v>
      </c>
      <c r="D6938" s="78">
        <v>4.49</v>
      </c>
      <c r="E6938" s="78">
        <f>TRUNC(C6938*D6938,2)</f>
        <v>4.49</v>
      </c>
    </row>
    <row r="6939" ht="25.5" spans="1:5">
      <c r="A6939" s="76" t="s">
        <v>4067</v>
      </c>
      <c r="B6939" s="77" t="s">
        <v>839</v>
      </c>
      <c r="C6939" s="78">
        <v>1</v>
      </c>
      <c r="D6939" s="78">
        <v>4.01</v>
      </c>
      <c r="E6939" s="78">
        <f>TRUNC(C6939*D6939,2)</f>
        <v>4.01</v>
      </c>
    </row>
    <row r="6940" ht="25.5" spans="1:5">
      <c r="A6940" s="76" t="s">
        <v>4068</v>
      </c>
      <c r="B6940" s="77" t="s">
        <v>839</v>
      </c>
      <c r="C6940" s="78">
        <v>1</v>
      </c>
      <c r="D6940" s="78">
        <v>1.58</v>
      </c>
      <c r="E6940" s="78">
        <f>TRUNC(C6940*D6940,2)</f>
        <v>1.58</v>
      </c>
    </row>
    <row r="6941" ht="25.5" spans="1:5">
      <c r="A6941" s="76" t="s">
        <v>4069</v>
      </c>
      <c r="B6941" s="77" t="s">
        <v>839</v>
      </c>
      <c r="C6941" s="78">
        <v>1</v>
      </c>
      <c r="D6941" s="78">
        <v>66.47</v>
      </c>
      <c r="E6941" s="78">
        <f>TRUNC(C6941*D6941,2)</f>
        <v>66.47</v>
      </c>
    </row>
    <row r="6942" spans="1:5">
      <c r="A6942" s="76" t="s">
        <v>122</v>
      </c>
      <c r="B6942" s="77"/>
      <c r="C6942" s="78"/>
      <c r="D6942" s="78"/>
      <c r="E6942" s="78">
        <f>SUM(E6938:E6941)</f>
        <v>76.55</v>
      </c>
    </row>
    <row r="6943" spans="1:5">
      <c r="A6943" s="76"/>
      <c r="B6943" s="77"/>
      <c r="C6943" s="78"/>
      <c r="D6943" s="78"/>
      <c r="E6943" s="78"/>
    </row>
    <row r="6944" spans="1:5">
      <c r="A6944" s="76" t="s">
        <v>2538</v>
      </c>
      <c r="B6944" s="77"/>
      <c r="C6944" s="78"/>
      <c r="D6944" s="78"/>
      <c r="E6944" s="78">
        <f>E6942</f>
        <v>76.55</v>
      </c>
    </row>
    <row r="6945" spans="1:5">
      <c r="A6945" s="76" t="s">
        <v>2539</v>
      </c>
      <c r="B6945" s="77"/>
      <c r="C6945" s="78"/>
      <c r="D6945" s="78">
        <v>0</v>
      </c>
      <c r="E6945" s="78">
        <f>TRUNC(D6945*E6944/100,2)</f>
        <v>0</v>
      </c>
    </row>
    <row r="6946" spans="1:5">
      <c r="A6946" s="76" t="s">
        <v>2540</v>
      </c>
      <c r="B6946" s="77"/>
      <c r="C6946" s="78"/>
      <c r="D6946" s="78"/>
      <c r="E6946" s="78">
        <f>E6944+E6945</f>
        <v>76.55</v>
      </c>
    </row>
    <row r="6947" spans="1:5">
      <c r="A6947" s="76"/>
      <c r="B6947" s="77"/>
      <c r="C6947" s="78"/>
      <c r="D6947" s="78"/>
      <c r="E6947" s="78"/>
    </row>
    <row r="6948" spans="1:5">
      <c r="A6948" s="76" t="s">
        <v>3092</v>
      </c>
      <c r="B6948" s="77" t="s">
        <v>4070</v>
      </c>
      <c r="C6948" s="78"/>
      <c r="D6948" s="78"/>
      <c r="E6948" s="78"/>
    </row>
    <row r="6949" ht="25.5" spans="1:5">
      <c r="A6949" s="76" t="s">
        <v>4071</v>
      </c>
      <c r="B6949" s="77"/>
      <c r="C6949" s="78"/>
      <c r="D6949" s="78"/>
      <c r="E6949" s="78"/>
    </row>
    <row r="6950" spans="1:5">
      <c r="A6950" s="76" t="s">
        <v>2764</v>
      </c>
      <c r="B6950" s="77"/>
      <c r="C6950" s="78"/>
      <c r="D6950" s="78"/>
      <c r="E6950" s="78"/>
    </row>
    <row r="6951" spans="1:5">
      <c r="A6951" s="76"/>
      <c r="B6951" s="77"/>
      <c r="C6951" s="78"/>
      <c r="D6951" s="78"/>
      <c r="E6951" s="78"/>
    </row>
    <row r="6952" spans="1:5">
      <c r="A6952" s="76" t="s">
        <v>2543</v>
      </c>
      <c r="B6952" s="77" t="s">
        <v>135</v>
      </c>
      <c r="C6952" s="78" t="s">
        <v>136</v>
      </c>
      <c r="D6952" s="78" t="s">
        <v>2534</v>
      </c>
      <c r="E6952" s="78" t="s">
        <v>2535</v>
      </c>
    </row>
    <row r="6953" spans="1:5">
      <c r="A6953" s="76" t="s">
        <v>4072</v>
      </c>
      <c r="B6953" s="77" t="s">
        <v>494</v>
      </c>
      <c r="C6953" s="78">
        <v>4e-5</v>
      </c>
      <c r="D6953" s="78">
        <v>112469.48</v>
      </c>
      <c r="E6953" s="78">
        <f>TRUNC(C6953*D6953,2)</f>
        <v>4.49</v>
      </c>
    </row>
    <row r="6954" spans="1:5">
      <c r="A6954" s="76" t="s">
        <v>122</v>
      </c>
      <c r="B6954" s="77"/>
      <c r="C6954" s="78"/>
      <c r="D6954" s="78"/>
      <c r="E6954" s="78">
        <f>SUM(E6953:E6953)</f>
        <v>4.49</v>
      </c>
    </row>
    <row r="6955" spans="1:5">
      <c r="A6955" s="76"/>
      <c r="B6955" s="77"/>
      <c r="C6955" s="78"/>
      <c r="D6955" s="78"/>
      <c r="E6955" s="78"/>
    </row>
    <row r="6956" spans="1:5">
      <c r="A6956" s="76" t="s">
        <v>2538</v>
      </c>
      <c r="B6956" s="77"/>
      <c r="C6956" s="78"/>
      <c r="D6956" s="78"/>
      <c r="E6956" s="78">
        <f>E6954</f>
        <v>4.49</v>
      </c>
    </row>
    <row r="6957" spans="1:5">
      <c r="A6957" s="76" t="s">
        <v>2539</v>
      </c>
      <c r="B6957" s="77"/>
      <c r="C6957" s="78"/>
      <c r="D6957" s="78">
        <v>0</v>
      </c>
      <c r="E6957" s="78">
        <f>TRUNC(D6957*E6956/100,2)</f>
        <v>0</v>
      </c>
    </row>
    <row r="6958" spans="1:5">
      <c r="A6958" s="76" t="s">
        <v>2540</v>
      </c>
      <c r="B6958" s="77"/>
      <c r="C6958" s="78"/>
      <c r="D6958" s="78"/>
      <c r="E6958" s="78">
        <f>E6956+E6957</f>
        <v>4.49</v>
      </c>
    </row>
    <row r="6959" spans="1:5">
      <c r="A6959" s="76"/>
      <c r="B6959" s="77"/>
      <c r="C6959" s="78"/>
      <c r="D6959" s="78"/>
      <c r="E6959" s="78"/>
    </row>
    <row r="6960" spans="1:5">
      <c r="A6960" s="76" t="s">
        <v>3092</v>
      </c>
      <c r="B6960" s="77" t="s">
        <v>4073</v>
      </c>
      <c r="C6960" s="78"/>
      <c r="D6960" s="78"/>
      <c r="E6960" s="78"/>
    </row>
    <row r="6961" ht="25.5" spans="1:5">
      <c r="A6961" s="76" t="s">
        <v>4074</v>
      </c>
      <c r="B6961" s="77"/>
      <c r="C6961" s="78"/>
      <c r="D6961" s="78"/>
      <c r="E6961" s="78"/>
    </row>
    <row r="6962" spans="1:5">
      <c r="A6962" s="76" t="s">
        <v>2764</v>
      </c>
      <c r="B6962" s="77"/>
      <c r="C6962" s="78"/>
      <c r="D6962" s="78"/>
      <c r="E6962" s="78"/>
    </row>
    <row r="6963" spans="1:5">
      <c r="A6963" s="76"/>
      <c r="B6963" s="77"/>
      <c r="C6963" s="78"/>
      <c r="D6963" s="78"/>
      <c r="E6963" s="78"/>
    </row>
    <row r="6964" spans="1:5">
      <c r="A6964" s="76" t="s">
        <v>2543</v>
      </c>
      <c r="B6964" s="77" t="s">
        <v>135</v>
      </c>
      <c r="C6964" s="78" t="s">
        <v>136</v>
      </c>
      <c r="D6964" s="78" t="s">
        <v>2534</v>
      </c>
      <c r="E6964" s="78" t="s">
        <v>2535</v>
      </c>
    </row>
    <row r="6965" spans="1:5">
      <c r="A6965" s="76" t="s">
        <v>4072</v>
      </c>
      <c r="B6965" s="77" t="s">
        <v>494</v>
      </c>
      <c r="C6965" s="78">
        <v>3.57e-5</v>
      </c>
      <c r="D6965" s="78">
        <v>112469.48</v>
      </c>
      <c r="E6965" s="78">
        <f>TRUNC(C6965*D6965,2)</f>
        <v>4.01</v>
      </c>
    </row>
    <row r="6966" spans="1:5">
      <c r="A6966" s="76" t="s">
        <v>122</v>
      </c>
      <c r="B6966" s="77"/>
      <c r="C6966" s="78"/>
      <c r="D6966" s="78"/>
      <c r="E6966" s="78">
        <f>SUM(E6965:E6965)</f>
        <v>4.01</v>
      </c>
    </row>
    <row r="6967" spans="1:5">
      <c r="A6967" s="76"/>
      <c r="B6967" s="77"/>
      <c r="C6967" s="78"/>
      <c r="D6967" s="78"/>
      <c r="E6967" s="78"/>
    </row>
    <row r="6968" spans="1:5">
      <c r="A6968" s="76" t="s">
        <v>2538</v>
      </c>
      <c r="B6968" s="77"/>
      <c r="C6968" s="78"/>
      <c r="D6968" s="78"/>
      <c r="E6968" s="78">
        <f>E6966</f>
        <v>4.01</v>
      </c>
    </row>
    <row r="6969" spans="1:5">
      <c r="A6969" s="76" t="s">
        <v>2539</v>
      </c>
      <c r="B6969" s="77"/>
      <c r="C6969" s="78"/>
      <c r="D6969" s="78">
        <v>0</v>
      </c>
      <c r="E6969" s="78">
        <f>TRUNC(D6969*E6968/100,2)</f>
        <v>0</v>
      </c>
    </row>
    <row r="6970" spans="1:5">
      <c r="A6970" s="76" t="s">
        <v>2540</v>
      </c>
      <c r="B6970" s="77"/>
      <c r="C6970" s="78"/>
      <c r="D6970" s="78"/>
      <c r="E6970" s="78">
        <f>E6968+E6969</f>
        <v>4.01</v>
      </c>
    </row>
    <row r="6971" spans="1:5">
      <c r="A6971" s="76"/>
      <c r="B6971" s="77"/>
      <c r="C6971" s="78"/>
      <c r="D6971" s="78"/>
      <c r="E6971" s="78"/>
    </row>
    <row r="6972" spans="1:5">
      <c r="A6972" s="76" t="s">
        <v>3092</v>
      </c>
      <c r="B6972" s="77" t="s">
        <v>4075</v>
      </c>
      <c r="C6972" s="78"/>
      <c r="D6972" s="78"/>
      <c r="E6972" s="78"/>
    </row>
    <row r="6973" ht="25.5" spans="1:5">
      <c r="A6973" s="76" t="s">
        <v>4076</v>
      </c>
      <c r="B6973" s="77"/>
      <c r="C6973" s="78"/>
      <c r="D6973" s="78"/>
      <c r="E6973" s="78"/>
    </row>
    <row r="6974" spans="1:5">
      <c r="A6974" s="76" t="s">
        <v>2764</v>
      </c>
      <c r="B6974" s="77"/>
      <c r="C6974" s="78"/>
      <c r="D6974" s="78"/>
      <c r="E6974" s="78"/>
    </row>
    <row r="6975" spans="1:5">
      <c r="A6975" s="76"/>
      <c r="B6975" s="77"/>
      <c r="C6975" s="78"/>
      <c r="D6975" s="78"/>
      <c r="E6975" s="78"/>
    </row>
    <row r="6976" spans="1:5">
      <c r="A6976" s="76" t="s">
        <v>2543</v>
      </c>
      <c r="B6976" s="77" t="s">
        <v>135</v>
      </c>
      <c r="C6976" s="78" t="s">
        <v>136</v>
      </c>
      <c r="D6976" s="78" t="s">
        <v>2534</v>
      </c>
      <c r="E6976" s="78" t="s">
        <v>2535</v>
      </c>
    </row>
    <row r="6977" spans="1:5">
      <c r="A6977" s="76" t="s">
        <v>4072</v>
      </c>
      <c r="B6977" s="77" t="s">
        <v>494</v>
      </c>
      <c r="C6977" s="78">
        <v>1.41e-5</v>
      </c>
      <c r="D6977" s="78">
        <v>112469.48</v>
      </c>
      <c r="E6977" s="78">
        <f>TRUNC(C6977*D6977,2)</f>
        <v>1.58</v>
      </c>
    </row>
    <row r="6978" spans="1:5">
      <c r="A6978" s="76" t="s">
        <v>122</v>
      </c>
      <c r="B6978" s="77"/>
      <c r="C6978" s="78"/>
      <c r="D6978" s="78"/>
      <c r="E6978" s="78">
        <f>SUM(E6977:E6977)</f>
        <v>1.58</v>
      </c>
    </row>
    <row r="6979" spans="1:5">
      <c r="A6979" s="76"/>
      <c r="B6979" s="77"/>
      <c r="C6979" s="78"/>
      <c r="D6979" s="78"/>
      <c r="E6979" s="78"/>
    </row>
    <row r="6980" spans="1:5">
      <c r="A6980" s="76" t="s">
        <v>2538</v>
      </c>
      <c r="B6980" s="77"/>
      <c r="C6980" s="78"/>
      <c r="D6980" s="78"/>
      <c r="E6980" s="78">
        <f>E6978</f>
        <v>1.58</v>
      </c>
    </row>
    <row r="6981" spans="1:5">
      <c r="A6981" s="76" t="s">
        <v>2539</v>
      </c>
      <c r="B6981" s="77"/>
      <c r="C6981" s="78"/>
      <c r="D6981" s="78">
        <v>0</v>
      </c>
      <c r="E6981" s="78">
        <f>TRUNC(D6981*E6980/100,2)</f>
        <v>0</v>
      </c>
    </row>
    <row r="6982" spans="1:5">
      <c r="A6982" s="76" t="s">
        <v>2540</v>
      </c>
      <c r="B6982" s="77"/>
      <c r="C6982" s="78"/>
      <c r="D6982" s="78"/>
      <c r="E6982" s="78">
        <f>E6980+E6981</f>
        <v>1.58</v>
      </c>
    </row>
    <row r="6983" spans="1:5">
      <c r="A6983" s="76"/>
      <c r="B6983" s="77"/>
      <c r="C6983" s="78"/>
      <c r="D6983" s="78"/>
      <c r="E6983" s="78"/>
    </row>
    <row r="6984" spans="1:5">
      <c r="A6984" s="76" t="s">
        <v>3092</v>
      </c>
      <c r="B6984" s="77" t="s">
        <v>4077</v>
      </c>
      <c r="C6984" s="78"/>
      <c r="D6984" s="78"/>
      <c r="E6984" s="78"/>
    </row>
    <row r="6985" ht="25.5" spans="1:5">
      <c r="A6985" s="76" t="s">
        <v>4078</v>
      </c>
      <c r="B6985" s="77"/>
      <c r="C6985" s="78"/>
      <c r="D6985" s="78"/>
      <c r="E6985" s="78"/>
    </row>
    <row r="6986" spans="1:5">
      <c r="A6986" s="76" t="s">
        <v>2764</v>
      </c>
      <c r="B6986" s="77"/>
      <c r="C6986" s="78"/>
      <c r="D6986" s="78"/>
      <c r="E6986" s="78"/>
    </row>
    <row r="6987" spans="1:5">
      <c r="A6987" s="76"/>
      <c r="B6987" s="77"/>
      <c r="C6987" s="78"/>
      <c r="D6987" s="78"/>
      <c r="E6987" s="78"/>
    </row>
    <row r="6988" spans="1:5">
      <c r="A6988" s="76" t="s">
        <v>2543</v>
      </c>
      <c r="B6988" s="77" t="s">
        <v>135</v>
      </c>
      <c r="C6988" s="78" t="s">
        <v>136</v>
      </c>
      <c r="D6988" s="78" t="s">
        <v>2534</v>
      </c>
      <c r="E6988" s="78" t="s">
        <v>2535</v>
      </c>
    </row>
    <row r="6989" spans="1:5">
      <c r="A6989" s="76" t="s">
        <v>3202</v>
      </c>
      <c r="B6989" s="77" t="s">
        <v>215</v>
      </c>
      <c r="C6989" s="78">
        <v>11.21</v>
      </c>
      <c r="D6989" s="78">
        <v>5.93</v>
      </c>
      <c r="E6989" s="78">
        <f>TRUNC(C6989*D6989,2)</f>
        <v>66.47</v>
      </c>
    </row>
    <row r="6990" spans="1:5">
      <c r="A6990" s="76" t="s">
        <v>122</v>
      </c>
      <c r="B6990" s="77"/>
      <c r="C6990" s="78"/>
      <c r="D6990" s="78"/>
      <c r="E6990" s="78">
        <f>SUM(E6989:E6989)</f>
        <v>66.47</v>
      </c>
    </row>
    <row r="6991" spans="1:5">
      <c r="A6991" s="76"/>
      <c r="B6991" s="77"/>
      <c r="C6991" s="78"/>
      <c r="D6991" s="78"/>
      <c r="E6991" s="78"/>
    </row>
    <row r="6992" spans="1:5">
      <c r="A6992" s="76" t="s">
        <v>2538</v>
      </c>
      <c r="B6992" s="77"/>
      <c r="C6992" s="78"/>
      <c r="D6992" s="78"/>
      <c r="E6992" s="78">
        <f>E6990</f>
        <v>66.47</v>
      </c>
    </row>
    <row r="6993" spans="1:5">
      <c r="A6993" s="76" t="s">
        <v>2539</v>
      </c>
      <c r="B6993" s="77"/>
      <c r="C6993" s="78"/>
      <c r="D6993" s="78">
        <v>0</v>
      </c>
      <c r="E6993" s="78">
        <f>TRUNC(D6993*E6992/100,2)</f>
        <v>0</v>
      </c>
    </row>
    <row r="6994" spans="1:5">
      <c r="A6994" s="76" t="s">
        <v>2540</v>
      </c>
      <c r="B6994" s="77"/>
      <c r="C6994" s="78"/>
      <c r="D6994" s="78"/>
      <c r="E6994" s="78">
        <f>E6992+E6993</f>
        <v>66.47</v>
      </c>
    </row>
    <row r="6995" spans="1:5">
      <c r="A6995" s="76"/>
      <c r="B6995" s="77"/>
      <c r="C6995" s="78"/>
      <c r="D6995" s="78"/>
      <c r="E6995" s="78"/>
    </row>
    <row r="6996" spans="1:5">
      <c r="A6996" s="76" t="s">
        <v>3092</v>
      </c>
      <c r="B6996" s="77" t="s">
        <v>4079</v>
      </c>
      <c r="C6996" s="78"/>
      <c r="D6996" s="78"/>
      <c r="E6996" s="78"/>
    </row>
    <row r="6997" ht="25.5" spans="1:5">
      <c r="A6997" s="76" t="s">
        <v>4080</v>
      </c>
      <c r="B6997" s="77"/>
      <c r="C6997" s="78"/>
      <c r="D6997" s="78"/>
      <c r="E6997" s="78"/>
    </row>
    <row r="6998" spans="1:5">
      <c r="A6998" s="76" t="s">
        <v>3091</v>
      </c>
      <c r="B6998" s="77"/>
      <c r="C6998" s="78"/>
      <c r="D6998" s="78"/>
      <c r="E6998" s="78"/>
    </row>
    <row r="6999" spans="1:5">
      <c r="A6999" s="76"/>
      <c r="B6999" s="77"/>
      <c r="C6999" s="78"/>
      <c r="D6999" s="78"/>
      <c r="E6999" s="78"/>
    </row>
    <row r="7000" spans="1:5">
      <c r="A7000" s="76" t="s">
        <v>2543</v>
      </c>
      <c r="B7000" s="77" t="s">
        <v>135</v>
      </c>
      <c r="C7000" s="78" t="s">
        <v>136</v>
      </c>
      <c r="D7000" s="78" t="s">
        <v>2534</v>
      </c>
      <c r="E7000" s="78" t="s">
        <v>2535</v>
      </c>
    </row>
    <row r="7001" ht="25.5" spans="1:5">
      <c r="A7001" s="76" t="s">
        <v>4066</v>
      </c>
      <c r="B7001" s="77" t="s">
        <v>839</v>
      </c>
      <c r="C7001" s="78">
        <v>1</v>
      </c>
      <c r="D7001" s="78">
        <v>4.49</v>
      </c>
      <c r="E7001" s="78">
        <f>TRUNC(C7001*D7001,2)</f>
        <v>4.49</v>
      </c>
    </row>
    <row r="7002" ht="25.5" spans="1:5">
      <c r="A7002" s="76" t="s">
        <v>4068</v>
      </c>
      <c r="B7002" s="77" t="s">
        <v>839</v>
      </c>
      <c r="C7002" s="78">
        <v>1</v>
      </c>
      <c r="D7002" s="78">
        <v>1.58</v>
      </c>
      <c r="E7002" s="78">
        <f>TRUNC(C7002*D7002,2)</f>
        <v>1.58</v>
      </c>
    </row>
    <row r="7003" spans="1:5">
      <c r="A7003" s="76" t="s">
        <v>122</v>
      </c>
      <c r="B7003" s="77"/>
      <c r="C7003" s="78"/>
      <c r="D7003" s="78"/>
      <c r="E7003" s="78">
        <f>SUM(E7001:E7002)</f>
        <v>6.07</v>
      </c>
    </row>
    <row r="7004" spans="1:5">
      <c r="A7004" s="76"/>
      <c r="B7004" s="77"/>
      <c r="C7004" s="78"/>
      <c r="D7004" s="78"/>
      <c r="E7004" s="78"/>
    </row>
    <row r="7005" spans="1:5">
      <c r="A7005" s="76" t="s">
        <v>2538</v>
      </c>
      <c r="B7005" s="77"/>
      <c r="C7005" s="78"/>
      <c r="D7005" s="78"/>
      <c r="E7005" s="78">
        <f>E7003</f>
        <v>6.07</v>
      </c>
    </row>
    <row r="7006" spans="1:5">
      <c r="A7006" s="76" t="s">
        <v>2539</v>
      </c>
      <c r="B7006" s="77"/>
      <c r="C7006" s="78"/>
      <c r="D7006" s="78">
        <v>0</v>
      </c>
      <c r="E7006" s="78">
        <f>TRUNC(D7006*E7005/100,2)</f>
        <v>0</v>
      </c>
    </row>
    <row r="7007" spans="1:5">
      <c r="A7007" s="76" t="s">
        <v>2540</v>
      </c>
      <c r="B7007" s="77"/>
      <c r="C7007" s="78"/>
      <c r="D7007" s="78"/>
      <c r="E7007" s="78">
        <f>E7005+E7006</f>
        <v>6.07</v>
      </c>
    </row>
    <row r="7008" spans="1:5">
      <c r="A7008" s="76"/>
      <c r="B7008" s="77"/>
      <c r="C7008" s="78"/>
      <c r="D7008" s="78"/>
      <c r="E7008" s="78"/>
    </row>
    <row r="7009" spans="1:5">
      <c r="A7009" s="76" t="s">
        <v>3092</v>
      </c>
      <c r="B7009" s="77">
        <v>2207219003022</v>
      </c>
      <c r="C7009" s="78"/>
      <c r="D7009" s="78"/>
      <c r="E7009" s="78"/>
    </row>
    <row r="7010" ht="38.25" spans="1:5">
      <c r="A7010" s="76" t="s">
        <v>4081</v>
      </c>
      <c r="B7010" s="77"/>
      <c r="C7010" s="78"/>
      <c r="D7010" s="78"/>
      <c r="E7010" s="78"/>
    </row>
    <row r="7011" spans="1:5">
      <c r="A7011" s="76" t="s">
        <v>3091</v>
      </c>
      <c r="B7011" s="77"/>
      <c r="C7011" s="78"/>
      <c r="D7011" s="78"/>
      <c r="E7011" s="78"/>
    </row>
    <row r="7012" spans="1:5">
      <c r="A7012" s="76"/>
      <c r="B7012" s="77"/>
      <c r="C7012" s="78"/>
      <c r="D7012" s="78"/>
      <c r="E7012" s="78"/>
    </row>
    <row r="7013" spans="1:5">
      <c r="A7013" s="76" t="s">
        <v>2543</v>
      </c>
      <c r="B7013" s="77" t="s">
        <v>135</v>
      </c>
      <c r="C7013" s="78" t="s">
        <v>136</v>
      </c>
      <c r="D7013" s="78" t="s">
        <v>2534</v>
      </c>
      <c r="E7013" s="78" t="s">
        <v>2535</v>
      </c>
    </row>
    <row r="7014" ht="25.5" spans="1:5">
      <c r="A7014" s="76" t="s">
        <v>4082</v>
      </c>
      <c r="B7014" s="77" t="s">
        <v>839</v>
      </c>
      <c r="C7014" s="78">
        <v>1</v>
      </c>
      <c r="D7014" s="78">
        <v>1.36</v>
      </c>
      <c r="E7014" s="78">
        <f>TRUNC(C7014*D7014,2)</f>
        <v>1.36</v>
      </c>
    </row>
    <row r="7015" ht="25.5" spans="1:5">
      <c r="A7015" s="76" t="s">
        <v>4083</v>
      </c>
      <c r="B7015" s="77" t="s">
        <v>839</v>
      </c>
      <c r="C7015" s="78">
        <v>1</v>
      </c>
      <c r="D7015" s="78">
        <v>0.3</v>
      </c>
      <c r="E7015" s="78">
        <f>TRUNC(C7015*D7015,2)</f>
        <v>0.3</v>
      </c>
    </row>
    <row r="7016" spans="1:5">
      <c r="A7016" s="76" t="s">
        <v>122</v>
      </c>
      <c r="B7016" s="77"/>
      <c r="C7016" s="78"/>
      <c r="D7016" s="78"/>
      <c r="E7016" s="78">
        <f>SUM(E7014:E7015)</f>
        <v>1.66</v>
      </c>
    </row>
    <row r="7017" spans="1:5">
      <c r="A7017" s="76"/>
      <c r="B7017" s="77"/>
      <c r="C7017" s="78"/>
      <c r="D7017" s="78"/>
      <c r="E7017" s="78"/>
    </row>
    <row r="7018" spans="1:5">
      <c r="A7018" s="76" t="s">
        <v>2538</v>
      </c>
      <c r="B7018" s="77"/>
      <c r="C7018" s="78"/>
      <c r="D7018" s="78"/>
      <c r="E7018" s="78">
        <f>E7016</f>
        <v>1.66</v>
      </c>
    </row>
    <row r="7019" spans="1:5">
      <c r="A7019" s="76" t="s">
        <v>2539</v>
      </c>
      <c r="B7019" s="77"/>
      <c r="C7019" s="78"/>
      <c r="D7019" s="78">
        <v>0</v>
      </c>
      <c r="E7019" s="78">
        <f>TRUNC(D7019*E7018/100,2)</f>
        <v>0</v>
      </c>
    </row>
    <row r="7020" spans="1:5">
      <c r="A7020" s="76" t="s">
        <v>2540</v>
      </c>
      <c r="B7020" s="77"/>
      <c r="C7020" s="78"/>
      <c r="D7020" s="78"/>
      <c r="E7020" s="78">
        <f>E7018+E7019</f>
        <v>1.66</v>
      </c>
    </row>
    <row r="7021" spans="1:5">
      <c r="A7021" s="76"/>
      <c r="B7021" s="77"/>
      <c r="C7021" s="78"/>
      <c r="D7021" s="78"/>
      <c r="E7021" s="78"/>
    </row>
    <row r="7022" spans="1:5">
      <c r="A7022" s="76" t="s">
        <v>3092</v>
      </c>
      <c r="B7022" s="77">
        <v>2203009001186</v>
      </c>
      <c r="C7022" s="78"/>
      <c r="D7022" s="78"/>
      <c r="E7022" s="78"/>
    </row>
    <row r="7023" ht="25.5" spans="1:5">
      <c r="A7023" s="76" t="s">
        <v>4084</v>
      </c>
      <c r="B7023" s="77"/>
      <c r="C7023" s="78"/>
      <c r="D7023" s="78"/>
      <c r="E7023" s="78"/>
    </row>
    <row r="7024" spans="1:5">
      <c r="A7024" s="76" t="s">
        <v>2764</v>
      </c>
      <c r="B7024" s="77"/>
      <c r="C7024" s="78"/>
      <c r="D7024" s="78"/>
      <c r="E7024" s="78"/>
    </row>
    <row r="7025" spans="1:5">
      <c r="A7025" s="76"/>
      <c r="B7025" s="77"/>
      <c r="C7025" s="78"/>
      <c r="D7025" s="78"/>
      <c r="E7025" s="78"/>
    </row>
    <row r="7026" spans="1:5">
      <c r="A7026" s="76" t="s">
        <v>2543</v>
      </c>
      <c r="B7026" s="77" t="s">
        <v>135</v>
      </c>
      <c r="C7026" s="78" t="s">
        <v>136</v>
      </c>
      <c r="D7026" s="78" t="s">
        <v>2534</v>
      </c>
      <c r="E7026" s="78" t="s">
        <v>2535</v>
      </c>
    </row>
    <row r="7027" ht="25.5" spans="1:5">
      <c r="A7027" s="76" t="s">
        <v>4085</v>
      </c>
      <c r="B7027" s="77" t="s">
        <v>494</v>
      </c>
      <c r="C7027" s="78">
        <v>6.387e-5</v>
      </c>
      <c r="D7027" s="78">
        <v>21449.64</v>
      </c>
      <c r="E7027" s="78">
        <f>TRUNC(C7027*D7027,2)</f>
        <v>1.36</v>
      </c>
    </row>
    <row r="7028" spans="1:5">
      <c r="A7028" s="76" t="s">
        <v>122</v>
      </c>
      <c r="B7028" s="77"/>
      <c r="C7028" s="78"/>
      <c r="D7028" s="78"/>
      <c r="E7028" s="78">
        <f>SUM(E7027:E7027)</f>
        <v>1.36</v>
      </c>
    </row>
    <row r="7029" spans="1:5">
      <c r="A7029" s="76"/>
      <c r="B7029" s="77"/>
      <c r="C7029" s="78"/>
      <c r="D7029" s="78"/>
      <c r="E7029" s="78"/>
    </row>
    <row r="7030" spans="1:5">
      <c r="A7030" s="76" t="s">
        <v>2538</v>
      </c>
      <c r="B7030" s="77"/>
      <c r="C7030" s="78"/>
      <c r="D7030" s="78"/>
      <c r="E7030" s="78">
        <f>E7028</f>
        <v>1.36</v>
      </c>
    </row>
    <row r="7031" spans="1:5">
      <c r="A7031" s="76" t="s">
        <v>2539</v>
      </c>
      <c r="B7031" s="77"/>
      <c r="C7031" s="78"/>
      <c r="D7031" s="78">
        <v>0</v>
      </c>
      <c r="E7031" s="78">
        <f>TRUNC(D7031*E7030/100,2)</f>
        <v>0</v>
      </c>
    </row>
    <row r="7032" spans="1:5">
      <c r="A7032" s="76" t="s">
        <v>2540</v>
      </c>
      <c r="B7032" s="77"/>
      <c r="C7032" s="78"/>
      <c r="D7032" s="78"/>
      <c r="E7032" s="78">
        <f>E7030+E7031</f>
        <v>1.36</v>
      </c>
    </row>
    <row r="7033" spans="1:5">
      <c r="A7033" s="76"/>
      <c r="B7033" s="77"/>
      <c r="C7033" s="78"/>
      <c r="D7033" s="78"/>
      <c r="E7033" s="78"/>
    </row>
    <row r="7034" spans="1:5">
      <c r="A7034" s="76" t="s">
        <v>3092</v>
      </c>
      <c r="B7034" s="77">
        <v>2203009001187</v>
      </c>
      <c r="C7034" s="78"/>
      <c r="D7034" s="78"/>
      <c r="E7034" s="78"/>
    </row>
    <row r="7035" ht="25.5" spans="1:5">
      <c r="A7035" s="76" t="s">
        <v>4086</v>
      </c>
      <c r="B7035" s="77"/>
      <c r="C7035" s="78"/>
      <c r="D7035" s="78"/>
      <c r="E7035" s="78"/>
    </row>
    <row r="7036" spans="1:5">
      <c r="A7036" s="76" t="s">
        <v>2764</v>
      </c>
      <c r="B7036" s="77"/>
      <c r="C7036" s="78"/>
      <c r="D7036" s="78"/>
      <c r="E7036" s="78"/>
    </row>
    <row r="7037" spans="1:5">
      <c r="A7037" s="76"/>
      <c r="B7037" s="77"/>
      <c r="C7037" s="78"/>
      <c r="D7037" s="78"/>
      <c r="E7037" s="78"/>
    </row>
    <row r="7038" spans="1:5">
      <c r="A7038" s="76" t="s">
        <v>2543</v>
      </c>
      <c r="B7038" s="77" t="s">
        <v>135</v>
      </c>
      <c r="C7038" s="78" t="s">
        <v>136</v>
      </c>
      <c r="D7038" s="78" t="s">
        <v>2534</v>
      </c>
      <c r="E7038" s="78" t="s">
        <v>2535</v>
      </c>
    </row>
    <row r="7039" ht="25.5" spans="1:5">
      <c r="A7039" s="76" t="s">
        <v>4085</v>
      </c>
      <c r="B7039" s="77" t="s">
        <v>494</v>
      </c>
      <c r="C7039" s="78">
        <v>1.445e-5</v>
      </c>
      <c r="D7039" s="78">
        <v>21449.64</v>
      </c>
      <c r="E7039" s="78">
        <f>TRUNC(C7039*D7039,2)</f>
        <v>0.3</v>
      </c>
    </row>
    <row r="7040" spans="1:5">
      <c r="A7040" s="76" t="s">
        <v>122</v>
      </c>
      <c r="B7040" s="77"/>
      <c r="C7040" s="78"/>
      <c r="D7040" s="78"/>
      <c r="E7040" s="78">
        <f>SUM(E7039:E7039)</f>
        <v>0.3</v>
      </c>
    </row>
    <row r="7041" spans="1:5">
      <c r="A7041" s="76"/>
      <c r="B7041" s="77"/>
      <c r="C7041" s="78"/>
      <c r="D7041" s="78"/>
      <c r="E7041" s="78"/>
    </row>
    <row r="7042" spans="1:5">
      <c r="A7042" s="76" t="s">
        <v>2538</v>
      </c>
      <c r="B7042" s="77"/>
      <c r="C7042" s="78"/>
      <c r="D7042" s="78"/>
      <c r="E7042" s="78">
        <f>E7040</f>
        <v>0.3</v>
      </c>
    </row>
    <row r="7043" spans="1:5">
      <c r="A7043" s="76" t="s">
        <v>2539</v>
      </c>
      <c r="B7043" s="77"/>
      <c r="C7043" s="78"/>
      <c r="D7043" s="78">
        <v>0</v>
      </c>
      <c r="E7043" s="78">
        <f>TRUNC(D7043*E7042/100,2)</f>
        <v>0</v>
      </c>
    </row>
    <row r="7044" spans="1:5">
      <c r="A7044" s="76" t="s">
        <v>2540</v>
      </c>
      <c r="B7044" s="77"/>
      <c r="C7044" s="78"/>
      <c r="D7044" s="78"/>
      <c r="E7044" s="78">
        <f>E7042+E7043</f>
        <v>0.3</v>
      </c>
    </row>
    <row r="7045" spans="1:5">
      <c r="A7045" s="76"/>
      <c r="B7045" s="77"/>
      <c r="C7045" s="78"/>
      <c r="D7045" s="78"/>
      <c r="E7045" s="78"/>
    </row>
    <row r="7046" spans="1:5">
      <c r="A7046" s="76" t="s">
        <v>3092</v>
      </c>
      <c r="B7046" s="77">
        <v>2207219003025</v>
      </c>
      <c r="C7046" s="78"/>
      <c r="D7046" s="78"/>
      <c r="E7046" s="78"/>
    </row>
    <row r="7047" ht="38.25" spans="1:5">
      <c r="A7047" s="76" t="s">
        <v>4081</v>
      </c>
      <c r="B7047" s="77"/>
      <c r="C7047" s="78"/>
      <c r="D7047" s="78"/>
      <c r="E7047" s="78"/>
    </row>
    <row r="7048" spans="1:5">
      <c r="A7048" s="76" t="s">
        <v>3085</v>
      </c>
      <c r="B7048" s="77"/>
      <c r="C7048" s="78"/>
      <c r="D7048" s="78"/>
      <c r="E7048" s="78"/>
    </row>
    <row r="7049" spans="1:5">
      <c r="A7049" s="76"/>
      <c r="B7049" s="77"/>
      <c r="C7049" s="78"/>
      <c r="D7049" s="78"/>
      <c r="E7049" s="78"/>
    </row>
    <row r="7050" spans="1:5">
      <c r="A7050" s="76" t="s">
        <v>2543</v>
      </c>
      <c r="B7050" s="77" t="s">
        <v>135</v>
      </c>
      <c r="C7050" s="78" t="s">
        <v>136</v>
      </c>
      <c r="D7050" s="78" t="s">
        <v>2534</v>
      </c>
      <c r="E7050" s="78" t="s">
        <v>2535</v>
      </c>
    </row>
    <row r="7051" ht="25.5" spans="1:5">
      <c r="A7051" s="76" t="s">
        <v>4082</v>
      </c>
      <c r="B7051" s="77" t="s">
        <v>839</v>
      </c>
      <c r="C7051" s="78">
        <v>1</v>
      </c>
      <c r="D7051" s="78">
        <v>1.36</v>
      </c>
      <c r="E7051" s="78">
        <f>TRUNC(C7051*D7051,2)</f>
        <v>1.36</v>
      </c>
    </row>
    <row r="7052" ht="25.5" spans="1:5">
      <c r="A7052" s="76" t="s">
        <v>4087</v>
      </c>
      <c r="B7052" s="77" t="s">
        <v>839</v>
      </c>
      <c r="C7052" s="78">
        <v>1</v>
      </c>
      <c r="D7052" s="78">
        <v>1.7</v>
      </c>
      <c r="E7052" s="78">
        <f>TRUNC(C7052*D7052,2)</f>
        <v>1.7</v>
      </c>
    </row>
    <row r="7053" ht="25.5" spans="1:5">
      <c r="A7053" s="76" t="s">
        <v>4083</v>
      </c>
      <c r="B7053" s="77" t="s">
        <v>839</v>
      </c>
      <c r="C7053" s="78">
        <v>1</v>
      </c>
      <c r="D7053" s="78">
        <v>0.3</v>
      </c>
      <c r="E7053" s="78">
        <f>TRUNC(C7053*D7053,2)</f>
        <v>0.3</v>
      </c>
    </row>
    <row r="7054" spans="1:5">
      <c r="A7054" s="76" t="s">
        <v>122</v>
      </c>
      <c r="B7054" s="77"/>
      <c r="C7054" s="78"/>
      <c r="D7054" s="78"/>
      <c r="E7054" s="78">
        <f>SUM(E7051:E7053)</f>
        <v>3.36</v>
      </c>
    </row>
    <row r="7055" spans="1:5">
      <c r="A7055" s="76"/>
      <c r="B7055" s="77"/>
      <c r="C7055" s="78"/>
      <c r="D7055" s="78"/>
      <c r="E7055" s="78"/>
    </row>
    <row r="7056" spans="1:5">
      <c r="A7056" s="76" t="s">
        <v>2538</v>
      </c>
      <c r="B7056" s="77"/>
      <c r="C7056" s="78"/>
      <c r="D7056" s="78"/>
      <c r="E7056" s="78">
        <f>E7054</f>
        <v>3.36</v>
      </c>
    </row>
    <row r="7057" spans="1:5">
      <c r="A7057" s="76" t="s">
        <v>2539</v>
      </c>
      <c r="B7057" s="77"/>
      <c r="C7057" s="78"/>
      <c r="D7057" s="78">
        <v>0</v>
      </c>
      <c r="E7057" s="78">
        <f>TRUNC(D7057*E7056/100,2)</f>
        <v>0</v>
      </c>
    </row>
    <row r="7058" spans="1:5">
      <c r="A7058" s="76" t="s">
        <v>2540</v>
      </c>
      <c r="B7058" s="77"/>
      <c r="C7058" s="78"/>
      <c r="D7058" s="78"/>
      <c r="E7058" s="78">
        <f>E7056+E7057</f>
        <v>3.36</v>
      </c>
    </row>
    <row r="7059" spans="1:5">
      <c r="A7059" s="76"/>
      <c r="B7059" s="77"/>
      <c r="C7059" s="78"/>
      <c r="D7059" s="78"/>
      <c r="E7059" s="78"/>
    </row>
    <row r="7060" spans="1:5">
      <c r="A7060" s="76" t="s">
        <v>3092</v>
      </c>
      <c r="B7060" s="77">
        <v>2203009001190</v>
      </c>
      <c r="C7060" s="78"/>
      <c r="D7060" s="78"/>
      <c r="E7060" s="78"/>
    </row>
    <row r="7061" ht="25.5" spans="1:5">
      <c r="A7061" s="76" t="s">
        <v>4088</v>
      </c>
      <c r="B7061" s="77"/>
      <c r="C7061" s="78"/>
      <c r="D7061" s="78"/>
      <c r="E7061" s="78"/>
    </row>
    <row r="7062" spans="1:5">
      <c r="A7062" s="76" t="s">
        <v>2764</v>
      </c>
      <c r="B7062" s="77"/>
      <c r="C7062" s="78"/>
      <c r="D7062" s="78"/>
      <c r="E7062" s="78"/>
    </row>
    <row r="7063" spans="1:5">
      <c r="A7063" s="76"/>
      <c r="B7063" s="77"/>
      <c r="C7063" s="78"/>
      <c r="D7063" s="78"/>
      <c r="E7063" s="78"/>
    </row>
    <row r="7064" spans="1:5">
      <c r="A7064" s="76" t="s">
        <v>2543</v>
      </c>
      <c r="B7064" s="77" t="s">
        <v>135</v>
      </c>
      <c r="C7064" s="78" t="s">
        <v>136</v>
      </c>
      <c r="D7064" s="78" t="s">
        <v>2534</v>
      </c>
      <c r="E7064" s="78" t="s">
        <v>2535</v>
      </c>
    </row>
    <row r="7065" ht="25.5" spans="1:5">
      <c r="A7065" s="76" t="s">
        <v>4085</v>
      </c>
      <c r="B7065" s="77" t="s">
        <v>494</v>
      </c>
      <c r="C7065" s="78">
        <v>7.972e-5</v>
      </c>
      <c r="D7065" s="78">
        <v>21449.64</v>
      </c>
      <c r="E7065" s="78">
        <f>TRUNC(C7065*D7065,2)</f>
        <v>1.7</v>
      </c>
    </row>
    <row r="7066" spans="1:5">
      <c r="A7066" s="76" t="s">
        <v>122</v>
      </c>
      <c r="B7066" s="77"/>
      <c r="C7066" s="78"/>
      <c r="D7066" s="78"/>
      <c r="E7066" s="78">
        <f>SUM(E7065:E7065)</f>
        <v>1.7</v>
      </c>
    </row>
    <row r="7067" spans="1:5">
      <c r="A7067" s="76"/>
      <c r="B7067" s="77"/>
      <c r="C7067" s="78"/>
      <c r="D7067" s="78"/>
      <c r="E7067" s="78"/>
    </row>
    <row r="7068" spans="1:5">
      <c r="A7068" s="76" t="s">
        <v>2538</v>
      </c>
      <c r="B7068" s="77"/>
      <c r="C7068" s="78"/>
      <c r="D7068" s="78"/>
      <c r="E7068" s="78">
        <f>E7066</f>
        <v>1.7</v>
      </c>
    </row>
    <row r="7069" spans="1:5">
      <c r="A7069" s="76" t="s">
        <v>2539</v>
      </c>
      <c r="B7069" s="77"/>
      <c r="C7069" s="78"/>
      <c r="D7069" s="78">
        <v>0</v>
      </c>
      <c r="E7069" s="78">
        <f>TRUNC(D7069*E7068/100,2)</f>
        <v>0</v>
      </c>
    </row>
    <row r="7070" spans="1:5">
      <c r="A7070" s="76" t="s">
        <v>2540</v>
      </c>
      <c r="B7070" s="77"/>
      <c r="C7070" s="78"/>
      <c r="D7070" s="78"/>
      <c r="E7070" s="78">
        <f>E7068+E7069</f>
        <v>1.7</v>
      </c>
    </row>
    <row r="7071" spans="1:5">
      <c r="A7071" s="76"/>
      <c r="B7071" s="77"/>
      <c r="C7071" s="78"/>
      <c r="D7071" s="78"/>
      <c r="E7071" s="78"/>
    </row>
    <row r="7072" spans="1:5">
      <c r="A7072" s="76" t="s">
        <v>3092</v>
      </c>
      <c r="B7072" s="77">
        <v>2207219003011</v>
      </c>
      <c r="C7072" s="78"/>
      <c r="D7072" s="78"/>
      <c r="E7072" s="78"/>
    </row>
    <row r="7073" ht="25.5" spans="1:5">
      <c r="A7073" s="76" t="s">
        <v>4089</v>
      </c>
      <c r="B7073" s="77"/>
      <c r="C7073" s="78"/>
      <c r="D7073" s="78"/>
      <c r="E7073" s="78"/>
    </row>
    <row r="7074" spans="1:5">
      <c r="A7074" s="76" t="s">
        <v>3085</v>
      </c>
      <c r="B7074" s="77"/>
      <c r="C7074" s="78"/>
      <c r="D7074" s="78"/>
      <c r="E7074" s="78"/>
    </row>
    <row r="7075" spans="1:5">
      <c r="A7075" s="76"/>
      <c r="B7075" s="77"/>
      <c r="C7075" s="78"/>
      <c r="D7075" s="78"/>
      <c r="E7075" s="78"/>
    </row>
    <row r="7076" spans="1:5">
      <c r="A7076" s="76" t="s">
        <v>2543</v>
      </c>
      <c r="B7076" s="77" t="s">
        <v>135</v>
      </c>
      <c r="C7076" s="78" t="s">
        <v>136</v>
      </c>
      <c r="D7076" s="78" t="s">
        <v>2534</v>
      </c>
      <c r="E7076" s="78" t="s">
        <v>2535</v>
      </c>
    </row>
    <row r="7077" ht="25.5" spans="1:5">
      <c r="A7077" s="76" t="s">
        <v>4090</v>
      </c>
      <c r="B7077" s="77" t="s">
        <v>839</v>
      </c>
      <c r="C7077" s="78">
        <v>1</v>
      </c>
      <c r="D7077" s="78">
        <v>4.36</v>
      </c>
      <c r="E7077" s="78">
        <f>TRUNC(C7077*D7077,2)</f>
        <v>4.36</v>
      </c>
    </row>
    <row r="7078" ht="25.5" spans="1:5">
      <c r="A7078" s="76" t="s">
        <v>4091</v>
      </c>
      <c r="B7078" s="77" t="s">
        <v>839</v>
      </c>
      <c r="C7078" s="78">
        <v>1</v>
      </c>
      <c r="D7078" s="78">
        <v>1.33</v>
      </c>
      <c r="E7078" s="78">
        <f>TRUNC(C7078*D7078,2)</f>
        <v>1.33</v>
      </c>
    </row>
    <row r="7079" ht="25.5" spans="1:5">
      <c r="A7079" s="76" t="s">
        <v>4092</v>
      </c>
      <c r="B7079" s="77" t="s">
        <v>839</v>
      </c>
      <c r="C7079" s="78">
        <v>1</v>
      </c>
      <c r="D7079" s="78">
        <v>5.45</v>
      </c>
      <c r="E7079" s="78">
        <f>TRUNC(C7079*D7079,2)</f>
        <v>5.45</v>
      </c>
    </row>
    <row r="7080" spans="1:5">
      <c r="A7080" s="76" t="s">
        <v>122</v>
      </c>
      <c r="B7080" s="77"/>
      <c r="C7080" s="78"/>
      <c r="D7080" s="78"/>
      <c r="E7080" s="78">
        <f>SUM(E7077:E7079)</f>
        <v>11.14</v>
      </c>
    </row>
    <row r="7081" spans="1:5">
      <c r="A7081" s="76"/>
      <c r="B7081" s="77"/>
      <c r="C7081" s="78"/>
      <c r="D7081" s="78"/>
      <c r="E7081" s="78"/>
    </row>
    <row r="7082" spans="1:5">
      <c r="A7082" s="76" t="s">
        <v>2538</v>
      </c>
      <c r="B7082" s="77"/>
      <c r="C7082" s="78"/>
      <c r="D7082" s="78"/>
      <c r="E7082" s="78">
        <f>E7080</f>
        <v>11.14</v>
      </c>
    </row>
    <row r="7083" spans="1:5">
      <c r="A7083" s="76" t="s">
        <v>2539</v>
      </c>
      <c r="B7083" s="77"/>
      <c r="C7083" s="78"/>
      <c r="D7083" s="78">
        <v>0</v>
      </c>
      <c r="E7083" s="78">
        <f>TRUNC(D7083*E7082/100,2)</f>
        <v>0</v>
      </c>
    </row>
    <row r="7084" spans="1:5">
      <c r="A7084" s="76" t="s">
        <v>2540</v>
      </c>
      <c r="B7084" s="77"/>
      <c r="C7084" s="78"/>
      <c r="D7084" s="78"/>
      <c r="E7084" s="78">
        <f>E7082+E7083</f>
        <v>11.14</v>
      </c>
    </row>
    <row r="7085" spans="1:5">
      <c r="A7085" s="76"/>
      <c r="B7085" s="77"/>
      <c r="C7085" s="78"/>
      <c r="D7085" s="78"/>
      <c r="E7085" s="78"/>
    </row>
    <row r="7086" spans="1:5">
      <c r="A7086" s="76" t="s">
        <v>3092</v>
      </c>
      <c r="B7086" s="77">
        <v>2203009001321</v>
      </c>
      <c r="C7086" s="78"/>
      <c r="D7086" s="78"/>
      <c r="E7086" s="78"/>
    </row>
    <row r="7087" ht="25.5" spans="1:5">
      <c r="A7087" s="76" t="s">
        <v>4093</v>
      </c>
      <c r="B7087" s="77"/>
      <c r="C7087" s="78"/>
      <c r="D7087" s="78"/>
      <c r="E7087" s="78"/>
    </row>
    <row r="7088" spans="1:5">
      <c r="A7088" s="76" t="s">
        <v>2764</v>
      </c>
      <c r="B7088" s="77"/>
      <c r="C7088" s="78"/>
      <c r="D7088" s="78"/>
      <c r="E7088" s="78"/>
    </row>
    <row r="7089" spans="1:5">
      <c r="A7089" s="76"/>
      <c r="B7089" s="77"/>
      <c r="C7089" s="78"/>
      <c r="D7089" s="78"/>
      <c r="E7089" s="78"/>
    </row>
    <row r="7090" spans="1:5">
      <c r="A7090" s="76" t="s">
        <v>2543</v>
      </c>
      <c r="B7090" s="77" t="s">
        <v>135</v>
      </c>
      <c r="C7090" s="78" t="s">
        <v>136</v>
      </c>
      <c r="D7090" s="78" t="s">
        <v>2534</v>
      </c>
      <c r="E7090" s="78" t="s">
        <v>2535</v>
      </c>
    </row>
    <row r="7091" ht="25.5" spans="1:5">
      <c r="A7091" s="76" t="s">
        <v>4094</v>
      </c>
      <c r="B7091" s="77" t="s">
        <v>494</v>
      </c>
      <c r="C7091" s="78">
        <v>4.57e-5</v>
      </c>
      <c r="D7091" s="78">
        <v>95619.8</v>
      </c>
      <c r="E7091" s="78">
        <f>TRUNC(C7091*D7091,2)</f>
        <v>4.36</v>
      </c>
    </row>
    <row r="7092" spans="1:5">
      <c r="A7092" s="76" t="s">
        <v>122</v>
      </c>
      <c r="B7092" s="77"/>
      <c r="C7092" s="78"/>
      <c r="D7092" s="78"/>
      <c r="E7092" s="78">
        <f>SUM(E7091:E7091)</f>
        <v>4.36</v>
      </c>
    </row>
    <row r="7093" spans="1:5">
      <c r="A7093" s="76"/>
      <c r="B7093" s="77"/>
      <c r="C7093" s="78"/>
      <c r="D7093" s="78"/>
      <c r="E7093" s="78"/>
    </row>
    <row r="7094" spans="1:5">
      <c r="A7094" s="76" t="s">
        <v>2538</v>
      </c>
      <c r="B7094" s="77"/>
      <c r="C7094" s="78"/>
      <c r="D7094" s="78"/>
      <c r="E7094" s="78">
        <f>E7092</f>
        <v>4.36</v>
      </c>
    </row>
    <row r="7095" spans="1:5">
      <c r="A7095" s="76" t="s">
        <v>2539</v>
      </c>
      <c r="B7095" s="77"/>
      <c r="C7095" s="78"/>
      <c r="D7095" s="78">
        <v>0</v>
      </c>
      <c r="E7095" s="78">
        <f>TRUNC(D7095*E7094/100,2)</f>
        <v>0</v>
      </c>
    </row>
    <row r="7096" spans="1:5">
      <c r="A7096" s="76" t="s">
        <v>2540</v>
      </c>
      <c r="B7096" s="77"/>
      <c r="C7096" s="78"/>
      <c r="D7096" s="78"/>
      <c r="E7096" s="78">
        <f>E7094+E7095</f>
        <v>4.36</v>
      </c>
    </row>
    <row r="7097" spans="1:5">
      <c r="A7097" s="76"/>
      <c r="B7097" s="77"/>
      <c r="C7097" s="78"/>
      <c r="D7097" s="78"/>
      <c r="E7097" s="78"/>
    </row>
    <row r="7098" spans="1:5">
      <c r="A7098" s="76" t="s">
        <v>3092</v>
      </c>
      <c r="B7098" s="77">
        <v>2203009001322</v>
      </c>
      <c r="C7098" s="78"/>
      <c r="D7098" s="78"/>
      <c r="E7098" s="78"/>
    </row>
    <row r="7099" ht="25.5" spans="1:5">
      <c r="A7099" s="76" t="s">
        <v>4095</v>
      </c>
      <c r="B7099" s="77"/>
      <c r="C7099" s="78"/>
      <c r="D7099" s="78"/>
      <c r="E7099" s="78"/>
    </row>
    <row r="7100" spans="1:5">
      <c r="A7100" s="76" t="s">
        <v>2764</v>
      </c>
      <c r="B7100" s="77"/>
      <c r="C7100" s="78"/>
      <c r="D7100" s="78"/>
      <c r="E7100" s="78"/>
    </row>
    <row r="7101" spans="1:5">
      <c r="A7101" s="76"/>
      <c r="B7101" s="77"/>
      <c r="C7101" s="78"/>
      <c r="D7101" s="78"/>
      <c r="E7101" s="78"/>
    </row>
    <row r="7102" spans="1:5">
      <c r="A7102" s="76" t="s">
        <v>2543</v>
      </c>
      <c r="B7102" s="77" t="s">
        <v>135</v>
      </c>
      <c r="C7102" s="78" t="s">
        <v>136</v>
      </c>
      <c r="D7102" s="78" t="s">
        <v>2534</v>
      </c>
      <c r="E7102" s="78" t="s">
        <v>2535</v>
      </c>
    </row>
    <row r="7103" ht="25.5" spans="1:5">
      <c r="A7103" s="76" t="s">
        <v>4094</v>
      </c>
      <c r="B7103" s="77" t="s">
        <v>494</v>
      </c>
      <c r="C7103" s="78">
        <v>1.401e-5</v>
      </c>
      <c r="D7103" s="78">
        <v>95619.8</v>
      </c>
      <c r="E7103" s="78">
        <f>TRUNC(C7103*D7103,2)</f>
        <v>1.33</v>
      </c>
    </row>
    <row r="7104" spans="1:5">
      <c r="A7104" s="76" t="s">
        <v>122</v>
      </c>
      <c r="B7104" s="77"/>
      <c r="C7104" s="78"/>
      <c r="D7104" s="78"/>
      <c r="E7104" s="78">
        <f>SUM(E7103:E7103)</f>
        <v>1.33</v>
      </c>
    </row>
    <row r="7105" spans="1:5">
      <c r="A7105" s="76"/>
      <c r="B7105" s="77"/>
      <c r="C7105" s="78"/>
      <c r="D7105" s="78"/>
      <c r="E7105" s="78"/>
    </row>
    <row r="7106" spans="1:5">
      <c r="A7106" s="76" t="s">
        <v>2538</v>
      </c>
      <c r="B7106" s="77"/>
      <c r="C7106" s="78"/>
      <c r="D7106" s="78"/>
      <c r="E7106" s="78">
        <f>E7104</f>
        <v>1.33</v>
      </c>
    </row>
    <row r="7107" spans="1:5">
      <c r="A7107" s="76" t="s">
        <v>2539</v>
      </c>
      <c r="B7107" s="77"/>
      <c r="C7107" s="78"/>
      <c r="D7107" s="78">
        <v>0</v>
      </c>
      <c r="E7107" s="78">
        <f>TRUNC(D7107*E7106/100,2)</f>
        <v>0</v>
      </c>
    </row>
    <row r="7108" spans="1:5">
      <c r="A7108" s="76" t="s">
        <v>2540</v>
      </c>
      <c r="B7108" s="77"/>
      <c r="C7108" s="78"/>
      <c r="D7108" s="78"/>
      <c r="E7108" s="78">
        <f>E7106+E7107</f>
        <v>1.33</v>
      </c>
    </row>
    <row r="7109" spans="1:5">
      <c r="A7109" s="76"/>
      <c r="B7109" s="77"/>
      <c r="C7109" s="78"/>
      <c r="D7109" s="78"/>
      <c r="E7109" s="78"/>
    </row>
    <row r="7110" spans="1:5">
      <c r="A7110" s="76" t="s">
        <v>3092</v>
      </c>
      <c r="B7110" s="77">
        <v>2203009001325</v>
      </c>
      <c r="C7110" s="78"/>
      <c r="D7110" s="78"/>
      <c r="E7110" s="78"/>
    </row>
    <row r="7111" ht="25.5" spans="1:5">
      <c r="A7111" s="76" t="s">
        <v>4096</v>
      </c>
      <c r="B7111" s="77"/>
      <c r="C7111" s="78"/>
      <c r="D7111" s="78"/>
      <c r="E7111" s="78"/>
    </row>
    <row r="7112" spans="1:5">
      <c r="A7112" s="76" t="s">
        <v>2764</v>
      </c>
      <c r="B7112" s="77"/>
      <c r="C7112" s="78"/>
      <c r="D7112" s="78"/>
      <c r="E7112" s="78"/>
    </row>
    <row r="7113" spans="1:5">
      <c r="A7113" s="76"/>
      <c r="B7113" s="77"/>
      <c r="C7113" s="78"/>
      <c r="D7113" s="78"/>
      <c r="E7113" s="78"/>
    </row>
    <row r="7114" spans="1:5">
      <c r="A7114" s="76" t="s">
        <v>2543</v>
      </c>
      <c r="B7114" s="77" t="s">
        <v>135</v>
      </c>
      <c r="C7114" s="78" t="s">
        <v>136</v>
      </c>
      <c r="D7114" s="78" t="s">
        <v>2534</v>
      </c>
      <c r="E7114" s="78" t="s">
        <v>2535</v>
      </c>
    </row>
    <row r="7115" ht="25.5" spans="1:5">
      <c r="A7115" s="76" t="s">
        <v>4094</v>
      </c>
      <c r="B7115" s="77" t="s">
        <v>494</v>
      </c>
      <c r="C7115" s="78">
        <v>5.71e-5</v>
      </c>
      <c r="D7115" s="78">
        <v>95619.8</v>
      </c>
      <c r="E7115" s="78">
        <f>TRUNC(C7115*D7115,2)</f>
        <v>5.45</v>
      </c>
    </row>
    <row r="7116" spans="1:5">
      <c r="A7116" s="76" t="s">
        <v>122</v>
      </c>
      <c r="B7116" s="77"/>
      <c r="C7116" s="78"/>
      <c r="D7116" s="78"/>
      <c r="E7116" s="78">
        <f>SUM(E7115:E7115)</f>
        <v>5.45</v>
      </c>
    </row>
    <row r="7117" spans="1:5">
      <c r="A7117" s="76"/>
      <c r="B7117" s="77"/>
      <c r="C7117" s="78"/>
      <c r="D7117" s="78"/>
      <c r="E7117" s="78"/>
    </row>
    <row r="7118" spans="1:5">
      <c r="A7118" s="76" t="s">
        <v>2538</v>
      </c>
      <c r="B7118" s="77"/>
      <c r="C7118" s="78"/>
      <c r="D7118" s="78"/>
      <c r="E7118" s="78">
        <f>E7116</f>
        <v>5.45</v>
      </c>
    </row>
    <row r="7119" spans="1:5">
      <c r="A7119" s="76" t="s">
        <v>2539</v>
      </c>
      <c r="B7119" s="77"/>
      <c r="C7119" s="78"/>
      <c r="D7119" s="78">
        <v>0</v>
      </c>
      <c r="E7119" s="78">
        <f>TRUNC(D7119*E7118/100,2)</f>
        <v>0</v>
      </c>
    </row>
    <row r="7120" spans="1:5">
      <c r="A7120" s="76" t="s">
        <v>2540</v>
      </c>
      <c r="B7120" s="77"/>
      <c r="C7120" s="78"/>
      <c r="D7120" s="78"/>
      <c r="E7120" s="78">
        <f>E7118+E7119</f>
        <v>5.45</v>
      </c>
    </row>
    <row r="7121" spans="1:5">
      <c r="A7121" s="76"/>
      <c r="B7121" s="77"/>
      <c r="C7121" s="78"/>
      <c r="D7121" s="78"/>
      <c r="E7121" s="78"/>
    </row>
    <row r="7122" spans="1:5">
      <c r="A7122" s="76" t="s">
        <v>3092</v>
      </c>
      <c r="B7122" s="77">
        <v>2207219003016</v>
      </c>
      <c r="C7122" s="78"/>
      <c r="D7122" s="78"/>
      <c r="E7122" s="78"/>
    </row>
    <row r="7123" ht="25.5" spans="1:5">
      <c r="A7123" s="76" t="s">
        <v>4089</v>
      </c>
      <c r="B7123" s="77"/>
      <c r="C7123" s="78"/>
      <c r="D7123" s="78"/>
      <c r="E7123" s="78"/>
    </row>
    <row r="7124" spans="1:5">
      <c r="A7124" s="76" t="s">
        <v>3091</v>
      </c>
      <c r="B7124" s="77"/>
      <c r="C7124" s="78"/>
      <c r="D7124" s="78"/>
      <c r="E7124" s="78"/>
    </row>
    <row r="7125" spans="1:5">
      <c r="A7125" s="76"/>
      <c r="B7125" s="77"/>
      <c r="C7125" s="78"/>
      <c r="D7125" s="78"/>
      <c r="E7125" s="78"/>
    </row>
    <row r="7126" spans="1:5">
      <c r="A7126" s="76" t="s">
        <v>2543</v>
      </c>
      <c r="B7126" s="77" t="s">
        <v>135</v>
      </c>
      <c r="C7126" s="78" t="s">
        <v>136</v>
      </c>
      <c r="D7126" s="78" t="s">
        <v>2534</v>
      </c>
      <c r="E7126" s="78" t="s">
        <v>2535</v>
      </c>
    </row>
    <row r="7127" ht="25.5" spans="1:5">
      <c r="A7127" s="76" t="s">
        <v>4090</v>
      </c>
      <c r="B7127" s="77" t="s">
        <v>839</v>
      </c>
      <c r="C7127" s="78">
        <v>1</v>
      </c>
      <c r="D7127" s="78">
        <v>4.36</v>
      </c>
      <c r="E7127" s="78">
        <f>TRUNC(C7127*D7127,2)</f>
        <v>4.36</v>
      </c>
    </row>
    <row r="7128" ht="25.5" spans="1:5">
      <c r="A7128" s="76" t="s">
        <v>4091</v>
      </c>
      <c r="B7128" s="77" t="s">
        <v>839</v>
      </c>
      <c r="C7128" s="78">
        <v>1</v>
      </c>
      <c r="D7128" s="78">
        <v>1.33</v>
      </c>
      <c r="E7128" s="78">
        <f>TRUNC(C7128*D7128,2)</f>
        <v>1.33</v>
      </c>
    </row>
    <row r="7129" spans="1:5">
      <c r="A7129" s="76" t="s">
        <v>122</v>
      </c>
      <c r="B7129" s="77"/>
      <c r="C7129" s="78"/>
      <c r="D7129" s="78"/>
      <c r="E7129" s="78">
        <f>SUM(E7127:E7128)</f>
        <v>5.69</v>
      </c>
    </row>
    <row r="7130" spans="1:5">
      <c r="A7130" s="76"/>
      <c r="B7130" s="77"/>
      <c r="C7130" s="78"/>
      <c r="D7130" s="78"/>
      <c r="E7130" s="78"/>
    </row>
    <row r="7131" spans="1:5">
      <c r="A7131" s="76" t="s">
        <v>2538</v>
      </c>
      <c r="B7131" s="77"/>
      <c r="C7131" s="78"/>
      <c r="D7131" s="78"/>
      <c r="E7131" s="78">
        <f>E7129</f>
        <v>5.69</v>
      </c>
    </row>
    <row r="7132" spans="1:5">
      <c r="A7132" s="76" t="s">
        <v>2539</v>
      </c>
      <c r="B7132" s="77"/>
      <c r="C7132" s="78"/>
      <c r="D7132" s="78">
        <v>0</v>
      </c>
      <c r="E7132" s="78">
        <f>TRUNC(D7132*E7131/100,2)</f>
        <v>0</v>
      </c>
    </row>
    <row r="7133" spans="1:5">
      <c r="A7133" s="76" t="s">
        <v>2540</v>
      </c>
      <c r="B7133" s="77"/>
      <c r="C7133" s="78"/>
      <c r="D7133" s="78"/>
      <c r="E7133" s="78">
        <f>E7131+E7132</f>
        <v>5.69</v>
      </c>
    </row>
    <row r="7134" spans="1:5">
      <c r="A7134" s="76"/>
      <c r="B7134" s="77"/>
      <c r="C7134" s="78"/>
      <c r="D7134" s="78"/>
      <c r="E7134" s="78"/>
    </row>
    <row r="7135" spans="1:5">
      <c r="A7135" s="76" t="s">
        <v>3092</v>
      </c>
      <c r="B7135" s="77">
        <v>2207219003013</v>
      </c>
      <c r="C7135" s="78"/>
      <c r="D7135" s="78"/>
      <c r="E7135" s="78"/>
    </row>
    <row r="7136" ht="25.5" spans="1:5">
      <c r="A7136" s="76" t="s">
        <v>4097</v>
      </c>
      <c r="B7136" s="77"/>
      <c r="C7136" s="78"/>
      <c r="D7136" s="78"/>
      <c r="E7136" s="78"/>
    </row>
    <row r="7137" spans="1:5">
      <c r="A7137" s="76" t="s">
        <v>3085</v>
      </c>
      <c r="B7137" s="77"/>
      <c r="C7137" s="78"/>
      <c r="D7137" s="78"/>
      <c r="E7137" s="78"/>
    </row>
    <row r="7138" spans="1:5">
      <c r="A7138" s="76"/>
      <c r="B7138" s="77"/>
      <c r="C7138" s="78"/>
      <c r="D7138" s="78"/>
      <c r="E7138" s="78"/>
    </row>
    <row r="7139" spans="1:5">
      <c r="A7139" s="76" t="s">
        <v>2543</v>
      </c>
      <c r="B7139" s="77" t="s">
        <v>135</v>
      </c>
      <c r="C7139" s="78" t="s">
        <v>136</v>
      </c>
      <c r="D7139" s="78" t="s">
        <v>2534</v>
      </c>
      <c r="E7139" s="78" t="s">
        <v>2535</v>
      </c>
    </row>
    <row r="7140" ht="25.5" spans="1:5">
      <c r="A7140" s="76" t="s">
        <v>4098</v>
      </c>
      <c r="B7140" s="77" t="s">
        <v>839</v>
      </c>
      <c r="C7140" s="78">
        <v>1</v>
      </c>
      <c r="D7140" s="78">
        <v>11.35</v>
      </c>
      <c r="E7140" s="78">
        <f>TRUNC(C7140*D7140,2)</f>
        <v>11.35</v>
      </c>
    </row>
    <row r="7141" ht="25.5" spans="1:5">
      <c r="A7141" s="76" t="s">
        <v>4099</v>
      </c>
      <c r="B7141" s="77" t="s">
        <v>839</v>
      </c>
      <c r="C7141" s="78">
        <v>1</v>
      </c>
      <c r="D7141" s="78">
        <v>2.79</v>
      </c>
      <c r="E7141" s="78">
        <f>TRUNC(C7141*D7141,2)</f>
        <v>2.79</v>
      </c>
    </row>
    <row r="7142" ht="25.5" spans="1:5">
      <c r="A7142" s="76" t="s">
        <v>4100</v>
      </c>
      <c r="B7142" s="77" t="s">
        <v>839</v>
      </c>
      <c r="C7142" s="78">
        <v>1</v>
      </c>
      <c r="D7142" s="78">
        <v>9.08</v>
      </c>
      <c r="E7142" s="78">
        <f>TRUNC(C7142*D7142,2)</f>
        <v>9.08</v>
      </c>
    </row>
    <row r="7143" spans="1:5">
      <c r="A7143" s="76" t="s">
        <v>122</v>
      </c>
      <c r="B7143" s="77"/>
      <c r="C7143" s="78"/>
      <c r="D7143" s="78"/>
      <c r="E7143" s="78">
        <f>SUM(E7140:E7142)</f>
        <v>23.22</v>
      </c>
    </row>
    <row r="7144" spans="1:5">
      <c r="A7144" s="76"/>
      <c r="B7144" s="77"/>
      <c r="C7144" s="78"/>
      <c r="D7144" s="78"/>
      <c r="E7144" s="78"/>
    </row>
    <row r="7145" spans="1:5">
      <c r="A7145" s="76" t="s">
        <v>2538</v>
      </c>
      <c r="B7145" s="77"/>
      <c r="C7145" s="78"/>
      <c r="D7145" s="78"/>
      <c r="E7145" s="78">
        <f>E7143</f>
        <v>23.22</v>
      </c>
    </row>
    <row r="7146" spans="1:5">
      <c r="A7146" s="76" t="s">
        <v>2539</v>
      </c>
      <c r="B7146" s="77"/>
      <c r="C7146" s="78"/>
      <c r="D7146" s="78">
        <v>0</v>
      </c>
      <c r="E7146" s="78">
        <f>TRUNC(D7146*E7145/100,2)</f>
        <v>0</v>
      </c>
    </row>
    <row r="7147" spans="1:5">
      <c r="A7147" s="76" t="s">
        <v>2540</v>
      </c>
      <c r="B7147" s="77"/>
      <c r="C7147" s="78"/>
      <c r="D7147" s="78"/>
      <c r="E7147" s="78">
        <f>E7145+E7146</f>
        <v>23.22</v>
      </c>
    </row>
    <row r="7148" spans="1:5">
      <c r="A7148" s="76"/>
      <c r="B7148" s="77"/>
      <c r="C7148" s="78"/>
      <c r="D7148" s="78"/>
      <c r="E7148" s="78"/>
    </row>
    <row r="7149" spans="1:5">
      <c r="A7149" s="76" t="s">
        <v>3092</v>
      </c>
      <c r="B7149" s="77">
        <v>2203009001315</v>
      </c>
      <c r="C7149" s="78"/>
      <c r="D7149" s="78"/>
      <c r="E7149" s="78"/>
    </row>
    <row r="7150" ht="25.5" spans="1:5">
      <c r="A7150" s="76" t="s">
        <v>4101</v>
      </c>
      <c r="B7150" s="77"/>
      <c r="C7150" s="78"/>
      <c r="D7150" s="78"/>
      <c r="E7150" s="78"/>
    </row>
    <row r="7151" spans="1:5">
      <c r="A7151" s="76" t="s">
        <v>2764</v>
      </c>
      <c r="B7151" s="77"/>
      <c r="C7151" s="78"/>
      <c r="D7151" s="78"/>
      <c r="E7151" s="78"/>
    </row>
    <row r="7152" spans="1:5">
      <c r="A7152" s="76"/>
      <c r="B7152" s="77"/>
      <c r="C7152" s="78"/>
      <c r="D7152" s="78"/>
      <c r="E7152" s="78"/>
    </row>
    <row r="7153" spans="1:5">
      <c r="A7153" s="76" t="s">
        <v>2543</v>
      </c>
      <c r="B7153" s="77" t="s">
        <v>135</v>
      </c>
      <c r="C7153" s="78" t="s">
        <v>136</v>
      </c>
      <c r="D7153" s="78" t="s">
        <v>2534</v>
      </c>
      <c r="E7153" s="78" t="s">
        <v>2535</v>
      </c>
    </row>
    <row r="7154" ht="25.5" spans="1:5">
      <c r="A7154" s="76" t="s">
        <v>4102</v>
      </c>
      <c r="B7154" s="77" t="s">
        <v>494</v>
      </c>
      <c r="C7154" s="78">
        <v>5.71e-5</v>
      </c>
      <c r="D7154" s="78">
        <v>198933.33</v>
      </c>
      <c r="E7154" s="78">
        <f>TRUNC(C7154*D7154,2)</f>
        <v>11.35</v>
      </c>
    </row>
    <row r="7155" spans="1:5">
      <c r="A7155" s="76" t="s">
        <v>122</v>
      </c>
      <c r="B7155" s="77"/>
      <c r="C7155" s="78"/>
      <c r="D7155" s="78"/>
      <c r="E7155" s="78">
        <f>SUM(E7154:E7154)</f>
        <v>11.35</v>
      </c>
    </row>
    <row r="7156" spans="1:5">
      <c r="A7156" s="76"/>
      <c r="B7156" s="77"/>
      <c r="C7156" s="78"/>
      <c r="D7156" s="78"/>
      <c r="E7156" s="78"/>
    </row>
    <row r="7157" spans="1:5">
      <c r="A7157" s="76" t="s">
        <v>2538</v>
      </c>
      <c r="B7157" s="77"/>
      <c r="C7157" s="78"/>
      <c r="D7157" s="78"/>
      <c r="E7157" s="78">
        <f>E7155</f>
        <v>11.35</v>
      </c>
    </row>
    <row r="7158" spans="1:5">
      <c r="A7158" s="76" t="s">
        <v>2539</v>
      </c>
      <c r="B7158" s="77"/>
      <c r="C7158" s="78"/>
      <c r="D7158" s="78">
        <v>0</v>
      </c>
      <c r="E7158" s="78">
        <f>TRUNC(D7158*E7157/100,2)</f>
        <v>0</v>
      </c>
    </row>
    <row r="7159" spans="1:5">
      <c r="A7159" s="76" t="s">
        <v>2540</v>
      </c>
      <c r="B7159" s="77"/>
      <c r="C7159" s="78"/>
      <c r="D7159" s="78"/>
      <c r="E7159" s="78">
        <f>E7157+E7158</f>
        <v>11.35</v>
      </c>
    </row>
    <row r="7160" spans="1:5">
      <c r="A7160" s="76"/>
      <c r="B7160" s="77"/>
      <c r="C7160" s="78"/>
      <c r="D7160" s="78"/>
      <c r="E7160" s="78"/>
    </row>
    <row r="7161" spans="1:5">
      <c r="A7161" s="76" t="s">
        <v>3092</v>
      </c>
      <c r="B7161" s="77">
        <v>2203009001312</v>
      </c>
      <c r="C7161" s="78"/>
      <c r="D7161" s="78"/>
      <c r="E7161" s="78"/>
    </row>
    <row r="7162" ht="25.5" spans="1:5">
      <c r="A7162" s="76" t="s">
        <v>4103</v>
      </c>
      <c r="B7162" s="77"/>
      <c r="C7162" s="78"/>
      <c r="D7162" s="78"/>
      <c r="E7162" s="78"/>
    </row>
    <row r="7163" spans="1:5">
      <c r="A7163" s="76" t="s">
        <v>2764</v>
      </c>
      <c r="B7163" s="77"/>
      <c r="C7163" s="78"/>
      <c r="D7163" s="78"/>
      <c r="E7163" s="78"/>
    </row>
    <row r="7164" spans="1:5">
      <c r="A7164" s="76"/>
      <c r="B7164" s="77"/>
      <c r="C7164" s="78"/>
      <c r="D7164" s="78"/>
      <c r="E7164" s="78"/>
    </row>
    <row r="7165" spans="1:5">
      <c r="A7165" s="76" t="s">
        <v>2543</v>
      </c>
      <c r="B7165" s="77" t="s">
        <v>135</v>
      </c>
      <c r="C7165" s="78" t="s">
        <v>136</v>
      </c>
      <c r="D7165" s="78" t="s">
        <v>2534</v>
      </c>
      <c r="E7165" s="78" t="s">
        <v>2535</v>
      </c>
    </row>
    <row r="7166" ht="25.5" spans="1:5">
      <c r="A7166" s="76" t="s">
        <v>4102</v>
      </c>
      <c r="B7166" s="77" t="s">
        <v>494</v>
      </c>
      <c r="C7166" s="78">
        <v>1.407e-5</v>
      </c>
      <c r="D7166" s="78">
        <v>198933.33</v>
      </c>
      <c r="E7166" s="78">
        <f>TRUNC(C7166*D7166,2)</f>
        <v>2.79</v>
      </c>
    </row>
    <row r="7167" spans="1:5">
      <c r="A7167" s="76" t="s">
        <v>122</v>
      </c>
      <c r="B7167" s="77"/>
      <c r="C7167" s="78"/>
      <c r="D7167" s="78"/>
      <c r="E7167" s="78">
        <f>SUM(E7166:E7166)</f>
        <v>2.79</v>
      </c>
    </row>
    <row r="7168" spans="1:5">
      <c r="A7168" s="76"/>
      <c r="B7168" s="77"/>
      <c r="C7168" s="78"/>
      <c r="D7168" s="78"/>
      <c r="E7168" s="78"/>
    </row>
    <row r="7169" spans="1:5">
      <c r="A7169" s="76" t="s">
        <v>2538</v>
      </c>
      <c r="B7169" s="77"/>
      <c r="C7169" s="78"/>
      <c r="D7169" s="78"/>
      <c r="E7169" s="78">
        <f>E7167</f>
        <v>2.79</v>
      </c>
    </row>
    <row r="7170" spans="1:5">
      <c r="A7170" s="76" t="s">
        <v>2539</v>
      </c>
      <c r="B7170" s="77"/>
      <c r="C7170" s="78"/>
      <c r="D7170" s="78">
        <v>0</v>
      </c>
      <c r="E7170" s="78">
        <f>TRUNC(D7170*E7169/100,2)</f>
        <v>0</v>
      </c>
    </row>
    <row r="7171" spans="1:5">
      <c r="A7171" s="76" t="s">
        <v>2540</v>
      </c>
      <c r="B7171" s="77"/>
      <c r="C7171" s="78"/>
      <c r="D7171" s="78"/>
      <c r="E7171" s="78">
        <f>E7169+E7170</f>
        <v>2.79</v>
      </c>
    </row>
    <row r="7172" spans="1:5">
      <c r="A7172" s="76"/>
      <c r="B7172" s="77"/>
      <c r="C7172" s="78"/>
      <c r="D7172" s="78"/>
      <c r="E7172" s="78"/>
    </row>
    <row r="7173" spans="1:5">
      <c r="A7173" s="76" t="s">
        <v>3092</v>
      </c>
      <c r="B7173" s="77">
        <v>2203009001311</v>
      </c>
      <c r="C7173" s="78"/>
      <c r="D7173" s="78"/>
      <c r="E7173" s="78"/>
    </row>
    <row r="7174" ht="25.5" spans="1:5">
      <c r="A7174" s="76" t="s">
        <v>4104</v>
      </c>
      <c r="B7174" s="77"/>
      <c r="C7174" s="78"/>
      <c r="D7174" s="78"/>
      <c r="E7174" s="78"/>
    </row>
    <row r="7175" spans="1:5">
      <c r="A7175" s="76" t="s">
        <v>2764</v>
      </c>
      <c r="B7175" s="77"/>
      <c r="C7175" s="78"/>
      <c r="D7175" s="78"/>
      <c r="E7175" s="78"/>
    </row>
    <row r="7176" spans="1:5">
      <c r="A7176" s="76"/>
      <c r="B7176" s="77"/>
      <c r="C7176" s="78"/>
      <c r="D7176" s="78"/>
      <c r="E7176" s="78"/>
    </row>
    <row r="7177" spans="1:5">
      <c r="A7177" s="76" t="s">
        <v>2543</v>
      </c>
      <c r="B7177" s="77" t="s">
        <v>135</v>
      </c>
      <c r="C7177" s="78" t="s">
        <v>136</v>
      </c>
      <c r="D7177" s="78" t="s">
        <v>2534</v>
      </c>
      <c r="E7177" s="78" t="s">
        <v>2535</v>
      </c>
    </row>
    <row r="7178" ht="25.5" spans="1:5">
      <c r="A7178" s="76" t="s">
        <v>4102</v>
      </c>
      <c r="B7178" s="77" t="s">
        <v>494</v>
      </c>
      <c r="C7178" s="78">
        <v>4.569e-5</v>
      </c>
      <c r="D7178" s="78">
        <v>198933.33</v>
      </c>
      <c r="E7178" s="78">
        <f>TRUNC(C7178*D7178,2)</f>
        <v>9.08</v>
      </c>
    </row>
    <row r="7179" spans="1:5">
      <c r="A7179" s="76" t="s">
        <v>122</v>
      </c>
      <c r="B7179" s="77"/>
      <c r="C7179" s="78"/>
      <c r="D7179" s="78"/>
      <c r="E7179" s="78">
        <f>SUM(E7178:E7178)</f>
        <v>9.08</v>
      </c>
    </row>
    <row r="7180" spans="1:5">
      <c r="A7180" s="76"/>
      <c r="B7180" s="77"/>
      <c r="C7180" s="78"/>
      <c r="D7180" s="78"/>
      <c r="E7180" s="78"/>
    </row>
    <row r="7181" spans="1:5">
      <c r="A7181" s="76" t="s">
        <v>2538</v>
      </c>
      <c r="B7181" s="77"/>
      <c r="C7181" s="78"/>
      <c r="D7181" s="78"/>
      <c r="E7181" s="78">
        <f>E7179</f>
        <v>9.08</v>
      </c>
    </row>
    <row r="7182" spans="1:5">
      <c r="A7182" s="76" t="s">
        <v>2539</v>
      </c>
      <c r="B7182" s="77"/>
      <c r="C7182" s="78"/>
      <c r="D7182" s="78">
        <v>0</v>
      </c>
      <c r="E7182" s="78">
        <f>TRUNC(D7182*E7181/100,2)</f>
        <v>0</v>
      </c>
    </row>
    <row r="7183" spans="1:5">
      <c r="A7183" s="76" t="s">
        <v>2540</v>
      </c>
      <c r="B7183" s="77"/>
      <c r="C7183" s="78"/>
      <c r="D7183" s="78"/>
      <c r="E7183" s="78">
        <f>E7181+E7182</f>
        <v>9.08</v>
      </c>
    </row>
    <row r="7184" spans="1:5">
      <c r="A7184" s="76"/>
      <c r="B7184" s="77"/>
      <c r="C7184" s="78"/>
      <c r="D7184" s="78"/>
      <c r="E7184" s="78"/>
    </row>
    <row r="7185" spans="1:5">
      <c r="A7185" s="76" t="s">
        <v>3092</v>
      </c>
      <c r="B7185" s="77">
        <v>2207219003017</v>
      </c>
      <c r="C7185" s="78"/>
      <c r="D7185" s="78"/>
      <c r="E7185" s="78"/>
    </row>
    <row r="7186" ht="25.5" spans="1:5">
      <c r="A7186" s="76" t="s">
        <v>4097</v>
      </c>
      <c r="B7186" s="77"/>
      <c r="C7186" s="78"/>
      <c r="D7186" s="78"/>
      <c r="E7186" s="78"/>
    </row>
    <row r="7187" spans="1:5">
      <c r="A7187" s="76" t="s">
        <v>3091</v>
      </c>
      <c r="B7187" s="77"/>
      <c r="C7187" s="78"/>
      <c r="D7187" s="78"/>
      <c r="E7187" s="78"/>
    </row>
    <row r="7188" spans="1:5">
      <c r="A7188" s="76"/>
      <c r="B7188" s="77"/>
      <c r="C7188" s="78"/>
      <c r="D7188" s="78"/>
      <c r="E7188" s="78"/>
    </row>
    <row r="7189" spans="1:5">
      <c r="A7189" s="76" t="s">
        <v>2543</v>
      </c>
      <c r="B7189" s="77" t="s">
        <v>135</v>
      </c>
      <c r="C7189" s="78" t="s">
        <v>136</v>
      </c>
      <c r="D7189" s="78" t="s">
        <v>2534</v>
      </c>
      <c r="E7189" s="78" t="s">
        <v>2535</v>
      </c>
    </row>
    <row r="7190" ht="25.5" spans="1:5">
      <c r="A7190" s="76" t="s">
        <v>4099</v>
      </c>
      <c r="B7190" s="77" t="s">
        <v>839</v>
      </c>
      <c r="C7190" s="78">
        <v>1</v>
      </c>
      <c r="D7190" s="78">
        <v>2.79</v>
      </c>
      <c r="E7190" s="78">
        <f>TRUNC(C7190*D7190,2)</f>
        <v>2.79</v>
      </c>
    </row>
    <row r="7191" ht="25.5" spans="1:5">
      <c r="A7191" s="76" t="s">
        <v>4100</v>
      </c>
      <c r="B7191" s="77" t="s">
        <v>839</v>
      </c>
      <c r="C7191" s="78">
        <v>1</v>
      </c>
      <c r="D7191" s="78">
        <v>9.08</v>
      </c>
      <c r="E7191" s="78">
        <f>TRUNC(C7191*D7191,2)</f>
        <v>9.08</v>
      </c>
    </row>
    <row r="7192" spans="1:5">
      <c r="A7192" s="76" t="s">
        <v>122</v>
      </c>
      <c r="B7192" s="77"/>
      <c r="C7192" s="78"/>
      <c r="D7192" s="78"/>
      <c r="E7192" s="78">
        <f>SUM(E7190:E7191)</f>
        <v>11.87</v>
      </c>
    </row>
    <row r="7193" spans="1:5">
      <c r="A7193" s="76"/>
      <c r="B7193" s="77"/>
      <c r="C7193" s="78"/>
      <c r="D7193" s="78"/>
      <c r="E7193" s="78"/>
    </row>
    <row r="7194" spans="1:5">
      <c r="A7194" s="76" t="s">
        <v>2538</v>
      </c>
      <c r="B7194" s="77"/>
      <c r="C7194" s="78"/>
      <c r="D7194" s="78"/>
      <c r="E7194" s="78">
        <f>E7192</f>
        <v>11.87</v>
      </c>
    </row>
    <row r="7195" spans="1:5">
      <c r="A7195" s="76" t="s">
        <v>2539</v>
      </c>
      <c r="B7195" s="77"/>
      <c r="C7195" s="78"/>
      <c r="D7195" s="78">
        <v>0</v>
      </c>
      <c r="E7195" s="78">
        <f>TRUNC(D7195*E7194/100,2)</f>
        <v>0</v>
      </c>
    </row>
    <row r="7196" spans="1:5">
      <c r="A7196" s="76" t="s">
        <v>2540</v>
      </c>
      <c r="B7196" s="77"/>
      <c r="C7196" s="78"/>
      <c r="D7196" s="78"/>
      <c r="E7196" s="78">
        <f>E7194+E7195</f>
        <v>11.87</v>
      </c>
    </row>
    <row r="7197" spans="1:5">
      <c r="A7197" s="76"/>
      <c r="B7197" s="77"/>
      <c r="C7197" s="78"/>
      <c r="D7197" s="78"/>
      <c r="E7197" s="78"/>
    </row>
    <row r="7198" spans="1:5">
      <c r="A7198" s="76" t="s">
        <v>3092</v>
      </c>
      <c r="B7198" s="77" t="s">
        <v>4105</v>
      </c>
      <c r="C7198" s="78"/>
      <c r="D7198" s="78"/>
      <c r="E7198" s="78"/>
    </row>
    <row r="7199" ht="25.5" spans="1:5">
      <c r="A7199" s="76" t="s">
        <v>4106</v>
      </c>
      <c r="B7199" s="77"/>
      <c r="C7199" s="78"/>
      <c r="D7199" s="78"/>
      <c r="E7199" s="78"/>
    </row>
    <row r="7200" spans="1:5">
      <c r="A7200" s="76" t="s">
        <v>2619</v>
      </c>
      <c r="B7200" s="77"/>
      <c r="C7200" s="78"/>
      <c r="D7200" s="78"/>
      <c r="E7200" s="78"/>
    </row>
    <row r="7201" spans="1:5">
      <c r="A7201" s="76"/>
      <c r="B7201" s="77"/>
      <c r="C7201" s="78"/>
      <c r="D7201" s="78"/>
      <c r="E7201" s="78"/>
    </row>
    <row r="7202" spans="1:5">
      <c r="A7202" s="76" t="s">
        <v>2543</v>
      </c>
      <c r="B7202" s="77" t="s">
        <v>135</v>
      </c>
      <c r="C7202" s="78" t="s">
        <v>136</v>
      </c>
      <c r="D7202" s="78" t="s">
        <v>2534</v>
      </c>
      <c r="E7202" s="78" t="s">
        <v>2535</v>
      </c>
    </row>
    <row r="7203" ht="25.5" spans="1:5">
      <c r="A7203" s="76" t="s">
        <v>2755</v>
      </c>
      <c r="B7203" s="77" t="s">
        <v>476</v>
      </c>
      <c r="C7203" s="78">
        <v>1.07</v>
      </c>
      <c r="D7203" s="78">
        <v>205</v>
      </c>
      <c r="E7203" s="78">
        <f>TRUNC(C7203*D7203,2)</f>
        <v>219.35</v>
      </c>
    </row>
    <row r="7204" spans="1:5">
      <c r="A7204" s="76" t="s">
        <v>3001</v>
      </c>
      <c r="B7204" s="77" t="s">
        <v>463</v>
      </c>
      <c r="C7204" s="78">
        <v>482.96</v>
      </c>
      <c r="D7204" s="78">
        <v>0.65</v>
      </c>
      <c r="E7204" s="78">
        <f>TRUNC(C7204*D7204,2)</f>
        <v>313.92</v>
      </c>
    </row>
    <row r="7205" spans="1:5">
      <c r="A7205" s="76" t="s">
        <v>2621</v>
      </c>
      <c r="B7205" s="77" t="s">
        <v>839</v>
      </c>
      <c r="C7205" s="78">
        <v>8.57</v>
      </c>
      <c r="D7205" s="78">
        <v>23.75</v>
      </c>
      <c r="E7205" s="78">
        <f>TRUNC(C7205*D7205,2)</f>
        <v>203.53</v>
      </c>
    </row>
    <row r="7206" spans="1:5">
      <c r="A7206" s="76" t="s">
        <v>122</v>
      </c>
      <c r="B7206" s="77"/>
      <c r="C7206" s="78"/>
      <c r="D7206" s="78"/>
      <c r="E7206" s="78">
        <f>SUM(E7203:E7205)</f>
        <v>736.8</v>
      </c>
    </row>
    <row r="7207" spans="1:5">
      <c r="A7207" s="76"/>
      <c r="B7207" s="77"/>
      <c r="C7207" s="78"/>
      <c r="D7207" s="78"/>
      <c r="E7207" s="78"/>
    </row>
    <row r="7208" spans="1:5">
      <c r="A7208" s="76" t="s">
        <v>2538</v>
      </c>
      <c r="B7208" s="77"/>
      <c r="C7208" s="78"/>
      <c r="D7208" s="78"/>
      <c r="E7208" s="78">
        <f>E7206</f>
        <v>736.8</v>
      </c>
    </row>
    <row r="7209" spans="1:5">
      <c r="A7209" s="76" t="s">
        <v>2539</v>
      </c>
      <c r="B7209" s="77"/>
      <c r="C7209" s="78"/>
      <c r="D7209" s="78">
        <v>0</v>
      </c>
      <c r="E7209" s="78">
        <f>TRUNC(D7209*E7208/100,2)</f>
        <v>0</v>
      </c>
    </row>
    <row r="7210" spans="1:5">
      <c r="A7210" s="76" t="s">
        <v>2540</v>
      </c>
      <c r="B7210" s="77"/>
      <c r="C7210" s="78"/>
      <c r="D7210" s="78"/>
      <c r="E7210" s="78">
        <f>E7208+E7209</f>
        <v>736.8</v>
      </c>
    </row>
    <row r="7211" spans="1:5">
      <c r="A7211" s="76"/>
      <c r="B7211" s="77"/>
      <c r="C7211" s="78"/>
      <c r="D7211" s="78"/>
      <c r="E7211" s="78"/>
    </row>
    <row r="7212" spans="1:5">
      <c r="A7212" s="76" t="s">
        <v>3092</v>
      </c>
      <c r="B7212" s="77" t="s">
        <v>4107</v>
      </c>
      <c r="C7212" s="78"/>
      <c r="D7212" s="78"/>
      <c r="E7212" s="78"/>
    </row>
    <row r="7213" ht="25.5" spans="1:5">
      <c r="A7213" s="76" t="s">
        <v>4108</v>
      </c>
      <c r="B7213" s="77"/>
      <c r="C7213" s="78"/>
      <c r="D7213" s="78"/>
      <c r="E7213" s="78"/>
    </row>
    <row r="7214" spans="1:5">
      <c r="A7214" s="76" t="s">
        <v>3085</v>
      </c>
      <c r="B7214" s="77"/>
      <c r="C7214" s="78"/>
      <c r="D7214" s="78"/>
      <c r="E7214" s="78"/>
    </row>
    <row r="7215" spans="1:5">
      <c r="A7215" s="76"/>
      <c r="B7215" s="77"/>
      <c r="C7215" s="78"/>
      <c r="D7215" s="78"/>
      <c r="E7215" s="78"/>
    </row>
    <row r="7216" spans="1:5">
      <c r="A7216" s="76" t="s">
        <v>2543</v>
      </c>
      <c r="B7216" s="77" t="s">
        <v>135</v>
      </c>
      <c r="C7216" s="78" t="s">
        <v>136</v>
      </c>
      <c r="D7216" s="78" t="s">
        <v>2534</v>
      </c>
      <c r="E7216" s="78" t="s">
        <v>2535</v>
      </c>
    </row>
    <row r="7217" spans="1:5">
      <c r="A7217" s="76" t="s">
        <v>4109</v>
      </c>
      <c r="B7217" s="77" t="s">
        <v>839</v>
      </c>
      <c r="C7217" s="78">
        <v>1</v>
      </c>
      <c r="D7217" s="78">
        <v>26.06</v>
      </c>
      <c r="E7217" s="78">
        <f>TRUNC(C7217*D7217,2)</f>
        <v>26.06</v>
      </c>
    </row>
    <row r="7218" ht="25.5" spans="1:5">
      <c r="A7218" s="76" t="s">
        <v>4110</v>
      </c>
      <c r="B7218" s="77" t="s">
        <v>839</v>
      </c>
      <c r="C7218" s="78">
        <v>1</v>
      </c>
      <c r="D7218" s="78">
        <v>77.84</v>
      </c>
      <c r="E7218" s="78">
        <f>TRUNC(C7218*D7218,2)</f>
        <v>77.84</v>
      </c>
    </row>
    <row r="7219" ht="25.5" spans="1:5">
      <c r="A7219" s="76" t="s">
        <v>4111</v>
      </c>
      <c r="B7219" s="77" t="s">
        <v>839</v>
      </c>
      <c r="C7219" s="78">
        <v>1</v>
      </c>
      <c r="D7219" s="78">
        <v>92.92</v>
      </c>
      <c r="E7219" s="78">
        <f>TRUNC(C7219*D7219,2)</f>
        <v>92.92</v>
      </c>
    </row>
    <row r="7220" ht="25.5" spans="1:5">
      <c r="A7220" s="76" t="s">
        <v>4112</v>
      </c>
      <c r="B7220" s="77" t="s">
        <v>839</v>
      </c>
      <c r="C7220" s="78">
        <v>1</v>
      </c>
      <c r="D7220" s="78">
        <v>43.54</v>
      </c>
      <c r="E7220" s="78">
        <f>TRUNC(C7220*D7220,2)</f>
        <v>43.54</v>
      </c>
    </row>
    <row r="7221" ht="25.5" spans="1:5">
      <c r="A7221" s="76" t="s">
        <v>4113</v>
      </c>
      <c r="B7221" s="77" t="s">
        <v>839</v>
      </c>
      <c r="C7221" s="78">
        <v>1</v>
      </c>
      <c r="D7221" s="78">
        <v>19.18</v>
      </c>
      <c r="E7221" s="78">
        <f>TRUNC(C7221*D7221,2)</f>
        <v>19.18</v>
      </c>
    </row>
    <row r="7222" spans="1:5">
      <c r="A7222" s="76" t="s">
        <v>122</v>
      </c>
      <c r="B7222" s="77"/>
      <c r="C7222" s="78"/>
      <c r="D7222" s="78"/>
      <c r="E7222" s="78">
        <f>SUM(E7217:E7221)</f>
        <v>259.54</v>
      </c>
    </row>
    <row r="7223" spans="1:5">
      <c r="A7223" s="76"/>
      <c r="B7223" s="77"/>
      <c r="C7223" s="78"/>
      <c r="D7223" s="78"/>
      <c r="E7223" s="78"/>
    </row>
    <row r="7224" spans="1:5">
      <c r="A7224" s="76" t="s">
        <v>2538</v>
      </c>
      <c r="B7224" s="77"/>
      <c r="C7224" s="78"/>
      <c r="D7224" s="78"/>
      <c r="E7224" s="78">
        <f>E7222</f>
        <v>259.54</v>
      </c>
    </row>
    <row r="7225" spans="1:5">
      <c r="A7225" s="76" t="s">
        <v>2539</v>
      </c>
      <c r="B7225" s="77"/>
      <c r="C7225" s="78"/>
      <c r="D7225" s="78">
        <v>0</v>
      </c>
      <c r="E7225" s="78">
        <f>TRUNC(D7225*E7224/100,2)</f>
        <v>0</v>
      </c>
    </row>
    <row r="7226" spans="1:5">
      <c r="A7226" s="76" t="s">
        <v>2540</v>
      </c>
      <c r="B7226" s="77"/>
      <c r="C7226" s="78"/>
      <c r="D7226" s="78"/>
      <c r="E7226" s="78">
        <f>E7224+E7225</f>
        <v>259.54</v>
      </c>
    </row>
    <row r="7227" spans="1:5">
      <c r="A7227" s="76"/>
      <c r="B7227" s="77"/>
      <c r="C7227" s="78"/>
      <c r="D7227" s="78"/>
      <c r="E7227" s="78"/>
    </row>
    <row r="7228" spans="1:5">
      <c r="A7228" s="76" t="s">
        <v>3092</v>
      </c>
      <c r="B7228" s="77" t="s">
        <v>4114</v>
      </c>
      <c r="C7228" s="78"/>
      <c r="D7228" s="78"/>
      <c r="E7228" s="78"/>
    </row>
    <row r="7229" spans="1:5">
      <c r="A7229" s="76" t="s">
        <v>4115</v>
      </c>
      <c r="B7229" s="77"/>
      <c r="C7229" s="78"/>
      <c r="D7229" s="78"/>
      <c r="E7229" s="78"/>
    </row>
    <row r="7230" spans="1:5">
      <c r="A7230" s="76" t="s">
        <v>2764</v>
      </c>
      <c r="B7230" s="77"/>
      <c r="C7230" s="78"/>
      <c r="D7230" s="78"/>
      <c r="E7230" s="78"/>
    </row>
    <row r="7231" spans="1:5">
      <c r="A7231" s="76"/>
      <c r="B7231" s="77"/>
      <c r="C7231" s="78"/>
      <c r="D7231" s="78"/>
      <c r="E7231" s="78"/>
    </row>
    <row r="7232" spans="1:5">
      <c r="A7232" s="76" t="s">
        <v>279</v>
      </c>
      <c r="B7232" s="77" t="s">
        <v>135</v>
      </c>
      <c r="C7232" s="78" t="s">
        <v>136</v>
      </c>
      <c r="D7232" s="78" t="s">
        <v>2534</v>
      </c>
      <c r="E7232" s="78" t="s">
        <v>2535</v>
      </c>
    </row>
    <row r="7233" ht="25.5" spans="1:5">
      <c r="A7233" s="76" t="s">
        <v>3111</v>
      </c>
      <c r="B7233" s="77" t="s">
        <v>839</v>
      </c>
      <c r="C7233" s="78">
        <v>1</v>
      </c>
      <c r="D7233" s="78">
        <v>1.5</v>
      </c>
      <c r="E7233" s="78">
        <f>TRUNC(C7233*D7233,2)</f>
        <v>1.5</v>
      </c>
    </row>
    <row r="7234" spans="1:5">
      <c r="A7234" s="76" t="s">
        <v>122</v>
      </c>
      <c r="B7234" s="77"/>
      <c r="C7234" s="78"/>
      <c r="D7234" s="78"/>
      <c r="E7234" s="78">
        <f>SUM(E7233:E7233)</f>
        <v>1.5</v>
      </c>
    </row>
    <row r="7235" spans="1:5">
      <c r="A7235" s="76"/>
      <c r="B7235" s="77"/>
      <c r="C7235" s="78"/>
      <c r="D7235" s="78"/>
      <c r="E7235" s="78"/>
    </row>
    <row r="7236" spans="1:5">
      <c r="A7236" s="76" t="s">
        <v>280</v>
      </c>
      <c r="B7236" s="77" t="s">
        <v>135</v>
      </c>
      <c r="C7236" s="78" t="s">
        <v>136</v>
      </c>
      <c r="D7236" s="78" t="s">
        <v>2534</v>
      </c>
      <c r="E7236" s="78" t="s">
        <v>2535</v>
      </c>
    </row>
    <row r="7237" ht="25.5" spans="1:5">
      <c r="A7237" s="76" t="s">
        <v>3112</v>
      </c>
      <c r="B7237" s="77" t="s">
        <v>839</v>
      </c>
      <c r="C7237" s="78">
        <v>1</v>
      </c>
      <c r="D7237" s="78">
        <v>3.95</v>
      </c>
      <c r="E7237" s="78">
        <f>TRUNC(C7237*D7237,2)</f>
        <v>3.95</v>
      </c>
    </row>
    <row r="7238" ht="25.5" spans="1:5">
      <c r="A7238" s="76" t="s">
        <v>3280</v>
      </c>
      <c r="B7238" s="77" t="s">
        <v>839</v>
      </c>
      <c r="C7238" s="78">
        <v>1</v>
      </c>
      <c r="D7238" s="78">
        <v>18</v>
      </c>
      <c r="E7238" s="78">
        <f>TRUNC(C7238*D7238,2)</f>
        <v>18</v>
      </c>
    </row>
    <row r="7239" ht="25.5" spans="1:5">
      <c r="A7239" s="76" t="s">
        <v>3113</v>
      </c>
      <c r="B7239" s="77" t="s">
        <v>839</v>
      </c>
      <c r="C7239" s="78">
        <v>1</v>
      </c>
      <c r="D7239" s="78">
        <v>0.08</v>
      </c>
      <c r="E7239" s="78">
        <f>TRUNC(C7239*D7239,2)</f>
        <v>0.08</v>
      </c>
    </row>
    <row r="7240" spans="1:5">
      <c r="A7240" s="76" t="s">
        <v>122</v>
      </c>
      <c r="B7240" s="77"/>
      <c r="C7240" s="78"/>
      <c r="D7240" s="78"/>
      <c r="E7240" s="78">
        <f>SUM(E7237:E7239)</f>
        <v>22.03</v>
      </c>
    </row>
    <row r="7241" spans="1:5">
      <c r="A7241" s="76" t="s">
        <v>117</v>
      </c>
      <c r="B7241" s="77"/>
      <c r="C7241" s="78"/>
      <c r="D7241" s="78"/>
      <c r="E7241" s="78" t="str">
        <f>"0"</f>
        <v>0</v>
      </c>
    </row>
    <row r="7242" spans="1:5">
      <c r="A7242" s="76" t="s">
        <v>2537</v>
      </c>
      <c r="B7242" s="77"/>
      <c r="C7242" s="78"/>
      <c r="D7242" s="78"/>
      <c r="E7242" s="78">
        <f>E7240+E7241</f>
        <v>22.03</v>
      </c>
    </row>
    <row r="7243" spans="1:5">
      <c r="A7243" s="76"/>
      <c r="B7243" s="77"/>
      <c r="C7243" s="78"/>
      <c r="D7243" s="78"/>
      <c r="E7243" s="78"/>
    </row>
    <row r="7244" spans="1:5">
      <c r="A7244" s="76" t="s">
        <v>2543</v>
      </c>
      <c r="B7244" s="77" t="s">
        <v>135</v>
      </c>
      <c r="C7244" s="78" t="s">
        <v>136</v>
      </c>
      <c r="D7244" s="78" t="s">
        <v>2534</v>
      </c>
      <c r="E7244" s="78" t="s">
        <v>2535</v>
      </c>
    </row>
    <row r="7245" ht="25.5" spans="1:5">
      <c r="A7245" s="76" t="s">
        <v>3195</v>
      </c>
      <c r="B7245" s="77" t="s">
        <v>839</v>
      </c>
      <c r="C7245" s="78">
        <v>1</v>
      </c>
      <c r="D7245" s="78">
        <v>0.89</v>
      </c>
      <c r="E7245" s="78">
        <f>TRUNC(C7245*D7245,2)</f>
        <v>0.89</v>
      </c>
    </row>
    <row r="7246" spans="1:5">
      <c r="A7246" s="76" t="s">
        <v>3116</v>
      </c>
      <c r="B7246" s="77" t="s">
        <v>839</v>
      </c>
      <c r="C7246" s="78">
        <v>1</v>
      </c>
      <c r="D7246" s="78">
        <v>1.43</v>
      </c>
      <c r="E7246" s="78">
        <f>TRUNC(C7246*D7246,2)</f>
        <v>1.43</v>
      </c>
    </row>
    <row r="7247" ht="25.5" spans="1:5">
      <c r="A7247" s="76" t="s">
        <v>3196</v>
      </c>
      <c r="B7247" s="77" t="s">
        <v>839</v>
      </c>
      <c r="C7247" s="78">
        <v>1</v>
      </c>
      <c r="D7247" s="78">
        <v>0.01</v>
      </c>
      <c r="E7247" s="78">
        <f>TRUNC(C7247*D7247,2)</f>
        <v>0.01</v>
      </c>
    </row>
    <row r="7248" ht="25.5" spans="1:5">
      <c r="A7248" s="76" t="s">
        <v>4116</v>
      </c>
      <c r="B7248" s="77" t="s">
        <v>839</v>
      </c>
      <c r="C7248" s="78">
        <v>1</v>
      </c>
      <c r="D7248" s="78">
        <v>0.2</v>
      </c>
      <c r="E7248" s="78">
        <f>TRUNC(C7248*D7248,2)</f>
        <v>0.2</v>
      </c>
    </row>
    <row r="7249" spans="1:5">
      <c r="A7249" s="76" t="s">
        <v>122</v>
      </c>
      <c r="B7249" s="77"/>
      <c r="C7249" s="78"/>
      <c r="D7249" s="78"/>
      <c r="E7249" s="78">
        <f>SUM(E7245:E7248)</f>
        <v>2.53</v>
      </c>
    </row>
    <row r="7250" spans="1:5">
      <c r="A7250" s="76"/>
      <c r="B7250" s="77"/>
      <c r="C7250" s="78"/>
      <c r="D7250" s="78"/>
      <c r="E7250" s="78"/>
    </row>
    <row r="7251" spans="1:5">
      <c r="A7251" s="76" t="s">
        <v>2538</v>
      </c>
      <c r="B7251" s="77"/>
      <c r="C7251" s="78"/>
      <c r="D7251" s="78"/>
      <c r="E7251" s="78">
        <f>E7234+E7242+E7249</f>
        <v>26.06</v>
      </c>
    </row>
    <row r="7252" spans="1:5">
      <c r="A7252" s="76" t="s">
        <v>2539</v>
      </c>
      <c r="B7252" s="77"/>
      <c r="C7252" s="78"/>
      <c r="D7252" s="78">
        <v>0</v>
      </c>
      <c r="E7252" s="78">
        <f>TRUNC(D7252*E7251/100,2)</f>
        <v>0</v>
      </c>
    </row>
    <row r="7253" spans="1:5">
      <c r="A7253" s="76" t="s">
        <v>2540</v>
      </c>
      <c r="B7253" s="77"/>
      <c r="C7253" s="78"/>
      <c r="D7253" s="78"/>
      <c r="E7253" s="78">
        <f>E7251+E7252</f>
        <v>26.06</v>
      </c>
    </row>
    <row r="7254" spans="1:5">
      <c r="A7254" s="76"/>
      <c r="B7254" s="77"/>
      <c r="C7254" s="78"/>
      <c r="D7254" s="78"/>
      <c r="E7254" s="78"/>
    </row>
    <row r="7255" spans="1:5">
      <c r="A7255" s="76" t="s">
        <v>3092</v>
      </c>
      <c r="B7255" s="77" t="s">
        <v>4117</v>
      </c>
      <c r="C7255" s="78"/>
      <c r="D7255" s="78"/>
      <c r="E7255" s="78"/>
    </row>
    <row r="7256" ht="25.5" spans="1:5">
      <c r="A7256" s="76" t="s">
        <v>4118</v>
      </c>
      <c r="B7256" s="77"/>
      <c r="C7256" s="78"/>
      <c r="D7256" s="78"/>
      <c r="E7256" s="78"/>
    </row>
    <row r="7257" spans="1:5">
      <c r="A7257" s="76" t="s">
        <v>2764</v>
      </c>
      <c r="B7257" s="77"/>
      <c r="C7257" s="78"/>
      <c r="D7257" s="78"/>
      <c r="E7257" s="78"/>
    </row>
    <row r="7258" spans="1:5">
      <c r="A7258" s="76"/>
      <c r="B7258" s="77"/>
      <c r="C7258" s="78"/>
      <c r="D7258" s="78"/>
      <c r="E7258" s="78"/>
    </row>
    <row r="7259" spans="1:5">
      <c r="A7259" s="76" t="s">
        <v>280</v>
      </c>
      <c r="B7259" s="77" t="s">
        <v>135</v>
      </c>
      <c r="C7259" s="78" t="s">
        <v>136</v>
      </c>
      <c r="D7259" s="78" t="s">
        <v>2534</v>
      </c>
      <c r="E7259" s="78" t="s">
        <v>2535</v>
      </c>
    </row>
    <row r="7260" ht="25.5" spans="1:5">
      <c r="A7260" s="76" t="s">
        <v>3280</v>
      </c>
      <c r="B7260" s="77" t="s">
        <v>839</v>
      </c>
      <c r="C7260" s="78">
        <v>0.01154</v>
      </c>
      <c r="D7260" s="78">
        <v>18</v>
      </c>
      <c r="E7260" s="78">
        <f>TRUNC(C7260*D7260,2)</f>
        <v>0.2</v>
      </c>
    </row>
    <row r="7261" spans="1:5">
      <c r="A7261" s="76" t="s">
        <v>122</v>
      </c>
      <c r="B7261" s="77"/>
      <c r="C7261" s="78"/>
      <c r="D7261" s="78"/>
      <c r="E7261" s="78">
        <f>SUM(E7260:E7260)</f>
        <v>0.2</v>
      </c>
    </row>
    <row r="7262" spans="1:5">
      <c r="A7262" s="76" t="s">
        <v>117</v>
      </c>
      <c r="B7262" s="77"/>
      <c r="C7262" s="78"/>
      <c r="D7262" s="78"/>
      <c r="E7262" s="78" t="str">
        <f>"0"</f>
        <v>0</v>
      </c>
    </row>
    <row r="7263" spans="1:5">
      <c r="A7263" s="76" t="s">
        <v>2537</v>
      </c>
      <c r="B7263" s="77"/>
      <c r="C7263" s="78"/>
      <c r="D7263" s="78"/>
      <c r="E7263" s="78">
        <f>E7261+E7262</f>
        <v>0.2</v>
      </c>
    </row>
    <row r="7264" spans="1:5">
      <c r="A7264" s="76"/>
      <c r="B7264" s="77"/>
      <c r="C7264" s="78"/>
      <c r="D7264" s="78"/>
      <c r="E7264" s="78"/>
    </row>
    <row r="7265" spans="1:5">
      <c r="A7265" s="76" t="s">
        <v>2538</v>
      </c>
      <c r="B7265" s="77"/>
      <c r="C7265" s="78"/>
      <c r="D7265" s="78"/>
      <c r="E7265" s="78">
        <f>E7263</f>
        <v>0.2</v>
      </c>
    </row>
    <row r="7266" spans="1:5">
      <c r="A7266" s="76" t="s">
        <v>2539</v>
      </c>
      <c r="B7266" s="77"/>
      <c r="C7266" s="78"/>
      <c r="D7266" s="78">
        <v>0</v>
      </c>
      <c r="E7266" s="78">
        <f>TRUNC(D7266*E7265/100,2)</f>
        <v>0</v>
      </c>
    </row>
    <row r="7267" spans="1:5">
      <c r="A7267" s="76" t="s">
        <v>2540</v>
      </c>
      <c r="B7267" s="77"/>
      <c r="C7267" s="78"/>
      <c r="D7267" s="78"/>
      <c r="E7267" s="78">
        <f>E7265+E7266</f>
        <v>0.2</v>
      </c>
    </row>
    <row r="7268" spans="1:5">
      <c r="A7268" s="76"/>
      <c r="B7268" s="77"/>
      <c r="C7268" s="78"/>
      <c r="D7268" s="78"/>
      <c r="E7268" s="78"/>
    </row>
    <row r="7269" spans="1:5">
      <c r="A7269" s="76" t="s">
        <v>3092</v>
      </c>
      <c r="B7269" s="77" t="s">
        <v>4119</v>
      </c>
      <c r="C7269" s="78"/>
      <c r="D7269" s="78"/>
      <c r="E7269" s="78"/>
    </row>
    <row r="7270" ht="25.5" spans="1:5">
      <c r="A7270" s="76" t="s">
        <v>4120</v>
      </c>
      <c r="B7270" s="77"/>
      <c r="C7270" s="78"/>
      <c r="D7270" s="78"/>
      <c r="E7270" s="78"/>
    </row>
    <row r="7271" spans="1:5">
      <c r="A7271" s="76" t="s">
        <v>2764</v>
      </c>
      <c r="B7271" s="77"/>
      <c r="C7271" s="78"/>
      <c r="D7271" s="78"/>
      <c r="E7271" s="78"/>
    </row>
    <row r="7272" spans="1:5">
      <c r="A7272" s="76"/>
      <c r="B7272" s="77"/>
      <c r="C7272" s="78"/>
      <c r="D7272" s="78"/>
      <c r="E7272" s="78"/>
    </row>
    <row r="7273" spans="1:5">
      <c r="A7273" s="76" t="s">
        <v>279</v>
      </c>
      <c r="B7273" s="77" t="s">
        <v>135</v>
      </c>
      <c r="C7273" s="78" t="s">
        <v>136</v>
      </c>
      <c r="D7273" s="78" t="s">
        <v>2534</v>
      </c>
      <c r="E7273" s="78" t="s">
        <v>2535</v>
      </c>
    </row>
    <row r="7274" ht="25.5" spans="1:5">
      <c r="A7274" s="76" t="s">
        <v>4121</v>
      </c>
      <c r="B7274" s="77" t="s">
        <v>494</v>
      </c>
      <c r="C7274" s="78">
        <v>5.56e-5</v>
      </c>
      <c r="D7274" s="78">
        <v>1400000</v>
      </c>
      <c r="E7274" s="78">
        <f>TRUNC(C7274*D7274,2)</f>
        <v>77.84</v>
      </c>
    </row>
    <row r="7275" spans="1:5">
      <c r="A7275" s="76" t="s">
        <v>122</v>
      </c>
      <c r="B7275" s="77"/>
      <c r="C7275" s="78"/>
      <c r="D7275" s="78"/>
      <c r="E7275" s="78">
        <f>SUM(E7274:E7274)</f>
        <v>77.84</v>
      </c>
    </row>
    <row r="7276" spans="1:5">
      <c r="A7276" s="76"/>
      <c r="B7276" s="77"/>
      <c r="C7276" s="78"/>
      <c r="D7276" s="78"/>
      <c r="E7276" s="78"/>
    </row>
    <row r="7277" spans="1:5">
      <c r="A7277" s="76" t="s">
        <v>2538</v>
      </c>
      <c r="B7277" s="77"/>
      <c r="C7277" s="78"/>
      <c r="D7277" s="78"/>
      <c r="E7277" s="78">
        <f>E7275</f>
        <v>77.84</v>
      </c>
    </row>
    <row r="7278" spans="1:5">
      <c r="A7278" s="76" t="s">
        <v>2539</v>
      </c>
      <c r="B7278" s="77"/>
      <c r="C7278" s="78"/>
      <c r="D7278" s="78">
        <v>0</v>
      </c>
      <c r="E7278" s="78">
        <f>TRUNC(D7278*E7277/100,2)</f>
        <v>0</v>
      </c>
    </row>
    <row r="7279" spans="1:5">
      <c r="A7279" s="76" t="s">
        <v>2540</v>
      </c>
      <c r="B7279" s="77"/>
      <c r="C7279" s="78"/>
      <c r="D7279" s="78"/>
      <c r="E7279" s="78">
        <f>E7277+E7278</f>
        <v>77.84</v>
      </c>
    </row>
    <row r="7280" spans="1:5">
      <c r="A7280" s="76"/>
      <c r="B7280" s="77"/>
      <c r="C7280" s="78"/>
      <c r="D7280" s="78"/>
      <c r="E7280" s="78"/>
    </row>
    <row r="7281" spans="1:5">
      <c r="A7281" s="76" t="s">
        <v>3092</v>
      </c>
      <c r="B7281" s="77" t="s">
        <v>4122</v>
      </c>
      <c r="C7281" s="78"/>
      <c r="D7281" s="78"/>
      <c r="E7281" s="78"/>
    </row>
    <row r="7282" ht="25.5" spans="1:5">
      <c r="A7282" s="76" t="s">
        <v>4123</v>
      </c>
      <c r="B7282" s="77"/>
      <c r="C7282" s="78"/>
      <c r="D7282" s="78"/>
      <c r="E7282" s="78"/>
    </row>
    <row r="7283" spans="1:5">
      <c r="A7283" s="76" t="s">
        <v>2764</v>
      </c>
      <c r="B7283" s="77"/>
      <c r="C7283" s="78"/>
      <c r="D7283" s="78"/>
      <c r="E7283" s="78"/>
    </row>
    <row r="7284" spans="1:5">
      <c r="A7284" s="76"/>
      <c r="B7284" s="77"/>
      <c r="C7284" s="78"/>
      <c r="D7284" s="78"/>
      <c r="E7284" s="78"/>
    </row>
    <row r="7285" spans="1:5">
      <c r="A7285" s="76" t="s">
        <v>2543</v>
      </c>
      <c r="B7285" s="77" t="s">
        <v>135</v>
      </c>
      <c r="C7285" s="78" t="s">
        <v>136</v>
      </c>
      <c r="D7285" s="78" t="s">
        <v>2534</v>
      </c>
      <c r="E7285" s="78" t="s">
        <v>2535</v>
      </c>
    </row>
    <row r="7286" spans="1:5">
      <c r="A7286" s="76" t="s">
        <v>3202</v>
      </c>
      <c r="B7286" s="77" t="s">
        <v>215</v>
      </c>
      <c r="C7286" s="78">
        <v>15.67</v>
      </c>
      <c r="D7286" s="78">
        <v>5.93</v>
      </c>
      <c r="E7286" s="78">
        <f>TRUNC(C7286*D7286,2)</f>
        <v>92.92</v>
      </c>
    </row>
    <row r="7287" spans="1:5">
      <c r="A7287" s="76" t="s">
        <v>122</v>
      </c>
      <c r="B7287" s="77"/>
      <c r="C7287" s="78"/>
      <c r="D7287" s="78"/>
      <c r="E7287" s="78">
        <f>SUM(E7286:E7286)</f>
        <v>92.92</v>
      </c>
    </row>
    <row r="7288" spans="1:5">
      <c r="A7288" s="76"/>
      <c r="B7288" s="77"/>
      <c r="C7288" s="78"/>
      <c r="D7288" s="78"/>
      <c r="E7288" s="78"/>
    </row>
    <row r="7289" spans="1:5">
      <c r="A7289" s="76" t="s">
        <v>2538</v>
      </c>
      <c r="B7289" s="77"/>
      <c r="C7289" s="78"/>
      <c r="D7289" s="78"/>
      <c r="E7289" s="78">
        <f>E7287</f>
        <v>92.92</v>
      </c>
    </row>
    <row r="7290" spans="1:5">
      <c r="A7290" s="76" t="s">
        <v>2539</v>
      </c>
      <c r="B7290" s="77"/>
      <c r="C7290" s="78"/>
      <c r="D7290" s="78">
        <v>0</v>
      </c>
      <c r="E7290" s="78">
        <f>TRUNC(D7290*E7289/100,2)</f>
        <v>0</v>
      </c>
    </row>
    <row r="7291" spans="1:5">
      <c r="A7291" s="76" t="s">
        <v>2540</v>
      </c>
      <c r="B7291" s="77"/>
      <c r="C7291" s="78"/>
      <c r="D7291" s="78"/>
      <c r="E7291" s="78">
        <f>E7289+E7290</f>
        <v>92.92</v>
      </c>
    </row>
    <row r="7292" spans="1:5">
      <c r="A7292" s="76"/>
      <c r="B7292" s="77"/>
      <c r="C7292" s="78"/>
      <c r="D7292" s="78"/>
      <c r="E7292" s="78"/>
    </row>
    <row r="7293" spans="1:5">
      <c r="A7293" s="76" t="s">
        <v>3092</v>
      </c>
      <c r="B7293" s="77" t="s">
        <v>4124</v>
      </c>
      <c r="C7293" s="78"/>
      <c r="D7293" s="78"/>
      <c r="E7293" s="78"/>
    </row>
    <row r="7294" ht="25.5" spans="1:5">
      <c r="A7294" s="76" t="s">
        <v>4125</v>
      </c>
      <c r="B7294" s="77"/>
      <c r="C7294" s="78"/>
      <c r="D7294" s="78"/>
      <c r="E7294" s="78"/>
    </row>
    <row r="7295" spans="1:5">
      <c r="A7295" s="76" t="s">
        <v>2764</v>
      </c>
      <c r="B7295" s="77"/>
      <c r="C7295" s="78"/>
      <c r="D7295" s="78"/>
      <c r="E7295" s="78"/>
    </row>
    <row r="7296" spans="1:5">
      <c r="A7296" s="76"/>
      <c r="B7296" s="77"/>
      <c r="C7296" s="78"/>
      <c r="D7296" s="78"/>
      <c r="E7296" s="78"/>
    </row>
    <row r="7297" spans="1:5">
      <c r="A7297" s="76" t="s">
        <v>279</v>
      </c>
      <c r="B7297" s="77" t="s">
        <v>135</v>
      </c>
      <c r="C7297" s="78" t="s">
        <v>136</v>
      </c>
      <c r="D7297" s="78" t="s">
        <v>2534</v>
      </c>
      <c r="E7297" s="78" t="s">
        <v>2535</v>
      </c>
    </row>
    <row r="7298" ht="25.5" spans="1:5">
      <c r="A7298" s="76" t="s">
        <v>4121</v>
      </c>
      <c r="B7298" s="77" t="s">
        <v>494</v>
      </c>
      <c r="C7298" s="78">
        <v>3.11e-5</v>
      </c>
      <c r="D7298" s="78">
        <v>1400000</v>
      </c>
      <c r="E7298" s="78">
        <f>TRUNC(C7298*D7298,2)</f>
        <v>43.54</v>
      </c>
    </row>
    <row r="7299" spans="1:5">
      <c r="A7299" s="76" t="s">
        <v>122</v>
      </c>
      <c r="B7299" s="77"/>
      <c r="C7299" s="78"/>
      <c r="D7299" s="78"/>
      <c r="E7299" s="78">
        <f>SUM(E7298:E7298)</f>
        <v>43.54</v>
      </c>
    </row>
    <row r="7300" spans="1:5">
      <c r="A7300" s="76"/>
      <c r="B7300" s="77"/>
      <c r="C7300" s="78"/>
      <c r="D7300" s="78"/>
      <c r="E7300" s="78"/>
    </row>
    <row r="7301" spans="1:5">
      <c r="A7301" s="76" t="s">
        <v>2538</v>
      </c>
      <c r="B7301" s="77"/>
      <c r="C7301" s="78"/>
      <c r="D7301" s="78"/>
      <c r="E7301" s="78">
        <f>E7299</f>
        <v>43.54</v>
      </c>
    </row>
    <row r="7302" spans="1:5">
      <c r="A7302" s="76" t="s">
        <v>2539</v>
      </c>
      <c r="B7302" s="77"/>
      <c r="C7302" s="78"/>
      <c r="D7302" s="78">
        <v>0</v>
      </c>
      <c r="E7302" s="78">
        <f>TRUNC(D7302*E7301/100,2)</f>
        <v>0</v>
      </c>
    </row>
    <row r="7303" spans="1:5">
      <c r="A7303" s="76" t="s">
        <v>2540</v>
      </c>
      <c r="B7303" s="77"/>
      <c r="C7303" s="78"/>
      <c r="D7303" s="78"/>
      <c r="E7303" s="78">
        <f>E7301+E7302</f>
        <v>43.54</v>
      </c>
    </row>
    <row r="7304" spans="1:5">
      <c r="A7304" s="76"/>
      <c r="B7304" s="77"/>
      <c r="C7304" s="78"/>
      <c r="D7304" s="78"/>
      <c r="E7304" s="78"/>
    </row>
    <row r="7305" spans="1:5">
      <c r="A7305" s="76" t="s">
        <v>3092</v>
      </c>
      <c r="B7305" s="77" t="s">
        <v>4126</v>
      </c>
      <c r="C7305" s="78"/>
      <c r="D7305" s="78"/>
      <c r="E7305" s="78"/>
    </row>
    <row r="7306" ht="25.5" spans="1:5">
      <c r="A7306" s="76" t="s">
        <v>4127</v>
      </c>
      <c r="B7306" s="77"/>
      <c r="C7306" s="78"/>
      <c r="D7306" s="78"/>
      <c r="E7306" s="78"/>
    </row>
    <row r="7307" spans="1:5">
      <c r="A7307" s="76" t="s">
        <v>2764</v>
      </c>
      <c r="B7307" s="77"/>
      <c r="C7307" s="78"/>
      <c r="D7307" s="78"/>
      <c r="E7307" s="78"/>
    </row>
    <row r="7308" spans="1:5">
      <c r="A7308" s="76"/>
      <c r="B7308" s="77"/>
      <c r="C7308" s="78"/>
      <c r="D7308" s="78"/>
      <c r="E7308" s="78"/>
    </row>
    <row r="7309" spans="1:5">
      <c r="A7309" s="76" t="s">
        <v>279</v>
      </c>
      <c r="B7309" s="77" t="s">
        <v>135</v>
      </c>
      <c r="C7309" s="78" t="s">
        <v>136</v>
      </c>
      <c r="D7309" s="78" t="s">
        <v>2534</v>
      </c>
      <c r="E7309" s="78" t="s">
        <v>2535</v>
      </c>
    </row>
    <row r="7310" ht="25.5" spans="1:5">
      <c r="A7310" s="76" t="s">
        <v>4121</v>
      </c>
      <c r="B7310" s="77" t="s">
        <v>494</v>
      </c>
      <c r="C7310" s="78">
        <v>1.37e-5</v>
      </c>
      <c r="D7310" s="78">
        <v>1400000</v>
      </c>
      <c r="E7310" s="78">
        <f>TRUNC(C7310*D7310,2)</f>
        <v>19.18</v>
      </c>
    </row>
    <row r="7311" spans="1:5">
      <c r="A7311" s="76" t="s">
        <v>122</v>
      </c>
      <c r="B7311" s="77"/>
      <c r="C7311" s="78"/>
      <c r="D7311" s="78"/>
      <c r="E7311" s="78">
        <f>SUM(E7310:E7310)</f>
        <v>19.18</v>
      </c>
    </row>
    <row r="7312" spans="1:5">
      <c r="A7312" s="76"/>
      <c r="B7312" s="77"/>
      <c r="C7312" s="78"/>
      <c r="D7312" s="78"/>
      <c r="E7312" s="78"/>
    </row>
    <row r="7313" spans="1:5">
      <c r="A7313" s="76" t="s">
        <v>2538</v>
      </c>
      <c r="B7313" s="77"/>
      <c r="C7313" s="78"/>
      <c r="D7313" s="78"/>
      <c r="E7313" s="78">
        <f>E7311</f>
        <v>19.18</v>
      </c>
    </row>
    <row r="7314" spans="1:5">
      <c r="A7314" s="76" t="s">
        <v>2539</v>
      </c>
      <c r="B7314" s="77"/>
      <c r="C7314" s="78"/>
      <c r="D7314" s="78">
        <v>0</v>
      </c>
      <c r="E7314" s="78">
        <f>TRUNC(D7314*E7313/100,2)</f>
        <v>0</v>
      </c>
    </row>
    <row r="7315" spans="1:5">
      <c r="A7315" s="76" t="s">
        <v>2540</v>
      </c>
      <c r="B7315" s="77"/>
      <c r="C7315" s="78"/>
      <c r="D7315" s="78"/>
      <c r="E7315" s="78">
        <f>E7313+E7314</f>
        <v>19.18</v>
      </c>
    </row>
    <row r="7316" spans="1:5">
      <c r="A7316" s="76"/>
      <c r="B7316" s="77"/>
      <c r="C7316" s="78"/>
      <c r="D7316" s="78"/>
      <c r="E7316" s="78"/>
    </row>
    <row r="7317" spans="1:5">
      <c r="A7317" s="76" t="s">
        <v>3092</v>
      </c>
      <c r="B7317" s="77" t="s">
        <v>4128</v>
      </c>
      <c r="C7317" s="78"/>
      <c r="D7317" s="78"/>
      <c r="E7317" s="78"/>
    </row>
    <row r="7318" ht="25.5" spans="1:5">
      <c r="A7318" s="76" t="s">
        <v>4129</v>
      </c>
      <c r="B7318" s="77"/>
      <c r="C7318" s="78"/>
      <c r="D7318" s="78"/>
      <c r="E7318" s="78"/>
    </row>
    <row r="7319" spans="1:5">
      <c r="A7319" s="76" t="s">
        <v>3091</v>
      </c>
      <c r="B7319" s="77"/>
      <c r="C7319" s="78"/>
      <c r="D7319" s="78"/>
      <c r="E7319" s="78"/>
    </row>
    <row r="7320" spans="1:5">
      <c r="A7320" s="76"/>
      <c r="B7320" s="77"/>
      <c r="C7320" s="78"/>
      <c r="D7320" s="78"/>
      <c r="E7320" s="78"/>
    </row>
    <row r="7321" spans="1:5">
      <c r="A7321" s="76" t="s">
        <v>2543</v>
      </c>
      <c r="B7321" s="77" t="s">
        <v>135</v>
      </c>
      <c r="C7321" s="78" t="s">
        <v>136</v>
      </c>
      <c r="D7321" s="78" t="s">
        <v>2534</v>
      </c>
      <c r="E7321" s="78" t="s">
        <v>2535</v>
      </c>
    </row>
    <row r="7322" spans="1:5">
      <c r="A7322" s="76" t="s">
        <v>4109</v>
      </c>
      <c r="B7322" s="77" t="s">
        <v>839</v>
      </c>
      <c r="C7322" s="78">
        <v>1</v>
      </c>
      <c r="D7322" s="78">
        <v>26.06</v>
      </c>
      <c r="E7322" s="78">
        <f>TRUNC(C7322*D7322,2)</f>
        <v>26.06</v>
      </c>
    </row>
    <row r="7323" ht="25.5" spans="1:5">
      <c r="A7323" s="76" t="s">
        <v>4112</v>
      </c>
      <c r="B7323" s="77" t="s">
        <v>839</v>
      </c>
      <c r="C7323" s="78">
        <v>1</v>
      </c>
      <c r="D7323" s="78">
        <v>43.54</v>
      </c>
      <c r="E7323" s="78">
        <f>TRUNC(C7323*D7323,2)</f>
        <v>43.54</v>
      </c>
    </row>
    <row r="7324" ht="25.5" spans="1:5">
      <c r="A7324" s="76" t="s">
        <v>4113</v>
      </c>
      <c r="B7324" s="77" t="s">
        <v>839</v>
      </c>
      <c r="C7324" s="78">
        <v>1</v>
      </c>
      <c r="D7324" s="78">
        <v>19.18</v>
      </c>
      <c r="E7324" s="78">
        <f>TRUNC(C7324*D7324,2)</f>
        <v>19.18</v>
      </c>
    </row>
    <row r="7325" spans="1:5">
      <c r="A7325" s="76" t="s">
        <v>122</v>
      </c>
      <c r="B7325" s="77"/>
      <c r="C7325" s="78"/>
      <c r="D7325" s="78"/>
      <c r="E7325" s="78">
        <f>SUM(E7322:E7324)</f>
        <v>88.78</v>
      </c>
    </row>
    <row r="7326" spans="1:5">
      <c r="A7326" s="76"/>
      <c r="B7326" s="77"/>
      <c r="C7326" s="78"/>
      <c r="D7326" s="78"/>
      <c r="E7326" s="78"/>
    </row>
    <row r="7327" spans="1:5">
      <c r="A7327" s="76" t="s">
        <v>2538</v>
      </c>
      <c r="B7327" s="77"/>
      <c r="C7327" s="78"/>
      <c r="D7327" s="78"/>
      <c r="E7327" s="78">
        <f>E7325</f>
        <v>88.78</v>
      </c>
    </row>
    <row r="7328" spans="1:5">
      <c r="A7328" s="76" t="s">
        <v>2539</v>
      </c>
      <c r="B7328" s="77"/>
      <c r="C7328" s="78"/>
      <c r="D7328" s="78">
        <v>0</v>
      </c>
      <c r="E7328" s="78">
        <f>TRUNC(D7328*E7327/100,2)</f>
        <v>0</v>
      </c>
    </row>
    <row r="7329" spans="1:5">
      <c r="A7329" s="76" t="s">
        <v>2540</v>
      </c>
      <c r="B7329" s="77"/>
      <c r="C7329" s="78"/>
      <c r="D7329" s="78"/>
      <c r="E7329" s="78">
        <f>E7327+E7328</f>
        <v>88.78</v>
      </c>
    </row>
    <row r="7330" spans="1:5">
      <c r="A7330" s="76"/>
      <c r="B7330" s="77"/>
      <c r="C7330" s="78"/>
      <c r="D7330" s="78"/>
      <c r="E7330" s="78"/>
    </row>
    <row r="7331" spans="1:5">
      <c r="A7331" s="76" t="s">
        <v>3092</v>
      </c>
      <c r="B7331" s="77" t="s">
        <v>4130</v>
      </c>
      <c r="C7331" s="78"/>
      <c r="D7331" s="78"/>
      <c r="E7331" s="78"/>
    </row>
    <row r="7332" ht="25.5" spans="1:5">
      <c r="A7332" s="76" t="s">
        <v>4131</v>
      </c>
      <c r="B7332" s="77"/>
      <c r="C7332" s="78"/>
      <c r="D7332" s="78"/>
      <c r="E7332" s="78"/>
    </row>
    <row r="7333" spans="1:5">
      <c r="A7333" s="76" t="s">
        <v>3085</v>
      </c>
      <c r="B7333" s="77"/>
      <c r="C7333" s="78"/>
      <c r="D7333" s="78"/>
      <c r="E7333" s="78"/>
    </row>
    <row r="7334" spans="1:5">
      <c r="A7334" s="76"/>
      <c r="B7334" s="77"/>
      <c r="C7334" s="78"/>
      <c r="D7334" s="78"/>
      <c r="E7334" s="78"/>
    </row>
    <row r="7335" spans="1:5">
      <c r="A7335" s="76" t="s">
        <v>2543</v>
      </c>
      <c r="B7335" s="77" t="s">
        <v>135</v>
      </c>
      <c r="C7335" s="78" t="s">
        <v>136</v>
      </c>
      <c r="D7335" s="78" t="s">
        <v>2534</v>
      </c>
      <c r="E7335" s="78" t="s">
        <v>2535</v>
      </c>
    </row>
    <row r="7336" ht="25.5" spans="1:5">
      <c r="A7336" s="76" t="s">
        <v>4132</v>
      </c>
      <c r="B7336" s="77" t="s">
        <v>839</v>
      </c>
      <c r="C7336" s="78">
        <v>1</v>
      </c>
      <c r="D7336" s="78">
        <v>4.92</v>
      </c>
      <c r="E7336" s="78">
        <f>TRUNC(C7336*D7336,2)</f>
        <v>4.92</v>
      </c>
    </row>
    <row r="7337" ht="25.5" spans="1:5">
      <c r="A7337" s="76" t="s">
        <v>4133</v>
      </c>
      <c r="B7337" s="77" t="s">
        <v>839</v>
      </c>
      <c r="C7337" s="78">
        <v>1</v>
      </c>
      <c r="D7337" s="78">
        <v>3.93</v>
      </c>
      <c r="E7337" s="78">
        <f>TRUNC(C7337*D7337,2)</f>
        <v>3.93</v>
      </c>
    </row>
    <row r="7338" ht="25.5" spans="1:5">
      <c r="A7338" s="76" t="s">
        <v>4134</v>
      </c>
      <c r="B7338" s="77" t="s">
        <v>839</v>
      </c>
      <c r="C7338" s="78">
        <v>1</v>
      </c>
      <c r="D7338" s="78">
        <v>1.04</v>
      </c>
      <c r="E7338" s="78">
        <f>TRUNC(C7338*D7338,2)</f>
        <v>1.04</v>
      </c>
    </row>
    <row r="7339" spans="1:5">
      <c r="A7339" s="76" t="s">
        <v>122</v>
      </c>
      <c r="B7339" s="77"/>
      <c r="C7339" s="78"/>
      <c r="D7339" s="78"/>
      <c r="E7339" s="78">
        <f>SUM(E7336:E7338)</f>
        <v>9.89</v>
      </c>
    </row>
    <row r="7340" spans="1:5">
      <c r="A7340" s="76"/>
      <c r="B7340" s="77"/>
      <c r="C7340" s="78"/>
      <c r="D7340" s="78"/>
      <c r="E7340" s="78"/>
    </row>
    <row r="7341" spans="1:5">
      <c r="A7341" s="76" t="s">
        <v>2538</v>
      </c>
      <c r="B7341" s="77"/>
      <c r="C7341" s="78"/>
      <c r="D7341" s="78"/>
      <c r="E7341" s="78">
        <f>E7339</f>
        <v>9.89</v>
      </c>
    </row>
    <row r="7342" spans="1:5">
      <c r="A7342" s="76" t="s">
        <v>2539</v>
      </c>
      <c r="B7342" s="77"/>
      <c r="C7342" s="78"/>
      <c r="D7342" s="78">
        <v>0</v>
      </c>
      <c r="E7342" s="78">
        <f>TRUNC(D7342*E7341/100,2)</f>
        <v>0</v>
      </c>
    </row>
    <row r="7343" spans="1:5">
      <c r="A7343" s="76" t="s">
        <v>2540</v>
      </c>
      <c r="B7343" s="77"/>
      <c r="C7343" s="78"/>
      <c r="D7343" s="78"/>
      <c r="E7343" s="78">
        <f>E7341+E7342</f>
        <v>9.89</v>
      </c>
    </row>
    <row r="7344" spans="1:5">
      <c r="A7344" s="76"/>
      <c r="B7344" s="77"/>
      <c r="C7344" s="78"/>
      <c r="D7344" s="78"/>
      <c r="E7344" s="78"/>
    </row>
    <row r="7345" spans="1:5">
      <c r="A7345" s="76" t="s">
        <v>3092</v>
      </c>
      <c r="B7345" s="77" t="s">
        <v>4135</v>
      </c>
      <c r="C7345" s="78"/>
      <c r="D7345" s="78"/>
      <c r="E7345" s="78"/>
    </row>
    <row r="7346" ht="25.5" spans="1:5">
      <c r="A7346" s="76" t="s">
        <v>4136</v>
      </c>
      <c r="B7346" s="77"/>
      <c r="C7346" s="78"/>
      <c r="D7346" s="78"/>
      <c r="E7346" s="78"/>
    </row>
    <row r="7347" spans="1:5">
      <c r="A7347" s="76" t="s">
        <v>2764</v>
      </c>
      <c r="B7347" s="77"/>
      <c r="C7347" s="78"/>
      <c r="D7347" s="78"/>
      <c r="E7347" s="78"/>
    </row>
    <row r="7348" spans="1:5">
      <c r="A7348" s="76"/>
      <c r="B7348" s="77"/>
      <c r="C7348" s="78"/>
      <c r="D7348" s="78"/>
      <c r="E7348" s="78"/>
    </row>
    <row r="7349" spans="1:5">
      <c r="A7349" s="76" t="s">
        <v>2543</v>
      </c>
      <c r="B7349" s="77" t="s">
        <v>135</v>
      </c>
      <c r="C7349" s="78" t="s">
        <v>136</v>
      </c>
      <c r="D7349" s="78" t="s">
        <v>2534</v>
      </c>
      <c r="E7349" s="78" t="s">
        <v>2535</v>
      </c>
    </row>
    <row r="7350" ht="25.5" spans="1:5">
      <c r="A7350" s="76" t="s">
        <v>4137</v>
      </c>
      <c r="B7350" s="77" t="s">
        <v>494</v>
      </c>
      <c r="C7350" s="78">
        <v>7e-5</v>
      </c>
      <c r="D7350" s="78">
        <v>70306.12</v>
      </c>
      <c r="E7350" s="78">
        <f>TRUNC(C7350*D7350,2)</f>
        <v>4.92</v>
      </c>
    </row>
    <row r="7351" spans="1:5">
      <c r="A7351" s="76" t="s">
        <v>122</v>
      </c>
      <c r="B7351" s="77"/>
      <c r="C7351" s="78"/>
      <c r="D7351" s="78"/>
      <c r="E7351" s="78">
        <f>SUM(E7350:E7350)</f>
        <v>4.92</v>
      </c>
    </row>
    <row r="7352" spans="1:5">
      <c r="A7352" s="76"/>
      <c r="B7352" s="77"/>
      <c r="C7352" s="78"/>
      <c r="D7352" s="78"/>
      <c r="E7352" s="78"/>
    </row>
    <row r="7353" spans="1:5">
      <c r="A7353" s="76" t="s">
        <v>2538</v>
      </c>
      <c r="B7353" s="77"/>
      <c r="C7353" s="78"/>
      <c r="D7353" s="78"/>
      <c r="E7353" s="78">
        <f>E7351</f>
        <v>4.92</v>
      </c>
    </row>
    <row r="7354" spans="1:5">
      <c r="A7354" s="76" t="s">
        <v>2539</v>
      </c>
      <c r="B7354" s="77"/>
      <c r="C7354" s="78"/>
      <c r="D7354" s="78">
        <v>0</v>
      </c>
      <c r="E7354" s="78">
        <f>TRUNC(D7354*E7353/100,2)</f>
        <v>0</v>
      </c>
    </row>
    <row r="7355" spans="1:5">
      <c r="A7355" s="76" t="s">
        <v>2540</v>
      </c>
      <c r="B7355" s="77"/>
      <c r="C7355" s="78"/>
      <c r="D7355" s="78"/>
      <c r="E7355" s="78">
        <f>E7353+E7354</f>
        <v>4.92</v>
      </c>
    </row>
    <row r="7356" spans="1:5">
      <c r="A7356" s="76"/>
      <c r="B7356" s="77"/>
      <c r="C7356" s="78"/>
      <c r="D7356" s="78"/>
      <c r="E7356" s="78"/>
    </row>
    <row r="7357" spans="1:5">
      <c r="A7357" s="76" t="s">
        <v>3092</v>
      </c>
      <c r="B7357" s="77" t="s">
        <v>4138</v>
      </c>
      <c r="C7357" s="78"/>
      <c r="D7357" s="78"/>
      <c r="E7357" s="78"/>
    </row>
    <row r="7358" ht="25.5" spans="1:5">
      <c r="A7358" s="76" t="s">
        <v>4139</v>
      </c>
      <c r="B7358" s="77"/>
      <c r="C7358" s="78"/>
      <c r="D7358" s="78"/>
      <c r="E7358" s="78"/>
    </row>
    <row r="7359" spans="1:5">
      <c r="A7359" s="76" t="s">
        <v>2764</v>
      </c>
      <c r="B7359" s="77"/>
      <c r="C7359" s="78"/>
      <c r="D7359" s="78"/>
      <c r="E7359" s="78"/>
    </row>
    <row r="7360" spans="1:5">
      <c r="A7360" s="76"/>
      <c r="B7360" s="77"/>
      <c r="C7360" s="78"/>
      <c r="D7360" s="78"/>
      <c r="E7360" s="78"/>
    </row>
    <row r="7361" spans="1:5">
      <c r="A7361" s="76" t="s">
        <v>2543</v>
      </c>
      <c r="B7361" s="77" t="s">
        <v>135</v>
      </c>
      <c r="C7361" s="78" t="s">
        <v>136</v>
      </c>
      <c r="D7361" s="78" t="s">
        <v>2534</v>
      </c>
      <c r="E7361" s="78" t="s">
        <v>2535</v>
      </c>
    </row>
    <row r="7362" ht="25.5" spans="1:5">
      <c r="A7362" s="76" t="s">
        <v>4137</v>
      </c>
      <c r="B7362" s="77" t="s">
        <v>494</v>
      </c>
      <c r="C7362" s="78">
        <v>5.6e-5</v>
      </c>
      <c r="D7362" s="78">
        <v>70306.12</v>
      </c>
      <c r="E7362" s="78">
        <f>TRUNC(C7362*D7362,2)</f>
        <v>3.93</v>
      </c>
    </row>
    <row r="7363" spans="1:5">
      <c r="A7363" s="76" t="s">
        <v>122</v>
      </c>
      <c r="B7363" s="77"/>
      <c r="C7363" s="78"/>
      <c r="D7363" s="78"/>
      <c r="E7363" s="78">
        <f>SUM(E7362:E7362)</f>
        <v>3.93</v>
      </c>
    </row>
    <row r="7364" spans="1:5">
      <c r="A7364" s="76"/>
      <c r="B7364" s="77"/>
      <c r="C7364" s="78"/>
      <c r="D7364" s="78"/>
      <c r="E7364" s="78"/>
    </row>
    <row r="7365" spans="1:5">
      <c r="A7365" s="76" t="s">
        <v>2538</v>
      </c>
      <c r="B7365" s="77"/>
      <c r="C7365" s="78"/>
      <c r="D7365" s="78"/>
      <c r="E7365" s="78">
        <f>E7363</f>
        <v>3.93</v>
      </c>
    </row>
    <row r="7366" spans="1:5">
      <c r="A7366" s="76" t="s">
        <v>2539</v>
      </c>
      <c r="B7366" s="77"/>
      <c r="C7366" s="78"/>
      <c r="D7366" s="78">
        <v>0</v>
      </c>
      <c r="E7366" s="78">
        <f>TRUNC(D7366*E7365/100,2)</f>
        <v>0</v>
      </c>
    </row>
    <row r="7367" spans="1:5">
      <c r="A7367" s="76" t="s">
        <v>2540</v>
      </c>
      <c r="B7367" s="77"/>
      <c r="C7367" s="78"/>
      <c r="D7367" s="78"/>
      <c r="E7367" s="78">
        <f>E7365+E7366</f>
        <v>3.93</v>
      </c>
    </row>
    <row r="7368" spans="1:5">
      <c r="A7368" s="76"/>
      <c r="B7368" s="77"/>
      <c r="C7368" s="78"/>
      <c r="D7368" s="78"/>
      <c r="E7368" s="78"/>
    </row>
    <row r="7369" spans="1:5">
      <c r="A7369" s="76" t="s">
        <v>3092</v>
      </c>
      <c r="B7369" s="77" t="s">
        <v>4140</v>
      </c>
      <c r="C7369" s="78"/>
      <c r="D7369" s="78"/>
      <c r="E7369" s="78"/>
    </row>
    <row r="7370" ht="25.5" spans="1:5">
      <c r="A7370" s="76" t="s">
        <v>4141</v>
      </c>
      <c r="B7370" s="77"/>
      <c r="C7370" s="78"/>
      <c r="D7370" s="78"/>
      <c r="E7370" s="78"/>
    </row>
    <row r="7371" spans="1:5">
      <c r="A7371" s="76" t="s">
        <v>2764</v>
      </c>
      <c r="B7371" s="77"/>
      <c r="C7371" s="78"/>
      <c r="D7371" s="78"/>
      <c r="E7371" s="78"/>
    </row>
    <row r="7372" spans="1:5">
      <c r="A7372" s="76"/>
      <c r="B7372" s="77"/>
      <c r="C7372" s="78"/>
      <c r="D7372" s="78"/>
      <c r="E7372" s="78"/>
    </row>
    <row r="7373" spans="1:5">
      <c r="A7373" s="76" t="s">
        <v>2543</v>
      </c>
      <c r="B7373" s="77" t="s">
        <v>135</v>
      </c>
      <c r="C7373" s="78" t="s">
        <v>136</v>
      </c>
      <c r="D7373" s="78" t="s">
        <v>2534</v>
      </c>
      <c r="E7373" s="78" t="s">
        <v>2535</v>
      </c>
    </row>
    <row r="7374" ht="25.5" spans="1:5">
      <c r="A7374" s="76" t="s">
        <v>4137</v>
      </c>
      <c r="B7374" s="77" t="s">
        <v>494</v>
      </c>
      <c r="C7374" s="78">
        <v>1.48e-5</v>
      </c>
      <c r="D7374" s="78">
        <v>70306.12</v>
      </c>
      <c r="E7374" s="78">
        <f>TRUNC(C7374*D7374,2)</f>
        <v>1.04</v>
      </c>
    </row>
    <row r="7375" spans="1:5">
      <c r="A7375" s="76" t="s">
        <v>122</v>
      </c>
      <c r="B7375" s="77"/>
      <c r="C7375" s="78"/>
      <c r="D7375" s="78"/>
      <c r="E7375" s="78">
        <f>SUM(E7374:E7374)</f>
        <v>1.04</v>
      </c>
    </row>
    <row r="7376" spans="1:5">
      <c r="A7376" s="76"/>
      <c r="B7376" s="77"/>
      <c r="C7376" s="78"/>
      <c r="D7376" s="78"/>
      <c r="E7376" s="78"/>
    </row>
    <row r="7377" spans="1:5">
      <c r="A7377" s="76" t="s">
        <v>2538</v>
      </c>
      <c r="B7377" s="77"/>
      <c r="C7377" s="78"/>
      <c r="D7377" s="78"/>
      <c r="E7377" s="78">
        <f>E7375</f>
        <v>1.04</v>
      </c>
    </row>
    <row r="7378" spans="1:5">
      <c r="A7378" s="76" t="s">
        <v>2539</v>
      </c>
      <c r="B7378" s="77"/>
      <c r="C7378" s="78"/>
      <c r="D7378" s="78">
        <v>0</v>
      </c>
      <c r="E7378" s="78">
        <f>TRUNC(D7378*E7377/100,2)</f>
        <v>0</v>
      </c>
    </row>
    <row r="7379" spans="1:5">
      <c r="A7379" s="76" t="s">
        <v>2540</v>
      </c>
      <c r="B7379" s="77"/>
      <c r="C7379" s="78"/>
      <c r="D7379" s="78"/>
      <c r="E7379" s="78">
        <f>E7377+E7378</f>
        <v>1.04</v>
      </c>
    </row>
    <row r="7380" spans="1:5">
      <c r="A7380" s="76"/>
      <c r="B7380" s="77"/>
      <c r="C7380" s="78"/>
      <c r="D7380" s="78"/>
      <c r="E7380" s="78"/>
    </row>
    <row r="7381" spans="1:5">
      <c r="A7381" s="76" t="s">
        <v>3092</v>
      </c>
      <c r="B7381" s="77" t="s">
        <v>4142</v>
      </c>
      <c r="C7381" s="78"/>
      <c r="D7381" s="78"/>
      <c r="E7381" s="78"/>
    </row>
    <row r="7382" ht="38.25" spans="1:5">
      <c r="A7382" s="76" t="s">
        <v>4143</v>
      </c>
      <c r="B7382" s="77"/>
      <c r="C7382" s="78"/>
      <c r="D7382" s="78"/>
      <c r="E7382" s="78"/>
    </row>
    <row r="7383" spans="1:5">
      <c r="A7383" s="76" t="s">
        <v>3085</v>
      </c>
      <c r="B7383" s="77"/>
      <c r="C7383" s="78"/>
      <c r="D7383" s="78"/>
      <c r="E7383" s="78"/>
    </row>
    <row r="7384" spans="1:5">
      <c r="A7384" s="76"/>
      <c r="B7384" s="77"/>
      <c r="C7384" s="78"/>
      <c r="D7384" s="78"/>
      <c r="E7384" s="78"/>
    </row>
    <row r="7385" spans="1:5">
      <c r="A7385" s="76" t="s">
        <v>2543</v>
      </c>
      <c r="B7385" s="77" t="s">
        <v>135</v>
      </c>
      <c r="C7385" s="78" t="s">
        <v>136</v>
      </c>
      <c r="D7385" s="78" t="s">
        <v>2534</v>
      </c>
      <c r="E7385" s="78" t="s">
        <v>2535</v>
      </c>
    </row>
    <row r="7386" spans="1:5">
      <c r="A7386" s="76" t="s">
        <v>3183</v>
      </c>
      <c r="B7386" s="77" t="s">
        <v>839</v>
      </c>
      <c r="C7386" s="78">
        <v>1</v>
      </c>
      <c r="D7386" s="78">
        <v>29.8</v>
      </c>
      <c r="E7386" s="78">
        <f t="shared" ref="E7386:E7391" si="55">TRUNC(C7386*D7386,2)</f>
        <v>29.8</v>
      </c>
    </row>
    <row r="7387" ht="51" spans="1:5">
      <c r="A7387" s="76" t="s">
        <v>4144</v>
      </c>
      <c r="B7387" s="77" t="s">
        <v>839</v>
      </c>
      <c r="C7387" s="78">
        <v>1</v>
      </c>
      <c r="D7387" s="78">
        <v>43.14</v>
      </c>
      <c r="E7387" s="78">
        <f t="shared" si="55"/>
        <v>43.14</v>
      </c>
    </row>
    <row r="7388" ht="51" spans="1:5">
      <c r="A7388" s="76" t="s">
        <v>4145</v>
      </c>
      <c r="B7388" s="77" t="s">
        <v>839</v>
      </c>
      <c r="C7388" s="78">
        <v>1</v>
      </c>
      <c r="D7388" s="78">
        <v>10.04</v>
      </c>
      <c r="E7388" s="78">
        <f t="shared" si="55"/>
        <v>10.04</v>
      </c>
    </row>
    <row r="7389" ht="51" spans="1:5">
      <c r="A7389" s="76" t="s">
        <v>4146</v>
      </c>
      <c r="B7389" s="77" t="s">
        <v>839</v>
      </c>
      <c r="C7389" s="78">
        <v>1</v>
      </c>
      <c r="D7389" s="78">
        <v>4.05</v>
      </c>
      <c r="E7389" s="78">
        <f t="shared" si="55"/>
        <v>4.05</v>
      </c>
    </row>
    <row r="7390" ht="51" spans="1:5">
      <c r="A7390" s="76" t="s">
        <v>4147</v>
      </c>
      <c r="B7390" s="77" t="s">
        <v>839</v>
      </c>
      <c r="C7390" s="78">
        <v>1</v>
      </c>
      <c r="D7390" s="78">
        <v>25.66</v>
      </c>
      <c r="E7390" s="78">
        <f t="shared" si="55"/>
        <v>25.66</v>
      </c>
    </row>
    <row r="7391" ht="51" spans="1:5">
      <c r="A7391" s="76" t="s">
        <v>4148</v>
      </c>
      <c r="B7391" s="77" t="s">
        <v>839</v>
      </c>
      <c r="C7391" s="78">
        <v>1</v>
      </c>
      <c r="D7391" s="78">
        <v>153.4</v>
      </c>
      <c r="E7391" s="78">
        <f t="shared" si="55"/>
        <v>153.4</v>
      </c>
    </row>
    <row r="7392" spans="1:5">
      <c r="A7392" s="76" t="s">
        <v>122</v>
      </c>
      <c r="B7392" s="77"/>
      <c r="C7392" s="78"/>
      <c r="D7392" s="78"/>
      <c r="E7392" s="78">
        <f>SUM(E7386:E7391)</f>
        <v>266.09</v>
      </c>
    </row>
    <row r="7393" spans="1:5">
      <c r="A7393" s="76"/>
      <c r="B7393" s="77"/>
      <c r="C7393" s="78"/>
      <c r="D7393" s="78"/>
      <c r="E7393" s="78"/>
    </row>
    <row r="7394" spans="1:5">
      <c r="A7394" s="76" t="s">
        <v>2538</v>
      </c>
      <c r="B7394" s="77"/>
      <c r="C7394" s="78"/>
      <c r="D7394" s="78"/>
      <c r="E7394" s="78">
        <f>E7392</f>
        <v>266.09</v>
      </c>
    </row>
    <row r="7395" spans="1:5">
      <c r="A7395" s="76" t="s">
        <v>2539</v>
      </c>
      <c r="B7395" s="77"/>
      <c r="C7395" s="78"/>
      <c r="D7395" s="78">
        <v>0</v>
      </c>
      <c r="E7395" s="78">
        <f>TRUNC(D7395*E7394/100,2)</f>
        <v>0</v>
      </c>
    </row>
    <row r="7396" spans="1:5">
      <c r="A7396" s="76" t="s">
        <v>2540</v>
      </c>
      <c r="B7396" s="77"/>
      <c r="C7396" s="78"/>
      <c r="D7396" s="78"/>
      <c r="E7396" s="78">
        <f>E7394+E7395</f>
        <v>266.09</v>
      </c>
    </row>
    <row r="7397" spans="1:5">
      <c r="A7397" s="76"/>
      <c r="B7397" s="77"/>
      <c r="C7397" s="78"/>
      <c r="D7397" s="78"/>
      <c r="E7397" s="78"/>
    </row>
    <row r="7398" spans="1:5">
      <c r="A7398" s="76" t="s">
        <v>3092</v>
      </c>
      <c r="B7398" s="77" t="s">
        <v>4149</v>
      </c>
      <c r="C7398" s="78"/>
      <c r="D7398" s="78"/>
      <c r="E7398" s="78"/>
    </row>
    <row r="7399" ht="38.25" spans="1:5">
      <c r="A7399" s="76" t="s">
        <v>4150</v>
      </c>
      <c r="B7399" s="77"/>
      <c r="C7399" s="78"/>
      <c r="D7399" s="78"/>
      <c r="E7399" s="78"/>
    </row>
    <row r="7400" spans="1:5">
      <c r="A7400" s="76" t="s">
        <v>2764</v>
      </c>
      <c r="B7400" s="77"/>
      <c r="C7400" s="78"/>
      <c r="D7400" s="78"/>
      <c r="E7400" s="78"/>
    </row>
    <row r="7401" spans="1:5">
      <c r="A7401" s="76"/>
      <c r="B7401" s="77"/>
      <c r="C7401" s="78"/>
      <c r="D7401" s="78"/>
      <c r="E7401" s="78"/>
    </row>
    <row r="7402" spans="1:5">
      <c r="A7402" s="76" t="s">
        <v>279</v>
      </c>
      <c r="B7402" s="77" t="s">
        <v>135</v>
      </c>
      <c r="C7402" s="78" t="s">
        <v>136</v>
      </c>
      <c r="D7402" s="78" t="s">
        <v>2534</v>
      </c>
      <c r="E7402" s="78" t="s">
        <v>2535</v>
      </c>
    </row>
    <row r="7403" ht="38.25" spans="1:5">
      <c r="A7403" s="76" t="s">
        <v>4151</v>
      </c>
      <c r="B7403" s="77" t="s">
        <v>494</v>
      </c>
      <c r="C7403" s="78">
        <v>6.42e-5</v>
      </c>
      <c r="D7403" s="78">
        <v>518770.52</v>
      </c>
      <c r="E7403" s="78">
        <f>TRUNC(C7403*D7403,2)</f>
        <v>33.3</v>
      </c>
    </row>
    <row r="7404" spans="1:5">
      <c r="A7404" s="76" t="s">
        <v>122</v>
      </c>
      <c r="B7404" s="77"/>
      <c r="C7404" s="78"/>
      <c r="D7404" s="78"/>
      <c r="E7404" s="78">
        <f>SUM(E7403:E7403)</f>
        <v>33.3</v>
      </c>
    </row>
    <row r="7405" spans="1:5">
      <c r="A7405" s="76"/>
      <c r="B7405" s="77"/>
      <c r="C7405" s="78"/>
      <c r="D7405" s="78"/>
      <c r="E7405" s="78"/>
    </row>
    <row r="7406" spans="1:5">
      <c r="A7406" s="76" t="s">
        <v>2543</v>
      </c>
      <c r="B7406" s="77" t="s">
        <v>135</v>
      </c>
      <c r="C7406" s="78" t="s">
        <v>136</v>
      </c>
      <c r="D7406" s="78" t="s">
        <v>2534</v>
      </c>
      <c r="E7406" s="78" t="s">
        <v>2535</v>
      </c>
    </row>
    <row r="7407" ht="38.25" spans="1:5">
      <c r="A7407" s="76" t="s">
        <v>4152</v>
      </c>
      <c r="B7407" s="77" t="s">
        <v>494</v>
      </c>
      <c r="C7407" s="78">
        <v>4e-5</v>
      </c>
      <c r="D7407" s="78">
        <v>246246.87</v>
      </c>
      <c r="E7407" s="78">
        <f>TRUNC(C7407*D7407,2)</f>
        <v>9.84</v>
      </c>
    </row>
    <row r="7408" spans="1:5">
      <c r="A7408" s="76" t="s">
        <v>122</v>
      </c>
      <c r="B7408" s="77"/>
      <c r="C7408" s="78"/>
      <c r="D7408" s="78"/>
      <c r="E7408" s="78">
        <f>SUM(E7407:E7407)</f>
        <v>9.84</v>
      </c>
    </row>
    <row r="7409" spans="1:5">
      <c r="A7409" s="76"/>
      <c r="B7409" s="77"/>
      <c r="C7409" s="78"/>
      <c r="D7409" s="78"/>
      <c r="E7409" s="78"/>
    </row>
    <row r="7410" spans="1:5">
      <c r="A7410" s="76" t="s">
        <v>2538</v>
      </c>
      <c r="B7410" s="77"/>
      <c r="C7410" s="78"/>
      <c r="D7410" s="78"/>
      <c r="E7410" s="78">
        <f>E7404+E7408</f>
        <v>43.14</v>
      </c>
    </row>
    <row r="7411" spans="1:5">
      <c r="A7411" s="76" t="s">
        <v>2539</v>
      </c>
      <c r="B7411" s="77"/>
      <c r="C7411" s="78"/>
      <c r="D7411" s="78">
        <v>0</v>
      </c>
      <c r="E7411" s="78">
        <f>TRUNC(D7411*E7410/100,2)</f>
        <v>0</v>
      </c>
    </row>
    <row r="7412" spans="1:5">
      <c r="A7412" s="76" t="s">
        <v>2540</v>
      </c>
      <c r="B7412" s="77"/>
      <c r="C7412" s="78"/>
      <c r="D7412" s="78"/>
      <c r="E7412" s="78">
        <f>E7410+E7411</f>
        <v>43.14</v>
      </c>
    </row>
    <row r="7413" spans="1:5">
      <c r="A7413" s="76"/>
      <c r="B7413" s="77"/>
      <c r="C7413" s="78"/>
      <c r="D7413" s="78"/>
      <c r="E7413" s="78"/>
    </row>
    <row r="7414" spans="1:5">
      <c r="A7414" s="76" t="s">
        <v>3092</v>
      </c>
      <c r="B7414" s="77" t="s">
        <v>4153</v>
      </c>
      <c r="C7414" s="78"/>
      <c r="D7414" s="78"/>
      <c r="E7414" s="78"/>
    </row>
    <row r="7415" ht="38.25" spans="1:5">
      <c r="A7415" s="76" t="s">
        <v>4154</v>
      </c>
      <c r="B7415" s="77"/>
      <c r="C7415" s="78"/>
      <c r="D7415" s="78"/>
      <c r="E7415" s="78"/>
    </row>
    <row r="7416" spans="1:5">
      <c r="A7416" s="76" t="s">
        <v>2764</v>
      </c>
      <c r="B7416" s="77"/>
      <c r="C7416" s="78"/>
      <c r="D7416" s="78"/>
      <c r="E7416" s="78"/>
    </row>
    <row r="7417" spans="1:5">
      <c r="A7417" s="76"/>
      <c r="B7417" s="77"/>
      <c r="C7417" s="78"/>
      <c r="D7417" s="78"/>
      <c r="E7417" s="78"/>
    </row>
    <row r="7418" spans="1:5">
      <c r="A7418" s="76" t="s">
        <v>279</v>
      </c>
      <c r="B7418" s="77" t="s">
        <v>135</v>
      </c>
      <c r="C7418" s="78" t="s">
        <v>136</v>
      </c>
      <c r="D7418" s="78" t="s">
        <v>2534</v>
      </c>
      <c r="E7418" s="78" t="s">
        <v>2535</v>
      </c>
    </row>
    <row r="7419" ht="38.25" spans="1:5">
      <c r="A7419" s="76" t="s">
        <v>4151</v>
      </c>
      <c r="B7419" s="77" t="s">
        <v>494</v>
      </c>
      <c r="C7419" s="78">
        <v>1.41e-5</v>
      </c>
      <c r="D7419" s="78">
        <v>518770.52</v>
      </c>
      <c r="E7419" s="78">
        <f>TRUNC(C7419*D7419,2)</f>
        <v>7.31</v>
      </c>
    </row>
    <row r="7420" spans="1:5">
      <c r="A7420" s="76" t="s">
        <v>122</v>
      </c>
      <c r="B7420" s="77"/>
      <c r="C7420" s="78"/>
      <c r="D7420" s="78"/>
      <c r="E7420" s="78">
        <f>SUM(E7419:E7419)</f>
        <v>7.31</v>
      </c>
    </row>
    <row r="7421" spans="1:5">
      <c r="A7421" s="76"/>
      <c r="B7421" s="77"/>
      <c r="C7421" s="78"/>
      <c r="D7421" s="78"/>
      <c r="E7421" s="78"/>
    </row>
    <row r="7422" spans="1:5">
      <c r="A7422" s="76" t="s">
        <v>2543</v>
      </c>
      <c r="B7422" s="77" t="s">
        <v>135</v>
      </c>
      <c r="C7422" s="78" t="s">
        <v>136</v>
      </c>
      <c r="D7422" s="78" t="s">
        <v>2534</v>
      </c>
      <c r="E7422" s="78" t="s">
        <v>2535</v>
      </c>
    </row>
    <row r="7423" ht="38.25" spans="1:5">
      <c r="A7423" s="76" t="s">
        <v>4152</v>
      </c>
      <c r="B7423" s="77" t="s">
        <v>494</v>
      </c>
      <c r="C7423" s="78">
        <v>1.11e-5</v>
      </c>
      <c r="D7423" s="78">
        <v>246246.87</v>
      </c>
      <c r="E7423" s="78">
        <f>TRUNC(C7423*D7423,2)</f>
        <v>2.73</v>
      </c>
    </row>
    <row r="7424" spans="1:5">
      <c r="A7424" s="76" t="s">
        <v>122</v>
      </c>
      <c r="B7424" s="77"/>
      <c r="C7424" s="78"/>
      <c r="D7424" s="78"/>
      <c r="E7424" s="78">
        <f>SUM(E7423:E7423)</f>
        <v>2.73</v>
      </c>
    </row>
    <row r="7425" spans="1:5">
      <c r="A7425" s="76"/>
      <c r="B7425" s="77"/>
      <c r="C7425" s="78"/>
      <c r="D7425" s="78"/>
      <c r="E7425" s="78"/>
    </row>
    <row r="7426" spans="1:5">
      <c r="A7426" s="76" t="s">
        <v>2538</v>
      </c>
      <c r="B7426" s="77"/>
      <c r="C7426" s="78"/>
      <c r="D7426" s="78"/>
      <c r="E7426" s="78">
        <f>E7420+E7424</f>
        <v>10.04</v>
      </c>
    </row>
    <row r="7427" spans="1:5">
      <c r="A7427" s="76" t="s">
        <v>2539</v>
      </c>
      <c r="B7427" s="77"/>
      <c r="C7427" s="78"/>
      <c r="D7427" s="78">
        <v>0</v>
      </c>
      <c r="E7427" s="78">
        <f>TRUNC(D7427*E7426/100,2)</f>
        <v>0</v>
      </c>
    </row>
    <row r="7428" spans="1:5">
      <c r="A7428" s="76" t="s">
        <v>2540</v>
      </c>
      <c r="B7428" s="77"/>
      <c r="C7428" s="78"/>
      <c r="D7428" s="78"/>
      <c r="E7428" s="78">
        <f>E7426+E7427</f>
        <v>10.04</v>
      </c>
    </row>
    <row r="7429" spans="1:5">
      <c r="A7429" s="76"/>
      <c r="B7429" s="77"/>
      <c r="C7429" s="78"/>
      <c r="D7429" s="78"/>
      <c r="E7429" s="78"/>
    </row>
    <row r="7430" spans="1:5">
      <c r="A7430" s="76" t="s">
        <v>3092</v>
      </c>
      <c r="B7430" s="77" t="s">
        <v>4155</v>
      </c>
      <c r="C7430" s="78"/>
      <c r="D7430" s="78"/>
      <c r="E7430" s="78"/>
    </row>
    <row r="7431" ht="51" spans="1:5">
      <c r="A7431" s="76" t="s">
        <v>4156</v>
      </c>
      <c r="B7431" s="77"/>
      <c r="C7431" s="78"/>
      <c r="D7431" s="78"/>
      <c r="E7431" s="78"/>
    </row>
    <row r="7432" spans="1:5">
      <c r="A7432" s="76" t="s">
        <v>2764</v>
      </c>
      <c r="B7432" s="77"/>
      <c r="C7432" s="78"/>
      <c r="D7432" s="78"/>
      <c r="E7432" s="78"/>
    </row>
    <row r="7433" spans="1:5">
      <c r="A7433" s="76"/>
      <c r="B7433" s="77"/>
      <c r="C7433" s="78"/>
      <c r="D7433" s="78"/>
      <c r="E7433" s="78"/>
    </row>
    <row r="7434" spans="1:5">
      <c r="A7434" s="76" t="s">
        <v>279</v>
      </c>
      <c r="B7434" s="77" t="s">
        <v>135</v>
      </c>
      <c r="C7434" s="78" t="s">
        <v>136</v>
      </c>
      <c r="D7434" s="78" t="s">
        <v>2534</v>
      </c>
      <c r="E7434" s="78" t="s">
        <v>2535</v>
      </c>
    </row>
    <row r="7435" ht="38.25" spans="1:5">
      <c r="A7435" s="76" t="s">
        <v>4151</v>
      </c>
      <c r="B7435" s="77" t="s">
        <v>494</v>
      </c>
      <c r="C7435" s="78">
        <v>5.7e-6</v>
      </c>
      <c r="D7435" s="78">
        <v>518770.52</v>
      </c>
      <c r="E7435" s="78">
        <f>TRUNC(C7435*D7435,2)</f>
        <v>2.95</v>
      </c>
    </row>
    <row r="7436" spans="1:5">
      <c r="A7436" s="76" t="s">
        <v>122</v>
      </c>
      <c r="B7436" s="77"/>
      <c r="C7436" s="78"/>
      <c r="D7436" s="78"/>
      <c r="E7436" s="78">
        <f>SUM(E7435:E7435)</f>
        <v>2.95</v>
      </c>
    </row>
    <row r="7437" spans="1:5">
      <c r="A7437" s="76"/>
      <c r="B7437" s="77"/>
      <c r="C7437" s="78"/>
      <c r="D7437" s="78"/>
      <c r="E7437" s="78"/>
    </row>
    <row r="7438" spans="1:5">
      <c r="A7438" s="76" t="s">
        <v>2543</v>
      </c>
      <c r="B7438" s="77" t="s">
        <v>135</v>
      </c>
      <c r="C7438" s="78" t="s">
        <v>136</v>
      </c>
      <c r="D7438" s="78" t="s">
        <v>2534</v>
      </c>
      <c r="E7438" s="78" t="s">
        <v>2535</v>
      </c>
    </row>
    <row r="7439" ht="38.25" spans="1:5">
      <c r="A7439" s="76" t="s">
        <v>4152</v>
      </c>
      <c r="B7439" s="77" t="s">
        <v>494</v>
      </c>
      <c r="C7439" s="78">
        <v>4.5e-6</v>
      </c>
      <c r="D7439" s="78">
        <v>246246.87</v>
      </c>
      <c r="E7439" s="78">
        <f>TRUNC(C7439*D7439,2)</f>
        <v>1.1</v>
      </c>
    </row>
    <row r="7440" spans="1:5">
      <c r="A7440" s="76" t="s">
        <v>122</v>
      </c>
      <c r="B7440" s="77"/>
      <c r="C7440" s="78"/>
      <c r="D7440" s="78"/>
      <c r="E7440" s="78">
        <f>SUM(E7439:E7439)</f>
        <v>1.1</v>
      </c>
    </row>
    <row r="7441" spans="1:5">
      <c r="A7441" s="76"/>
      <c r="B7441" s="77"/>
      <c r="C7441" s="78"/>
      <c r="D7441" s="78"/>
      <c r="E7441" s="78"/>
    </row>
    <row r="7442" spans="1:5">
      <c r="A7442" s="76" t="s">
        <v>2538</v>
      </c>
      <c r="B7442" s="77"/>
      <c r="C7442" s="78"/>
      <c r="D7442" s="78"/>
      <c r="E7442" s="78">
        <f>E7436+E7440</f>
        <v>4.05</v>
      </c>
    </row>
    <row r="7443" spans="1:5">
      <c r="A7443" s="76" t="s">
        <v>2539</v>
      </c>
      <c r="B7443" s="77"/>
      <c r="C7443" s="78"/>
      <c r="D7443" s="78">
        <v>0</v>
      </c>
      <c r="E7443" s="78">
        <f>TRUNC(D7443*E7442/100,2)</f>
        <v>0</v>
      </c>
    </row>
    <row r="7444" spans="1:5">
      <c r="A7444" s="76" t="s">
        <v>2540</v>
      </c>
      <c r="B7444" s="77"/>
      <c r="C7444" s="78"/>
      <c r="D7444" s="78"/>
      <c r="E7444" s="78">
        <f>E7442+E7443</f>
        <v>4.05</v>
      </c>
    </row>
    <row r="7445" spans="1:5">
      <c r="A7445" s="76"/>
      <c r="B7445" s="77"/>
      <c r="C7445" s="78"/>
      <c r="D7445" s="78"/>
      <c r="E7445" s="78"/>
    </row>
    <row r="7446" spans="1:5">
      <c r="A7446" s="76" t="s">
        <v>3092</v>
      </c>
      <c r="B7446" s="77" t="s">
        <v>4157</v>
      </c>
      <c r="C7446" s="78"/>
      <c r="D7446" s="78"/>
      <c r="E7446" s="78"/>
    </row>
    <row r="7447" ht="38.25" spans="1:5">
      <c r="A7447" s="76" t="s">
        <v>4158</v>
      </c>
      <c r="B7447" s="77"/>
      <c r="C7447" s="78"/>
      <c r="D7447" s="78"/>
      <c r="E7447" s="78"/>
    </row>
    <row r="7448" spans="1:5">
      <c r="A7448" s="76" t="s">
        <v>2764</v>
      </c>
      <c r="B7448" s="77"/>
      <c r="C7448" s="78"/>
      <c r="D7448" s="78"/>
      <c r="E7448" s="78"/>
    </row>
    <row r="7449" spans="1:5">
      <c r="A7449" s="76"/>
      <c r="B7449" s="77"/>
      <c r="C7449" s="78"/>
      <c r="D7449" s="78"/>
      <c r="E7449" s="78"/>
    </row>
    <row r="7450" spans="1:5">
      <c r="A7450" s="76" t="s">
        <v>279</v>
      </c>
      <c r="B7450" s="77" t="s">
        <v>135</v>
      </c>
      <c r="C7450" s="78" t="s">
        <v>136</v>
      </c>
      <c r="D7450" s="78" t="s">
        <v>2534</v>
      </c>
      <c r="E7450" s="78" t="s">
        <v>2535</v>
      </c>
    </row>
    <row r="7451" ht="38.25" spans="1:5">
      <c r="A7451" s="76" t="s">
        <v>4151</v>
      </c>
      <c r="B7451" s="77" t="s">
        <v>494</v>
      </c>
      <c r="C7451" s="78">
        <v>3.43e-5</v>
      </c>
      <c r="D7451" s="78">
        <v>518770.52</v>
      </c>
      <c r="E7451" s="78">
        <f>TRUNC(C7451*D7451,2)</f>
        <v>17.79</v>
      </c>
    </row>
    <row r="7452" spans="1:5">
      <c r="A7452" s="76" t="s">
        <v>122</v>
      </c>
      <c r="B7452" s="77"/>
      <c r="C7452" s="78"/>
      <c r="D7452" s="78"/>
      <c r="E7452" s="78">
        <f>SUM(E7451:E7451)</f>
        <v>17.79</v>
      </c>
    </row>
    <row r="7453" spans="1:5">
      <c r="A7453" s="76"/>
      <c r="B7453" s="77"/>
      <c r="C7453" s="78"/>
      <c r="D7453" s="78"/>
      <c r="E7453" s="78"/>
    </row>
    <row r="7454" spans="1:5">
      <c r="A7454" s="76" t="s">
        <v>2543</v>
      </c>
      <c r="B7454" s="77" t="s">
        <v>135</v>
      </c>
      <c r="C7454" s="78" t="s">
        <v>136</v>
      </c>
      <c r="D7454" s="78" t="s">
        <v>2534</v>
      </c>
      <c r="E7454" s="78" t="s">
        <v>2535</v>
      </c>
    </row>
    <row r="7455" ht="38.25" spans="1:5">
      <c r="A7455" s="76" t="s">
        <v>4152</v>
      </c>
      <c r="B7455" s="77" t="s">
        <v>494</v>
      </c>
      <c r="C7455" s="78">
        <v>3.2e-5</v>
      </c>
      <c r="D7455" s="78">
        <v>246246.87</v>
      </c>
      <c r="E7455" s="78">
        <f>TRUNC(C7455*D7455,2)</f>
        <v>7.87</v>
      </c>
    </row>
    <row r="7456" spans="1:5">
      <c r="A7456" s="76" t="s">
        <v>122</v>
      </c>
      <c r="B7456" s="77"/>
      <c r="C7456" s="78"/>
      <c r="D7456" s="78"/>
      <c r="E7456" s="78">
        <f>SUM(E7455:E7455)</f>
        <v>7.87</v>
      </c>
    </row>
    <row r="7457" spans="1:5">
      <c r="A7457" s="76"/>
      <c r="B7457" s="77"/>
      <c r="C7457" s="78"/>
      <c r="D7457" s="78"/>
      <c r="E7457" s="78"/>
    </row>
    <row r="7458" spans="1:5">
      <c r="A7458" s="76" t="s">
        <v>2538</v>
      </c>
      <c r="B7458" s="77"/>
      <c r="C7458" s="78"/>
      <c r="D7458" s="78"/>
      <c r="E7458" s="78">
        <f>E7452+E7456</f>
        <v>25.66</v>
      </c>
    </row>
    <row r="7459" spans="1:5">
      <c r="A7459" s="76" t="s">
        <v>2539</v>
      </c>
      <c r="B7459" s="77"/>
      <c r="C7459" s="78"/>
      <c r="D7459" s="78">
        <v>0</v>
      </c>
      <c r="E7459" s="78">
        <f>TRUNC(D7459*E7458/100,2)</f>
        <v>0</v>
      </c>
    </row>
    <row r="7460" spans="1:5">
      <c r="A7460" s="76" t="s">
        <v>2540</v>
      </c>
      <c r="B7460" s="77"/>
      <c r="C7460" s="78"/>
      <c r="D7460" s="78"/>
      <c r="E7460" s="78">
        <f>E7458+E7459</f>
        <v>25.66</v>
      </c>
    </row>
    <row r="7461" spans="1:5">
      <c r="A7461" s="76"/>
      <c r="B7461" s="77"/>
      <c r="C7461" s="78"/>
      <c r="D7461" s="78"/>
      <c r="E7461" s="78"/>
    </row>
    <row r="7462" spans="1:5">
      <c r="A7462" s="76" t="s">
        <v>3092</v>
      </c>
      <c r="B7462" s="77" t="s">
        <v>4159</v>
      </c>
      <c r="C7462" s="78"/>
      <c r="D7462" s="78"/>
      <c r="E7462" s="78"/>
    </row>
    <row r="7463" ht="51" spans="1:5">
      <c r="A7463" s="76" t="s">
        <v>4160</v>
      </c>
      <c r="B7463" s="77"/>
      <c r="C7463" s="78"/>
      <c r="D7463" s="78"/>
      <c r="E7463" s="78"/>
    </row>
    <row r="7464" spans="1:5">
      <c r="A7464" s="76" t="s">
        <v>2764</v>
      </c>
      <c r="B7464" s="77"/>
      <c r="C7464" s="78"/>
      <c r="D7464" s="78"/>
      <c r="E7464" s="78"/>
    </row>
    <row r="7465" spans="1:5">
      <c r="A7465" s="76"/>
      <c r="B7465" s="77"/>
      <c r="C7465" s="78"/>
      <c r="D7465" s="78"/>
      <c r="E7465" s="78"/>
    </row>
    <row r="7466" spans="1:5">
      <c r="A7466" s="76" t="s">
        <v>2543</v>
      </c>
      <c r="B7466" s="77" t="s">
        <v>135</v>
      </c>
      <c r="C7466" s="78" t="s">
        <v>136</v>
      </c>
      <c r="D7466" s="78" t="s">
        <v>2534</v>
      </c>
      <c r="E7466" s="78" t="s">
        <v>2535</v>
      </c>
    </row>
    <row r="7467" spans="1:5">
      <c r="A7467" s="76" t="s">
        <v>3202</v>
      </c>
      <c r="B7467" s="77" t="s">
        <v>215</v>
      </c>
      <c r="C7467" s="78">
        <v>25.87</v>
      </c>
      <c r="D7467" s="78">
        <v>5.93</v>
      </c>
      <c r="E7467" s="78">
        <f>TRUNC(C7467*D7467,2)</f>
        <v>153.4</v>
      </c>
    </row>
    <row r="7468" spans="1:5">
      <c r="A7468" s="76" t="s">
        <v>122</v>
      </c>
      <c r="B7468" s="77"/>
      <c r="C7468" s="78"/>
      <c r="D7468" s="78"/>
      <c r="E7468" s="78">
        <f>SUM(E7467:E7467)</f>
        <v>153.4</v>
      </c>
    </row>
    <row r="7469" spans="1:5">
      <c r="A7469" s="76"/>
      <c r="B7469" s="77"/>
      <c r="C7469" s="78"/>
      <c r="D7469" s="78"/>
      <c r="E7469" s="78"/>
    </row>
    <row r="7470" spans="1:5">
      <c r="A7470" s="76" t="s">
        <v>2538</v>
      </c>
      <c r="B7470" s="77"/>
      <c r="C7470" s="78"/>
      <c r="D7470" s="78"/>
      <c r="E7470" s="78">
        <f>E7468</f>
        <v>153.4</v>
      </c>
    </row>
    <row r="7471" spans="1:5">
      <c r="A7471" s="76" t="s">
        <v>2539</v>
      </c>
      <c r="B7471" s="77"/>
      <c r="C7471" s="78"/>
      <c r="D7471" s="78">
        <v>0</v>
      </c>
      <c r="E7471" s="78">
        <f>TRUNC(D7471*E7470/100,2)</f>
        <v>0</v>
      </c>
    </row>
    <row r="7472" spans="1:5">
      <c r="A7472" s="76" t="s">
        <v>2540</v>
      </c>
      <c r="B7472" s="77"/>
      <c r="C7472" s="78"/>
      <c r="D7472" s="78"/>
      <c r="E7472" s="78">
        <f>E7470+E7471</f>
        <v>153.4</v>
      </c>
    </row>
    <row r="7473" spans="1:5">
      <c r="A7473" s="76"/>
      <c r="B7473" s="77"/>
      <c r="C7473" s="78"/>
      <c r="D7473" s="78"/>
      <c r="E7473" s="78"/>
    </row>
    <row r="7474" spans="1:5">
      <c r="A7474" s="76" t="s">
        <v>3092</v>
      </c>
      <c r="B7474" s="77" t="s">
        <v>4161</v>
      </c>
      <c r="C7474" s="78"/>
      <c r="D7474" s="78"/>
      <c r="E7474" s="78"/>
    </row>
    <row r="7475" ht="25.5" spans="1:5">
      <c r="A7475" s="76" t="s">
        <v>4162</v>
      </c>
      <c r="B7475" s="77"/>
      <c r="C7475" s="78"/>
      <c r="D7475" s="78"/>
      <c r="E7475" s="78"/>
    </row>
    <row r="7476" spans="1:5">
      <c r="A7476" s="76" t="s">
        <v>3085</v>
      </c>
      <c r="B7476" s="77"/>
      <c r="C7476" s="78"/>
      <c r="D7476" s="78"/>
      <c r="E7476" s="78"/>
    </row>
    <row r="7477" spans="1:5">
      <c r="A7477" s="76"/>
      <c r="B7477" s="77"/>
      <c r="C7477" s="78"/>
      <c r="D7477" s="78"/>
      <c r="E7477" s="78"/>
    </row>
    <row r="7478" spans="1:5">
      <c r="A7478" s="76" t="s">
        <v>2543</v>
      </c>
      <c r="B7478" s="77" t="s">
        <v>135</v>
      </c>
      <c r="C7478" s="78" t="s">
        <v>136</v>
      </c>
      <c r="D7478" s="78" t="s">
        <v>2534</v>
      </c>
      <c r="E7478" s="78" t="s">
        <v>2535</v>
      </c>
    </row>
    <row r="7479" spans="1:5">
      <c r="A7479" s="76" t="s">
        <v>4109</v>
      </c>
      <c r="B7479" s="77" t="s">
        <v>839</v>
      </c>
      <c r="C7479" s="78">
        <v>1</v>
      </c>
      <c r="D7479" s="78">
        <v>26.06</v>
      </c>
      <c r="E7479" s="78">
        <f>TRUNC(C7479*D7479,2)</f>
        <v>26.06</v>
      </c>
    </row>
    <row r="7480" ht="25.5" spans="1:5">
      <c r="A7480" s="76" t="s">
        <v>4163</v>
      </c>
      <c r="B7480" s="77" t="s">
        <v>839</v>
      </c>
      <c r="C7480" s="78">
        <v>1</v>
      </c>
      <c r="D7480" s="78">
        <v>15.44</v>
      </c>
      <c r="E7480" s="78">
        <f>TRUNC(C7480*D7480,2)</f>
        <v>15.44</v>
      </c>
    </row>
    <row r="7481" ht="25.5" spans="1:5">
      <c r="A7481" s="76" t="s">
        <v>4164</v>
      </c>
      <c r="B7481" s="77" t="s">
        <v>839</v>
      </c>
      <c r="C7481" s="78">
        <v>1</v>
      </c>
      <c r="D7481" s="78">
        <v>66.77</v>
      </c>
      <c r="E7481" s="78">
        <f>TRUNC(C7481*D7481,2)</f>
        <v>66.77</v>
      </c>
    </row>
    <row r="7482" ht="25.5" spans="1:5">
      <c r="A7482" s="76" t="s">
        <v>4165</v>
      </c>
      <c r="B7482" s="77" t="s">
        <v>839</v>
      </c>
      <c r="C7482" s="78">
        <v>1</v>
      </c>
      <c r="D7482" s="78">
        <v>14.12</v>
      </c>
      <c r="E7482" s="78">
        <f>TRUNC(C7482*D7482,2)</f>
        <v>14.12</v>
      </c>
    </row>
    <row r="7483" ht="25.5" spans="1:5">
      <c r="A7483" s="76" t="s">
        <v>4166</v>
      </c>
      <c r="B7483" s="77" t="s">
        <v>839</v>
      </c>
      <c r="C7483" s="78">
        <v>1</v>
      </c>
      <c r="D7483" s="78">
        <v>3.78</v>
      </c>
      <c r="E7483" s="78">
        <f>TRUNC(C7483*D7483,2)</f>
        <v>3.78</v>
      </c>
    </row>
    <row r="7484" spans="1:5">
      <c r="A7484" s="76" t="s">
        <v>122</v>
      </c>
      <c r="B7484" s="77"/>
      <c r="C7484" s="78"/>
      <c r="D7484" s="78"/>
      <c r="E7484" s="78">
        <f>SUM(E7479:E7483)</f>
        <v>126.17</v>
      </c>
    </row>
    <row r="7485" spans="1:5">
      <c r="A7485" s="76"/>
      <c r="B7485" s="77"/>
      <c r="C7485" s="78"/>
      <c r="D7485" s="78"/>
      <c r="E7485" s="78"/>
    </row>
    <row r="7486" spans="1:5">
      <c r="A7486" s="76" t="s">
        <v>2538</v>
      </c>
      <c r="B7486" s="77"/>
      <c r="C7486" s="78"/>
      <c r="D7486" s="78"/>
      <c r="E7486" s="78">
        <f>E7484</f>
        <v>126.17</v>
      </c>
    </row>
    <row r="7487" spans="1:5">
      <c r="A7487" s="76" t="s">
        <v>2539</v>
      </c>
      <c r="B7487" s="77"/>
      <c r="C7487" s="78"/>
      <c r="D7487" s="78">
        <v>0</v>
      </c>
      <c r="E7487" s="78">
        <f>TRUNC(D7487*E7486/100,2)</f>
        <v>0</v>
      </c>
    </row>
    <row r="7488" spans="1:5">
      <c r="A7488" s="76" t="s">
        <v>2540</v>
      </c>
      <c r="B7488" s="77"/>
      <c r="C7488" s="78"/>
      <c r="D7488" s="78"/>
      <c r="E7488" s="78">
        <f>E7486+E7487</f>
        <v>126.17</v>
      </c>
    </row>
    <row r="7489" spans="1:5">
      <c r="A7489" s="76"/>
      <c r="B7489" s="77"/>
      <c r="C7489" s="78"/>
      <c r="D7489" s="78"/>
      <c r="E7489" s="78"/>
    </row>
    <row r="7490" spans="1:5">
      <c r="A7490" s="76" t="s">
        <v>3092</v>
      </c>
      <c r="B7490" s="77" t="s">
        <v>4167</v>
      </c>
      <c r="C7490" s="78"/>
      <c r="D7490" s="78"/>
      <c r="E7490" s="78"/>
    </row>
    <row r="7491" ht="25.5" spans="1:5">
      <c r="A7491" s="76" t="s">
        <v>4168</v>
      </c>
      <c r="B7491" s="77"/>
      <c r="C7491" s="78"/>
      <c r="D7491" s="78"/>
      <c r="E7491" s="78"/>
    </row>
    <row r="7492" spans="1:5">
      <c r="A7492" s="76" t="s">
        <v>2764</v>
      </c>
      <c r="B7492" s="77"/>
      <c r="C7492" s="78"/>
      <c r="D7492" s="78"/>
      <c r="E7492" s="78"/>
    </row>
    <row r="7493" spans="1:5">
      <c r="A7493" s="76"/>
      <c r="B7493" s="77"/>
      <c r="C7493" s="78"/>
      <c r="D7493" s="78"/>
      <c r="E7493" s="78"/>
    </row>
    <row r="7494" spans="1:5">
      <c r="A7494" s="76" t="s">
        <v>279</v>
      </c>
      <c r="B7494" s="77" t="s">
        <v>135</v>
      </c>
      <c r="C7494" s="78" t="s">
        <v>136</v>
      </c>
      <c r="D7494" s="78" t="s">
        <v>2534</v>
      </c>
      <c r="E7494" s="78" t="s">
        <v>2535</v>
      </c>
    </row>
    <row r="7495" ht="25.5" spans="1:5">
      <c r="A7495" s="76" t="s">
        <v>4169</v>
      </c>
      <c r="B7495" s="77" t="s">
        <v>494</v>
      </c>
      <c r="C7495" s="78">
        <v>5.83e-5</v>
      </c>
      <c r="D7495" s="78">
        <v>265000</v>
      </c>
      <c r="E7495" s="78">
        <f>TRUNC(C7495*D7495,2)</f>
        <v>15.44</v>
      </c>
    </row>
    <row r="7496" spans="1:5">
      <c r="A7496" s="76" t="s">
        <v>122</v>
      </c>
      <c r="B7496" s="77"/>
      <c r="C7496" s="78"/>
      <c r="D7496" s="78"/>
      <c r="E7496" s="78">
        <f>SUM(E7495:E7495)</f>
        <v>15.44</v>
      </c>
    </row>
    <row r="7497" spans="1:5">
      <c r="A7497" s="76"/>
      <c r="B7497" s="77"/>
      <c r="C7497" s="78"/>
      <c r="D7497" s="78"/>
      <c r="E7497" s="78"/>
    </row>
    <row r="7498" spans="1:5">
      <c r="A7498" s="76" t="s">
        <v>2538</v>
      </c>
      <c r="B7498" s="77"/>
      <c r="C7498" s="78"/>
      <c r="D7498" s="78"/>
      <c r="E7498" s="78">
        <f>E7496</f>
        <v>15.44</v>
      </c>
    </row>
    <row r="7499" spans="1:5">
      <c r="A7499" s="76" t="s">
        <v>2539</v>
      </c>
      <c r="B7499" s="77"/>
      <c r="C7499" s="78"/>
      <c r="D7499" s="78">
        <v>0</v>
      </c>
      <c r="E7499" s="78">
        <f>TRUNC(D7499*E7498/100,2)</f>
        <v>0</v>
      </c>
    </row>
    <row r="7500" spans="1:5">
      <c r="A7500" s="76" t="s">
        <v>2540</v>
      </c>
      <c r="B7500" s="77"/>
      <c r="C7500" s="78"/>
      <c r="D7500" s="78"/>
      <c r="E7500" s="78">
        <f>E7498+E7499</f>
        <v>15.44</v>
      </c>
    </row>
    <row r="7501" spans="1:5">
      <c r="A7501" s="76"/>
      <c r="B7501" s="77"/>
      <c r="C7501" s="78"/>
      <c r="D7501" s="78"/>
      <c r="E7501" s="78"/>
    </row>
    <row r="7502" spans="1:5">
      <c r="A7502" s="76" t="s">
        <v>3092</v>
      </c>
      <c r="B7502" s="77" t="s">
        <v>4170</v>
      </c>
      <c r="C7502" s="78"/>
      <c r="D7502" s="78"/>
      <c r="E7502" s="78"/>
    </row>
    <row r="7503" ht="25.5" spans="1:5">
      <c r="A7503" s="76" t="s">
        <v>4171</v>
      </c>
      <c r="B7503" s="77"/>
      <c r="C7503" s="78"/>
      <c r="D7503" s="78"/>
      <c r="E7503" s="78"/>
    </row>
    <row r="7504" spans="1:5">
      <c r="A7504" s="76" t="s">
        <v>2764</v>
      </c>
      <c r="B7504" s="77"/>
      <c r="C7504" s="78"/>
      <c r="D7504" s="78"/>
      <c r="E7504" s="78"/>
    </row>
    <row r="7505" spans="1:5">
      <c r="A7505" s="76"/>
      <c r="B7505" s="77"/>
      <c r="C7505" s="78"/>
      <c r="D7505" s="78"/>
      <c r="E7505" s="78"/>
    </row>
    <row r="7506" spans="1:5">
      <c r="A7506" s="76" t="s">
        <v>2543</v>
      </c>
      <c r="B7506" s="77" t="s">
        <v>135</v>
      </c>
      <c r="C7506" s="78" t="s">
        <v>136</v>
      </c>
      <c r="D7506" s="78" t="s">
        <v>2534</v>
      </c>
      <c r="E7506" s="78" t="s">
        <v>2535</v>
      </c>
    </row>
    <row r="7507" spans="1:5">
      <c r="A7507" s="76" t="s">
        <v>3202</v>
      </c>
      <c r="B7507" s="77" t="s">
        <v>215</v>
      </c>
      <c r="C7507" s="78">
        <v>11.26</v>
      </c>
      <c r="D7507" s="78">
        <v>5.93</v>
      </c>
      <c r="E7507" s="78">
        <f>TRUNC(C7507*D7507,2)</f>
        <v>66.77</v>
      </c>
    </row>
    <row r="7508" spans="1:5">
      <c r="A7508" s="76" t="s">
        <v>122</v>
      </c>
      <c r="B7508" s="77"/>
      <c r="C7508" s="78"/>
      <c r="D7508" s="78"/>
      <c r="E7508" s="78">
        <f>SUM(E7507:E7507)</f>
        <v>66.77</v>
      </c>
    </row>
    <row r="7509" spans="1:5">
      <c r="A7509" s="76"/>
      <c r="B7509" s="77"/>
      <c r="C7509" s="78"/>
      <c r="D7509" s="78"/>
      <c r="E7509" s="78"/>
    </row>
    <row r="7510" spans="1:5">
      <c r="A7510" s="76" t="s">
        <v>2538</v>
      </c>
      <c r="B7510" s="77"/>
      <c r="C7510" s="78"/>
      <c r="D7510" s="78"/>
      <c r="E7510" s="78">
        <f>E7508</f>
        <v>66.77</v>
      </c>
    </row>
    <row r="7511" spans="1:5">
      <c r="A7511" s="76" t="s">
        <v>2539</v>
      </c>
      <c r="B7511" s="77"/>
      <c r="C7511" s="78"/>
      <c r="D7511" s="78">
        <v>0</v>
      </c>
      <c r="E7511" s="78">
        <f>TRUNC(D7511*E7510/100,2)</f>
        <v>0</v>
      </c>
    </row>
    <row r="7512" spans="1:5">
      <c r="A7512" s="76" t="s">
        <v>2540</v>
      </c>
      <c r="B7512" s="77"/>
      <c r="C7512" s="78"/>
      <c r="D7512" s="78"/>
      <c r="E7512" s="78">
        <f>E7510+E7511</f>
        <v>66.77</v>
      </c>
    </row>
    <row r="7513" spans="1:5">
      <c r="A7513" s="76"/>
      <c r="B7513" s="77"/>
      <c r="C7513" s="78"/>
      <c r="D7513" s="78"/>
      <c r="E7513" s="78"/>
    </row>
    <row r="7514" spans="1:5">
      <c r="A7514" s="76" t="s">
        <v>3092</v>
      </c>
      <c r="B7514" s="77" t="s">
        <v>4172</v>
      </c>
      <c r="C7514" s="78"/>
      <c r="D7514" s="78"/>
      <c r="E7514" s="78"/>
    </row>
    <row r="7515" ht="25.5" spans="1:5">
      <c r="A7515" s="76" t="s">
        <v>4173</v>
      </c>
      <c r="B7515" s="77"/>
      <c r="C7515" s="78"/>
      <c r="D7515" s="78"/>
      <c r="E7515" s="78"/>
    </row>
    <row r="7516" spans="1:5">
      <c r="A7516" s="76" t="s">
        <v>2764</v>
      </c>
      <c r="B7516" s="77"/>
      <c r="C7516" s="78"/>
      <c r="D7516" s="78"/>
      <c r="E7516" s="78"/>
    </row>
    <row r="7517" spans="1:5">
      <c r="A7517" s="76"/>
      <c r="B7517" s="77"/>
      <c r="C7517" s="78"/>
      <c r="D7517" s="78"/>
      <c r="E7517" s="78"/>
    </row>
    <row r="7518" spans="1:5">
      <c r="A7518" s="76" t="s">
        <v>279</v>
      </c>
      <c r="B7518" s="77" t="s">
        <v>135</v>
      </c>
      <c r="C7518" s="78" t="s">
        <v>136</v>
      </c>
      <c r="D7518" s="78" t="s">
        <v>2534</v>
      </c>
      <c r="E7518" s="78" t="s">
        <v>2535</v>
      </c>
    </row>
    <row r="7519" ht="25.5" spans="1:5">
      <c r="A7519" s="76" t="s">
        <v>4169</v>
      </c>
      <c r="B7519" s="77" t="s">
        <v>494</v>
      </c>
      <c r="C7519" s="78">
        <v>5.33e-5</v>
      </c>
      <c r="D7519" s="78">
        <v>265000</v>
      </c>
      <c r="E7519" s="78">
        <f>TRUNC(C7519*D7519,2)</f>
        <v>14.12</v>
      </c>
    </row>
    <row r="7520" spans="1:5">
      <c r="A7520" s="76" t="s">
        <v>122</v>
      </c>
      <c r="B7520" s="77"/>
      <c r="C7520" s="78"/>
      <c r="D7520" s="78"/>
      <c r="E7520" s="78">
        <f>SUM(E7519:E7519)</f>
        <v>14.12</v>
      </c>
    </row>
    <row r="7521" spans="1:5">
      <c r="A7521" s="76"/>
      <c r="B7521" s="77"/>
      <c r="C7521" s="78"/>
      <c r="D7521" s="78"/>
      <c r="E7521" s="78"/>
    </row>
    <row r="7522" spans="1:5">
      <c r="A7522" s="76" t="s">
        <v>2538</v>
      </c>
      <c r="B7522" s="77"/>
      <c r="C7522" s="78"/>
      <c r="D7522" s="78"/>
      <c r="E7522" s="78">
        <f>E7520</f>
        <v>14.12</v>
      </c>
    </row>
    <row r="7523" spans="1:5">
      <c r="A7523" s="76" t="s">
        <v>2539</v>
      </c>
      <c r="B7523" s="77"/>
      <c r="C7523" s="78"/>
      <c r="D7523" s="78">
        <v>0</v>
      </c>
      <c r="E7523" s="78">
        <f>TRUNC(D7523*E7522/100,2)</f>
        <v>0</v>
      </c>
    </row>
    <row r="7524" spans="1:5">
      <c r="A7524" s="76" t="s">
        <v>2540</v>
      </c>
      <c r="B7524" s="77"/>
      <c r="C7524" s="78"/>
      <c r="D7524" s="78"/>
      <c r="E7524" s="78">
        <f>E7522+E7523</f>
        <v>14.12</v>
      </c>
    </row>
    <row r="7525" spans="1:5">
      <c r="A7525" s="76"/>
      <c r="B7525" s="77"/>
      <c r="C7525" s="78"/>
      <c r="D7525" s="78"/>
      <c r="E7525" s="78"/>
    </row>
    <row r="7526" spans="1:5">
      <c r="A7526" s="76" t="s">
        <v>3092</v>
      </c>
      <c r="B7526" s="77" t="s">
        <v>4174</v>
      </c>
      <c r="C7526" s="78"/>
      <c r="D7526" s="78"/>
      <c r="E7526" s="78"/>
    </row>
    <row r="7527" ht="25.5" spans="1:5">
      <c r="A7527" s="76" t="s">
        <v>4175</v>
      </c>
      <c r="B7527" s="77"/>
      <c r="C7527" s="78"/>
      <c r="D7527" s="78"/>
      <c r="E7527" s="78"/>
    </row>
    <row r="7528" spans="1:5">
      <c r="A7528" s="76" t="s">
        <v>2764</v>
      </c>
      <c r="B7528" s="77"/>
      <c r="C7528" s="78"/>
      <c r="D7528" s="78"/>
      <c r="E7528" s="78"/>
    </row>
    <row r="7529" spans="1:5">
      <c r="A7529" s="76"/>
      <c r="B7529" s="77"/>
      <c r="C7529" s="78"/>
      <c r="D7529" s="78"/>
      <c r="E7529" s="78"/>
    </row>
    <row r="7530" spans="1:5">
      <c r="A7530" s="76" t="s">
        <v>279</v>
      </c>
      <c r="B7530" s="77" t="s">
        <v>135</v>
      </c>
      <c r="C7530" s="78" t="s">
        <v>136</v>
      </c>
      <c r="D7530" s="78" t="s">
        <v>2534</v>
      </c>
      <c r="E7530" s="78" t="s">
        <v>2535</v>
      </c>
    </row>
    <row r="7531" ht="25.5" spans="1:5">
      <c r="A7531" s="76" t="s">
        <v>4169</v>
      </c>
      <c r="B7531" s="77" t="s">
        <v>494</v>
      </c>
      <c r="C7531" s="78">
        <v>1.43e-5</v>
      </c>
      <c r="D7531" s="78">
        <v>265000</v>
      </c>
      <c r="E7531" s="78">
        <f>TRUNC(C7531*D7531,2)</f>
        <v>3.78</v>
      </c>
    </row>
    <row r="7532" spans="1:5">
      <c r="A7532" s="76" t="s">
        <v>122</v>
      </c>
      <c r="B7532" s="77"/>
      <c r="C7532" s="78"/>
      <c r="D7532" s="78"/>
      <c r="E7532" s="78">
        <f>SUM(E7531:E7531)</f>
        <v>3.78</v>
      </c>
    </row>
    <row r="7533" spans="1:5">
      <c r="A7533" s="76"/>
      <c r="B7533" s="77"/>
      <c r="C7533" s="78"/>
      <c r="D7533" s="78"/>
      <c r="E7533" s="78"/>
    </row>
    <row r="7534" spans="1:5">
      <c r="A7534" s="76" t="s">
        <v>2538</v>
      </c>
      <c r="B7534" s="77"/>
      <c r="C7534" s="78"/>
      <c r="D7534" s="78"/>
      <c r="E7534" s="78">
        <f>E7532</f>
        <v>3.78</v>
      </c>
    </row>
    <row r="7535" spans="1:5">
      <c r="A7535" s="76" t="s">
        <v>2539</v>
      </c>
      <c r="B7535" s="77"/>
      <c r="C7535" s="78"/>
      <c r="D7535" s="78">
        <v>0</v>
      </c>
      <c r="E7535" s="78">
        <f>TRUNC(D7535*E7534/100,2)</f>
        <v>0</v>
      </c>
    </row>
    <row r="7536" spans="1:5">
      <c r="A7536" s="76" t="s">
        <v>2540</v>
      </c>
      <c r="B7536" s="77"/>
      <c r="C7536" s="78"/>
      <c r="D7536" s="78"/>
      <c r="E7536" s="78">
        <f>E7534+E7535</f>
        <v>3.78</v>
      </c>
    </row>
    <row r="7537" spans="1:5">
      <c r="A7537" s="76"/>
      <c r="B7537" s="77"/>
      <c r="C7537" s="78"/>
      <c r="D7537" s="78"/>
      <c r="E7537" s="78"/>
    </row>
    <row r="7538" spans="1:5">
      <c r="A7538" s="76" t="s">
        <v>3092</v>
      </c>
      <c r="B7538" s="77" t="s">
        <v>4176</v>
      </c>
      <c r="C7538" s="78"/>
      <c r="D7538" s="78"/>
      <c r="E7538" s="78"/>
    </row>
    <row r="7539" ht="25.5" spans="1:5">
      <c r="A7539" s="76" t="s">
        <v>4177</v>
      </c>
      <c r="B7539" s="77"/>
      <c r="C7539" s="78"/>
      <c r="D7539" s="78"/>
      <c r="E7539" s="78"/>
    </row>
    <row r="7540" spans="1:5">
      <c r="A7540" s="76" t="s">
        <v>3091</v>
      </c>
      <c r="B7540" s="77"/>
      <c r="C7540" s="78"/>
      <c r="D7540" s="78"/>
      <c r="E7540" s="78"/>
    </row>
    <row r="7541" spans="1:5">
      <c r="A7541" s="76"/>
      <c r="B7541" s="77"/>
      <c r="C7541" s="78"/>
      <c r="D7541" s="78"/>
      <c r="E7541" s="78"/>
    </row>
    <row r="7542" spans="1:5">
      <c r="A7542" s="76" t="s">
        <v>2543</v>
      </c>
      <c r="B7542" s="77" t="s">
        <v>135</v>
      </c>
      <c r="C7542" s="78" t="s">
        <v>136</v>
      </c>
      <c r="D7542" s="78" t="s">
        <v>2534</v>
      </c>
      <c r="E7542" s="78" t="s">
        <v>2535</v>
      </c>
    </row>
    <row r="7543" ht="25.5" spans="1:5">
      <c r="A7543" s="76" t="s">
        <v>4133</v>
      </c>
      <c r="B7543" s="77" t="s">
        <v>839</v>
      </c>
      <c r="C7543" s="78">
        <v>1</v>
      </c>
      <c r="D7543" s="78">
        <v>3.93</v>
      </c>
      <c r="E7543" s="78">
        <f>TRUNC(C7543*D7543,2)</f>
        <v>3.93</v>
      </c>
    </row>
    <row r="7544" ht="25.5" spans="1:5">
      <c r="A7544" s="76" t="s">
        <v>4134</v>
      </c>
      <c r="B7544" s="77" t="s">
        <v>839</v>
      </c>
      <c r="C7544" s="78">
        <v>1</v>
      </c>
      <c r="D7544" s="78">
        <v>1.04</v>
      </c>
      <c r="E7544" s="78">
        <f>TRUNC(C7544*D7544,2)</f>
        <v>1.04</v>
      </c>
    </row>
    <row r="7545" spans="1:5">
      <c r="A7545" s="76" t="s">
        <v>122</v>
      </c>
      <c r="B7545" s="77"/>
      <c r="C7545" s="78"/>
      <c r="D7545" s="78"/>
      <c r="E7545" s="78">
        <f>SUM(E7543:E7544)</f>
        <v>4.97</v>
      </c>
    </row>
    <row r="7546" spans="1:5">
      <c r="A7546" s="76"/>
      <c r="B7546" s="77"/>
      <c r="C7546" s="78"/>
      <c r="D7546" s="78"/>
      <c r="E7546" s="78"/>
    </row>
    <row r="7547" spans="1:5">
      <c r="A7547" s="76" t="s">
        <v>2538</v>
      </c>
      <c r="B7547" s="77"/>
      <c r="C7547" s="78"/>
      <c r="D7547" s="78"/>
      <c r="E7547" s="78">
        <f>E7545</f>
        <v>4.97</v>
      </c>
    </row>
    <row r="7548" spans="1:5">
      <c r="A7548" s="76" t="s">
        <v>2539</v>
      </c>
      <c r="B7548" s="77"/>
      <c r="C7548" s="78"/>
      <c r="D7548" s="78">
        <v>0</v>
      </c>
      <c r="E7548" s="78">
        <f>TRUNC(D7548*E7547/100,2)</f>
        <v>0</v>
      </c>
    </row>
    <row r="7549" spans="1:5">
      <c r="A7549" s="76" t="s">
        <v>2540</v>
      </c>
      <c r="B7549" s="77"/>
      <c r="C7549" s="78"/>
      <c r="D7549" s="78"/>
      <c r="E7549" s="78">
        <f>E7547+E7548</f>
        <v>4.97</v>
      </c>
    </row>
    <row r="7550" spans="1:5">
      <c r="A7550" s="76"/>
      <c r="B7550" s="77"/>
      <c r="C7550" s="78"/>
      <c r="D7550" s="78"/>
      <c r="E7550" s="78"/>
    </row>
    <row r="7551" spans="1:5">
      <c r="A7551" s="76" t="s">
        <v>3092</v>
      </c>
      <c r="B7551" s="77" t="s">
        <v>4178</v>
      </c>
      <c r="C7551" s="78"/>
      <c r="D7551" s="78"/>
      <c r="E7551" s="78"/>
    </row>
    <row r="7552" ht="25.5" spans="1:5">
      <c r="A7552" s="76" t="s">
        <v>4179</v>
      </c>
      <c r="B7552" s="77"/>
      <c r="C7552" s="78"/>
      <c r="D7552" s="78"/>
      <c r="E7552" s="78"/>
    </row>
    <row r="7553" spans="1:5">
      <c r="A7553" s="76" t="s">
        <v>3091</v>
      </c>
      <c r="B7553" s="77"/>
      <c r="C7553" s="78"/>
      <c r="D7553" s="78"/>
      <c r="E7553" s="78"/>
    </row>
    <row r="7554" spans="1:5">
      <c r="A7554" s="76"/>
      <c r="B7554" s="77"/>
      <c r="C7554" s="78"/>
      <c r="D7554" s="78"/>
      <c r="E7554" s="78"/>
    </row>
    <row r="7555" spans="1:5">
      <c r="A7555" s="76" t="s">
        <v>2543</v>
      </c>
      <c r="B7555" s="77" t="s">
        <v>135</v>
      </c>
      <c r="C7555" s="78" t="s">
        <v>136</v>
      </c>
      <c r="D7555" s="78" t="s">
        <v>2534</v>
      </c>
      <c r="E7555" s="78" t="s">
        <v>2535</v>
      </c>
    </row>
    <row r="7556" spans="1:5">
      <c r="A7556" s="76" t="s">
        <v>4109</v>
      </c>
      <c r="B7556" s="77" t="s">
        <v>839</v>
      </c>
      <c r="C7556" s="78">
        <v>1</v>
      </c>
      <c r="D7556" s="78">
        <v>26.06</v>
      </c>
      <c r="E7556" s="78">
        <f>TRUNC(C7556*D7556,2)</f>
        <v>26.06</v>
      </c>
    </row>
    <row r="7557" ht="25.5" spans="1:5">
      <c r="A7557" s="76" t="s">
        <v>4165</v>
      </c>
      <c r="B7557" s="77" t="s">
        <v>839</v>
      </c>
      <c r="C7557" s="78">
        <v>1</v>
      </c>
      <c r="D7557" s="78">
        <v>14.12</v>
      </c>
      <c r="E7557" s="78">
        <f>TRUNC(C7557*D7557,2)</f>
        <v>14.12</v>
      </c>
    </row>
    <row r="7558" ht="25.5" spans="1:5">
      <c r="A7558" s="76" t="s">
        <v>4166</v>
      </c>
      <c r="B7558" s="77" t="s">
        <v>839</v>
      </c>
      <c r="C7558" s="78">
        <v>1</v>
      </c>
      <c r="D7558" s="78">
        <v>3.78</v>
      </c>
      <c r="E7558" s="78">
        <f>TRUNC(C7558*D7558,2)</f>
        <v>3.78</v>
      </c>
    </row>
    <row r="7559" spans="1:5">
      <c r="A7559" s="76" t="s">
        <v>122</v>
      </c>
      <c r="B7559" s="77"/>
      <c r="C7559" s="78"/>
      <c r="D7559" s="78"/>
      <c r="E7559" s="78">
        <f>SUM(E7556:E7558)</f>
        <v>43.96</v>
      </c>
    </row>
    <row r="7560" spans="1:5">
      <c r="A7560" s="76"/>
      <c r="B7560" s="77"/>
      <c r="C7560" s="78"/>
      <c r="D7560" s="78"/>
      <c r="E7560" s="78"/>
    </row>
    <row r="7561" spans="1:5">
      <c r="A7561" s="76" t="s">
        <v>2538</v>
      </c>
      <c r="B7561" s="77"/>
      <c r="C7561" s="78"/>
      <c r="D7561" s="78"/>
      <c r="E7561" s="78">
        <f>E7559</f>
        <v>43.96</v>
      </c>
    </row>
    <row r="7562" spans="1:5">
      <c r="A7562" s="76" t="s">
        <v>2539</v>
      </c>
      <c r="B7562" s="77"/>
      <c r="C7562" s="78"/>
      <c r="D7562" s="78">
        <v>0</v>
      </c>
      <c r="E7562" s="78">
        <f>TRUNC(D7562*E7561/100,2)</f>
        <v>0</v>
      </c>
    </row>
    <row r="7563" spans="1:5">
      <c r="A7563" s="76" t="s">
        <v>2540</v>
      </c>
      <c r="B7563" s="77"/>
      <c r="C7563" s="78"/>
      <c r="D7563" s="78"/>
      <c r="E7563" s="78">
        <f>E7561+E7562</f>
        <v>43.96</v>
      </c>
    </row>
    <row r="7564" spans="1:5">
      <c r="A7564" s="76"/>
      <c r="B7564" s="77"/>
      <c r="C7564" s="78"/>
      <c r="D7564" s="78"/>
      <c r="E7564" s="78"/>
    </row>
    <row r="7565" spans="1:5">
      <c r="A7565" s="76" t="s">
        <v>3092</v>
      </c>
      <c r="B7565" s="77" t="s">
        <v>4180</v>
      </c>
      <c r="C7565" s="78"/>
      <c r="D7565" s="78"/>
      <c r="E7565" s="78"/>
    </row>
    <row r="7566" ht="38.25" spans="1:5">
      <c r="A7566" s="76" t="s">
        <v>4181</v>
      </c>
      <c r="B7566" s="77"/>
      <c r="C7566" s="78"/>
      <c r="D7566" s="78"/>
      <c r="E7566" s="78"/>
    </row>
    <row r="7567" spans="1:5">
      <c r="A7567" s="76" t="s">
        <v>3091</v>
      </c>
      <c r="B7567" s="77"/>
      <c r="C7567" s="78"/>
      <c r="D7567" s="78"/>
      <c r="E7567" s="78"/>
    </row>
    <row r="7568" spans="1:5">
      <c r="A7568" s="76"/>
      <c r="B7568" s="77"/>
      <c r="C7568" s="78"/>
      <c r="D7568" s="78"/>
      <c r="E7568" s="78"/>
    </row>
    <row r="7569" spans="1:5">
      <c r="A7569" s="76" t="s">
        <v>2543</v>
      </c>
      <c r="B7569" s="77" t="s">
        <v>135</v>
      </c>
      <c r="C7569" s="78" t="s">
        <v>136</v>
      </c>
      <c r="D7569" s="78" t="s">
        <v>2534</v>
      </c>
      <c r="E7569" s="78" t="s">
        <v>2535</v>
      </c>
    </row>
    <row r="7570" spans="1:5">
      <c r="A7570" s="76" t="s">
        <v>3183</v>
      </c>
      <c r="B7570" s="77" t="s">
        <v>839</v>
      </c>
      <c r="C7570" s="78">
        <v>1</v>
      </c>
      <c r="D7570" s="78">
        <v>29.8</v>
      </c>
      <c r="E7570" s="78">
        <f>TRUNC(C7570*D7570,2)</f>
        <v>29.8</v>
      </c>
    </row>
    <row r="7571" ht="51" spans="1:5">
      <c r="A7571" s="76" t="s">
        <v>4145</v>
      </c>
      <c r="B7571" s="77" t="s">
        <v>839</v>
      </c>
      <c r="C7571" s="78">
        <v>1</v>
      </c>
      <c r="D7571" s="78">
        <v>10.04</v>
      </c>
      <c r="E7571" s="78">
        <f>TRUNC(C7571*D7571,2)</f>
        <v>10.04</v>
      </c>
    </row>
    <row r="7572" ht="51" spans="1:5">
      <c r="A7572" s="76" t="s">
        <v>4146</v>
      </c>
      <c r="B7572" s="77" t="s">
        <v>839</v>
      </c>
      <c r="C7572" s="78">
        <v>1</v>
      </c>
      <c r="D7572" s="78">
        <v>4.05</v>
      </c>
      <c r="E7572" s="78">
        <f>TRUNC(C7572*D7572,2)</f>
        <v>4.05</v>
      </c>
    </row>
    <row r="7573" ht="51" spans="1:5">
      <c r="A7573" s="76" t="s">
        <v>4147</v>
      </c>
      <c r="B7573" s="77" t="s">
        <v>839</v>
      </c>
      <c r="C7573" s="78">
        <v>1</v>
      </c>
      <c r="D7573" s="78">
        <v>25.66</v>
      </c>
      <c r="E7573" s="78">
        <f>TRUNC(C7573*D7573,2)</f>
        <v>25.66</v>
      </c>
    </row>
    <row r="7574" spans="1:5">
      <c r="A7574" s="76" t="s">
        <v>122</v>
      </c>
      <c r="B7574" s="77"/>
      <c r="C7574" s="78"/>
      <c r="D7574" s="78"/>
      <c r="E7574" s="78">
        <f>SUM(E7570:E7573)</f>
        <v>69.55</v>
      </c>
    </row>
    <row r="7575" spans="1:5">
      <c r="A7575" s="76"/>
      <c r="B7575" s="77"/>
      <c r="C7575" s="78"/>
      <c r="D7575" s="78"/>
      <c r="E7575" s="78"/>
    </row>
    <row r="7576" spans="1:5">
      <c r="A7576" s="76" t="s">
        <v>2538</v>
      </c>
      <c r="B7576" s="77"/>
      <c r="C7576" s="78"/>
      <c r="D7576" s="78"/>
      <c r="E7576" s="78">
        <f>E7574</f>
        <v>69.55</v>
      </c>
    </row>
    <row r="7577" spans="1:5">
      <c r="A7577" s="76" t="s">
        <v>2539</v>
      </c>
      <c r="B7577" s="77"/>
      <c r="C7577" s="78"/>
      <c r="D7577" s="78">
        <v>0</v>
      </c>
      <c r="E7577" s="78">
        <f>TRUNC(D7577*E7576/100,2)</f>
        <v>0</v>
      </c>
    </row>
    <row r="7578" spans="1:5">
      <c r="A7578" s="76" t="s">
        <v>2540</v>
      </c>
      <c r="B7578" s="77"/>
      <c r="C7578" s="78"/>
      <c r="D7578" s="78"/>
      <c r="E7578" s="78">
        <f>E7576+E7577</f>
        <v>69.55</v>
      </c>
    </row>
    <row r="7579" spans="1:5">
      <c r="A7579" s="76"/>
      <c r="B7579" s="77"/>
      <c r="C7579" s="78"/>
      <c r="D7579" s="78"/>
      <c r="E7579" s="78"/>
    </row>
    <row r="7580" spans="1:5">
      <c r="A7580" s="76" t="s">
        <v>3092</v>
      </c>
      <c r="B7580" s="77" t="s">
        <v>4182</v>
      </c>
      <c r="C7580" s="78"/>
      <c r="D7580" s="78"/>
      <c r="E7580" s="78"/>
    </row>
    <row r="7581" ht="25.5" spans="1:5">
      <c r="A7581" s="76" t="s">
        <v>4183</v>
      </c>
      <c r="B7581" s="77"/>
      <c r="C7581" s="78"/>
      <c r="D7581" s="78"/>
      <c r="E7581" s="78"/>
    </row>
    <row r="7582" spans="1:5">
      <c r="A7582" s="76" t="s">
        <v>2619</v>
      </c>
      <c r="B7582" s="77"/>
      <c r="C7582" s="78"/>
      <c r="D7582" s="78"/>
      <c r="E7582" s="78"/>
    </row>
    <row r="7583" spans="1:5">
      <c r="A7583" s="76"/>
      <c r="B7583" s="77"/>
      <c r="C7583" s="78"/>
      <c r="D7583" s="78"/>
      <c r="E7583" s="78"/>
    </row>
    <row r="7584" spans="1:5">
      <c r="A7584" s="76" t="s">
        <v>2543</v>
      </c>
      <c r="B7584" s="77" t="s">
        <v>135</v>
      </c>
      <c r="C7584" s="78" t="s">
        <v>136</v>
      </c>
      <c r="D7584" s="78" t="s">
        <v>2534</v>
      </c>
      <c r="E7584" s="78" t="s">
        <v>2535</v>
      </c>
    </row>
    <row r="7585" ht="25.5" spans="1:5">
      <c r="A7585" s="76" t="s">
        <v>2755</v>
      </c>
      <c r="B7585" s="77" t="s">
        <v>476</v>
      </c>
      <c r="C7585" s="78">
        <v>0.7558</v>
      </c>
      <c r="D7585" s="78">
        <v>205</v>
      </c>
      <c r="E7585" s="78">
        <f t="shared" ref="E7585:E7591" si="56">TRUNC(C7585*D7585,2)</f>
        <v>154.93</v>
      </c>
    </row>
    <row r="7586" spans="1:5">
      <c r="A7586" s="76" t="s">
        <v>3001</v>
      </c>
      <c r="B7586" s="77" t="s">
        <v>463</v>
      </c>
      <c r="C7586" s="78">
        <v>322.9777</v>
      </c>
      <c r="D7586" s="78">
        <v>0.65</v>
      </c>
      <c r="E7586" s="78">
        <f t="shared" si="56"/>
        <v>209.93</v>
      </c>
    </row>
    <row r="7587" ht="25.5" spans="1:5">
      <c r="A7587" s="76" t="s">
        <v>2822</v>
      </c>
      <c r="B7587" s="77" t="s">
        <v>476</v>
      </c>
      <c r="C7587" s="78">
        <v>0.5872</v>
      </c>
      <c r="D7587" s="78">
        <v>197.39</v>
      </c>
      <c r="E7587" s="78">
        <f t="shared" si="56"/>
        <v>115.9</v>
      </c>
    </row>
    <row r="7588" spans="1:5">
      <c r="A7588" s="76" t="s">
        <v>2621</v>
      </c>
      <c r="B7588" s="77" t="s">
        <v>839</v>
      </c>
      <c r="C7588" s="78">
        <v>2.5333</v>
      </c>
      <c r="D7588" s="78">
        <v>23.75</v>
      </c>
      <c r="E7588" s="78">
        <f t="shared" si="56"/>
        <v>60.16</v>
      </c>
    </row>
    <row r="7589" ht="25.5" spans="1:5">
      <c r="A7589" s="76" t="s">
        <v>3442</v>
      </c>
      <c r="B7589" s="77" t="s">
        <v>839</v>
      </c>
      <c r="C7589" s="78">
        <v>1.6046</v>
      </c>
      <c r="D7589" s="78">
        <v>26</v>
      </c>
      <c r="E7589" s="78">
        <f t="shared" si="56"/>
        <v>41.71</v>
      </c>
    </row>
    <row r="7590" ht="38.25" spans="1:5">
      <c r="A7590" s="76" t="s">
        <v>3938</v>
      </c>
      <c r="B7590" s="77" t="s">
        <v>977</v>
      </c>
      <c r="C7590" s="78">
        <v>0.8259</v>
      </c>
      <c r="D7590" s="78">
        <v>1.64</v>
      </c>
      <c r="E7590" s="78">
        <f t="shared" si="56"/>
        <v>1.35</v>
      </c>
    </row>
    <row r="7591" ht="38.25" spans="1:5">
      <c r="A7591" s="76" t="s">
        <v>3939</v>
      </c>
      <c r="B7591" s="77" t="s">
        <v>979</v>
      </c>
      <c r="C7591" s="78">
        <v>0.7787</v>
      </c>
      <c r="D7591" s="78">
        <v>0.39</v>
      </c>
      <c r="E7591" s="78">
        <f t="shared" si="56"/>
        <v>0.3</v>
      </c>
    </row>
    <row r="7592" spans="1:5">
      <c r="A7592" s="76" t="s">
        <v>122</v>
      </c>
      <c r="B7592" s="77"/>
      <c r="C7592" s="78"/>
      <c r="D7592" s="78"/>
      <c r="E7592" s="78">
        <f>SUM(E7585:E7591)</f>
        <v>584.28</v>
      </c>
    </row>
    <row r="7593" spans="1:5">
      <c r="A7593" s="76"/>
      <c r="B7593" s="77"/>
      <c r="C7593" s="78"/>
      <c r="D7593" s="78"/>
      <c r="E7593" s="78"/>
    </row>
    <row r="7594" spans="1:5">
      <c r="A7594" s="76" t="s">
        <v>2538</v>
      </c>
      <c r="B7594" s="77"/>
      <c r="C7594" s="78"/>
      <c r="D7594" s="78"/>
      <c r="E7594" s="78">
        <f>E7592</f>
        <v>584.28</v>
      </c>
    </row>
    <row r="7595" spans="1:5">
      <c r="A7595" s="76" t="s">
        <v>2539</v>
      </c>
      <c r="B7595" s="77"/>
      <c r="C7595" s="78"/>
      <c r="D7595" s="78">
        <v>0</v>
      </c>
      <c r="E7595" s="78">
        <f>TRUNC(D7595*E7594/100,2)</f>
        <v>0</v>
      </c>
    </row>
    <row r="7596" spans="1:5">
      <c r="A7596" s="76" t="s">
        <v>2540</v>
      </c>
      <c r="B7596" s="77"/>
      <c r="C7596" s="78"/>
      <c r="D7596" s="78"/>
      <c r="E7596" s="78">
        <f>E7594+E7595</f>
        <v>584.28</v>
      </c>
    </row>
    <row r="7597" spans="1:5">
      <c r="A7597" s="76"/>
      <c r="B7597" s="77"/>
      <c r="C7597" s="78"/>
      <c r="D7597" s="78"/>
      <c r="E7597" s="78"/>
    </row>
    <row r="7598" spans="1:5">
      <c r="A7598" s="76" t="s">
        <v>3092</v>
      </c>
      <c r="B7598" s="77" t="s">
        <v>4184</v>
      </c>
      <c r="C7598" s="78"/>
      <c r="D7598" s="78"/>
      <c r="E7598" s="78"/>
    </row>
    <row r="7599" ht="25.5" spans="1:5">
      <c r="A7599" s="76" t="s">
        <v>4185</v>
      </c>
      <c r="B7599" s="77"/>
      <c r="C7599" s="78"/>
      <c r="D7599" s="78"/>
      <c r="E7599" s="78"/>
    </row>
    <row r="7600" spans="1:5">
      <c r="A7600" s="76" t="s">
        <v>3085</v>
      </c>
      <c r="B7600" s="77"/>
      <c r="C7600" s="78"/>
      <c r="D7600" s="78"/>
      <c r="E7600" s="78"/>
    </row>
    <row r="7601" spans="1:5">
      <c r="A7601" s="76"/>
      <c r="B7601" s="77"/>
      <c r="C7601" s="78"/>
      <c r="D7601" s="78"/>
      <c r="E7601" s="78"/>
    </row>
    <row r="7602" spans="1:5">
      <c r="A7602" s="76" t="s">
        <v>2543</v>
      </c>
      <c r="B7602" s="77" t="s">
        <v>135</v>
      </c>
      <c r="C7602" s="78" t="s">
        <v>136</v>
      </c>
      <c r="D7602" s="78" t="s">
        <v>2534</v>
      </c>
      <c r="E7602" s="78" t="s">
        <v>2535</v>
      </c>
    </row>
    <row r="7603" ht="25.5" spans="1:5">
      <c r="A7603" s="76" t="s">
        <v>3791</v>
      </c>
      <c r="B7603" s="77" t="s">
        <v>839</v>
      </c>
      <c r="C7603" s="78">
        <v>1</v>
      </c>
      <c r="D7603" s="78">
        <v>26</v>
      </c>
      <c r="E7603" s="78">
        <f>TRUNC(C7603*D7603,2)</f>
        <v>26</v>
      </c>
    </row>
    <row r="7604" ht="38.25" spans="1:5">
      <c r="A7604" s="76" t="s">
        <v>4186</v>
      </c>
      <c r="B7604" s="77" t="s">
        <v>839</v>
      </c>
      <c r="C7604" s="78">
        <v>1</v>
      </c>
      <c r="D7604" s="78">
        <v>51.93</v>
      </c>
      <c r="E7604" s="78">
        <f>TRUNC(C7604*D7604,2)</f>
        <v>51.93</v>
      </c>
    </row>
    <row r="7605" ht="38.25" spans="1:5">
      <c r="A7605" s="76" t="s">
        <v>4187</v>
      </c>
      <c r="B7605" s="77" t="s">
        <v>839</v>
      </c>
      <c r="C7605" s="78">
        <v>1</v>
      </c>
      <c r="D7605" s="78">
        <v>40.5</v>
      </c>
      <c r="E7605" s="78">
        <f>TRUNC(C7605*D7605,2)</f>
        <v>40.5</v>
      </c>
    </row>
    <row r="7606" ht="38.25" spans="1:5">
      <c r="A7606" s="76" t="s">
        <v>4188</v>
      </c>
      <c r="B7606" s="77" t="s">
        <v>839</v>
      </c>
      <c r="C7606" s="78">
        <v>1</v>
      </c>
      <c r="D7606" s="78">
        <v>41.5</v>
      </c>
      <c r="E7606" s="78">
        <f>TRUNC(C7606*D7606,2)</f>
        <v>41.5</v>
      </c>
    </row>
    <row r="7607" ht="38.25" spans="1:5">
      <c r="A7607" s="76" t="s">
        <v>4189</v>
      </c>
      <c r="B7607" s="77" t="s">
        <v>839</v>
      </c>
      <c r="C7607" s="78">
        <v>1</v>
      </c>
      <c r="D7607" s="78">
        <v>11.13</v>
      </c>
      <c r="E7607" s="78">
        <f>TRUNC(C7607*D7607,2)</f>
        <v>11.13</v>
      </c>
    </row>
    <row r="7608" spans="1:5">
      <c r="A7608" s="76" t="s">
        <v>122</v>
      </c>
      <c r="B7608" s="77"/>
      <c r="C7608" s="78"/>
      <c r="D7608" s="78"/>
      <c r="E7608" s="78">
        <f>SUM(E7603:E7607)</f>
        <v>171.06</v>
      </c>
    </row>
    <row r="7609" spans="1:5">
      <c r="A7609" s="76"/>
      <c r="B7609" s="77"/>
      <c r="C7609" s="78"/>
      <c r="D7609" s="78"/>
      <c r="E7609" s="78"/>
    </row>
    <row r="7610" spans="1:5">
      <c r="A7610" s="76" t="s">
        <v>2538</v>
      </c>
      <c r="B7610" s="77"/>
      <c r="C7610" s="78"/>
      <c r="D7610" s="78"/>
      <c r="E7610" s="78">
        <f>E7608</f>
        <v>171.06</v>
      </c>
    </row>
    <row r="7611" spans="1:5">
      <c r="A7611" s="76" t="s">
        <v>2539</v>
      </c>
      <c r="B7611" s="77"/>
      <c r="C7611" s="78"/>
      <c r="D7611" s="78">
        <v>0</v>
      </c>
      <c r="E7611" s="78">
        <f>TRUNC(D7611*E7610/100,2)</f>
        <v>0</v>
      </c>
    </row>
    <row r="7612" spans="1:5">
      <c r="A7612" s="76" t="s">
        <v>2540</v>
      </c>
      <c r="B7612" s="77"/>
      <c r="C7612" s="78"/>
      <c r="D7612" s="78"/>
      <c r="E7612" s="78">
        <f>E7610+E7611</f>
        <v>171.06</v>
      </c>
    </row>
    <row r="7613" spans="1:5">
      <c r="A7613" s="76"/>
      <c r="B7613" s="77"/>
      <c r="C7613" s="78"/>
      <c r="D7613" s="78"/>
      <c r="E7613" s="78"/>
    </row>
    <row r="7614" spans="1:5">
      <c r="A7614" s="76" t="s">
        <v>3092</v>
      </c>
      <c r="B7614" s="77" t="s">
        <v>4190</v>
      </c>
      <c r="C7614" s="78"/>
      <c r="D7614" s="78"/>
      <c r="E7614" s="78"/>
    </row>
    <row r="7615" ht="25.5" spans="1:5">
      <c r="A7615" s="76" t="s">
        <v>4191</v>
      </c>
      <c r="B7615" s="77"/>
      <c r="C7615" s="78"/>
      <c r="D7615" s="78"/>
      <c r="E7615" s="78"/>
    </row>
    <row r="7616" spans="1:5">
      <c r="A7616" s="76" t="s">
        <v>2764</v>
      </c>
      <c r="B7616" s="77"/>
      <c r="C7616" s="78"/>
      <c r="D7616" s="78"/>
      <c r="E7616" s="78"/>
    </row>
    <row r="7617" spans="1:5">
      <c r="A7617" s="76"/>
      <c r="B7617" s="77"/>
      <c r="C7617" s="78"/>
      <c r="D7617" s="78"/>
      <c r="E7617" s="78"/>
    </row>
    <row r="7618" spans="1:5">
      <c r="A7618" s="76" t="s">
        <v>2543</v>
      </c>
      <c r="B7618" s="77" t="s">
        <v>135</v>
      </c>
      <c r="C7618" s="78" t="s">
        <v>136</v>
      </c>
      <c r="D7618" s="78" t="s">
        <v>2534</v>
      </c>
      <c r="E7618" s="78" t="s">
        <v>2535</v>
      </c>
    </row>
    <row r="7619" ht="25.5" spans="1:5">
      <c r="A7619" s="76" t="s">
        <v>4192</v>
      </c>
      <c r="B7619" s="77" t="s">
        <v>494</v>
      </c>
      <c r="C7619" s="78">
        <v>6.67e-5</v>
      </c>
      <c r="D7619" s="78">
        <v>778642.87</v>
      </c>
      <c r="E7619" s="78">
        <f>TRUNC(C7619*D7619,2)</f>
        <v>51.93</v>
      </c>
    </row>
    <row r="7620" spans="1:5">
      <c r="A7620" s="76" t="s">
        <v>122</v>
      </c>
      <c r="B7620" s="77"/>
      <c r="C7620" s="78"/>
      <c r="D7620" s="78"/>
      <c r="E7620" s="78">
        <f>SUM(E7619:E7619)</f>
        <v>51.93</v>
      </c>
    </row>
    <row r="7621" spans="1:5">
      <c r="A7621" s="76"/>
      <c r="B7621" s="77"/>
      <c r="C7621" s="78"/>
      <c r="D7621" s="78"/>
      <c r="E7621" s="78"/>
    </row>
    <row r="7622" spans="1:5">
      <c r="A7622" s="76" t="s">
        <v>2538</v>
      </c>
      <c r="B7622" s="77"/>
      <c r="C7622" s="78"/>
      <c r="D7622" s="78"/>
      <c r="E7622" s="78">
        <f>E7620</f>
        <v>51.93</v>
      </c>
    </row>
    <row r="7623" spans="1:5">
      <c r="A7623" s="76" t="s">
        <v>2539</v>
      </c>
      <c r="B7623" s="77"/>
      <c r="C7623" s="78"/>
      <c r="D7623" s="78">
        <v>0</v>
      </c>
      <c r="E7623" s="78">
        <f>TRUNC(D7623*E7622/100,2)</f>
        <v>0</v>
      </c>
    </row>
    <row r="7624" spans="1:5">
      <c r="A7624" s="76" t="s">
        <v>2540</v>
      </c>
      <c r="B7624" s="77"/>
      <c r="C7624" s="78"/>
      <c r="D7624" s="78"/>
      <c r="E7624" s="78">
        <f>E7622+E7623</f>
        <v>51.93</v>
      </c>
    </row>
    <row r="7625" spans="1:5">
      <c r="A7625" s="76"/>
      <c r="B7625" s="77"/>
      <c r="C7625" s="78"/>
      <c r="D7625" s="78"/>
      <c r="E7625" s="78"/>
    </row>
    <row r="7626" spans="1:5">
      <c r="A7626" s="76" t="s">
        <v>3092</v>
      </c>
      <c r="B7626" s="77" t="s">
        <v>4193</v>
      </c>
      <c r="C7626" s="78"/>
      <c r="D7626" s="78"/>
      <c r="E7626" s="78"/>
    </row>
    <row r="7627" ht="38.25" spans="1:5">
      <c r="A7627" s="76" t="s">
        <v>4194</v>
      </c>
      <c r="B7627" s="77"/>
      <c r="C7627" s="78"/>
      <c r="D7627" s="78"/>
      <c r="E7627" s="78"/>
    </row>
    <row r="7628" spans="1:5">
      <c r="A7628" s="76" t="s">
        <v>2764</v>
      </c>
      <c r="B7628" s="77"/>
      <c r="C7628" s="78"/>
      <c r="D7628" s="78"/>
      <c r="E7628" s="78"/>
    </row>
    <row r="7629" spans="1:5">
      <c r="A7629" s="76"/>
      <c r="B7629" s="77"/>
      <c r="C7629" s="78"/>
      <c r="D7629" s="78"/>
      <c r="E7629" s="78"/>
    </row>
    <row r="7630" spans="1:5">
      <c r="A7630" s="76" t="s">
        <v>2543</v>
      </c>
      <c r="B7630" s="77" t="s">
        <v>135</v>
      </c>
      <c r="C7630" s="78" t="s">
        <v>136</v>
      </c>
      <c r="D7630" s="78" t="s">
        <v>2534</v>
      </c>
      <c r="E7630" s="78" t="s">
        <v>2535</v>
      </c>
    </row>
    <row r="7631" spans="1:5">
      <c r="A7631" s="76" t="s">
        <v>3202</v>
      </c>
      <c r="B7631" s="77" t="s">
        <v>215</v>
      </c>
      <c r="C7631" s="78">
        <v>6.83</v>
      </c>
      <c r="D7631" s="78">
        <v>5.93</v>
      </c>
      <c r="E7631" s="78">
        <f>TRUNC(C7631*D7631,2)</f>
        <v>40.5</v>
      </c>
    </row>
    <row r="7632" spans="1:5">
      <c r="A7632" s="76" t="s">
        <v>122</v>
      </c>
      <c r="B7632" s="77"/>
      <c r="C7632" s="78"/>
      <c r="D7632" s="78"/>
      <c r="E7632" s="78">
        <f>SUM(E7631:E7631)</f>
        <v>40.5</v>
      </c>
    </row>
    <row r="7633" spans="1:5">
      <c r="A7633" s="76"/>
      <c r="B7633" s="77"/>
      <c r="C7633" s="78"/>
      <c r="D7633" s="78"/>
      <c r="E7633" s="78"/>
    </row>
    <row r="7634" spans="1:5">
      <c r="A7634" s="76" t="s">
        <v>2538</v>
      </c>
      <c r="B7634" s="77"/>
      <c r="C7634" s="78"/>
      <c r="D7634" s="78"/>
      <c r="E7634" s="78">
        <f>E7632</f>
        <v>40.5</v>
      </c>
    </row>
    <row r="7635" spans="1:5">
      <c r="A7635" s="76" t="s">
        <v>2539</v>
      </c>
      <c r="B7635" s="77"/>
      <c r="C7635" s="78"/>
      <c r="D7635" s="78">
        <v>0</v>
      </c>
      <c r="E7635" s="78">
        <f>TRUNC(D7635*E7634/100,2)</f>
        <v>0</v>
      </c>
    </row>
    <row r="7636" spans="1:5">
      <c r="A7636" s="76" t="s">
        <v>2540</v>
      </c>
      <c r="B7636" s="77"/>
      <c r="C7636" s="78"/>
      <c r="D7636" s="78"/>
      <c r="E7636" s="78">
        <f>E7634+E7635</f>
        <v>40.5</v>
      </c>
    </row>
    <row r="7637" spans="1:5">
      <c r="A7637" s="76"/>
      <c r="B7637" s="77"/>
      <c r="C7637" s="78"/>
      <c r="D7637" s="78"/>
      <c r="E7637" s="78"/>
    </row>
    <row r="7638" spans="1:5">
      <c r="A7638" s="76" t="s">
        <v>3092</v>
      </c>
      <c r="B7638" s="77" t="s">
        <v>4195</v>
      </c>
      <c r="C7638" s="78"/>
      <c r="D7638" s="78"/>
      <c r="E7638" s="78"/>
    </row>
    <row r="7639" ht="25.5" spans="1:5">
      <c r="A7639" s="76" t="s">
        <v>4196</v>
      </c>
      <c r="B7639" s="77"/>
      <c r="C7639" s="78"/>
      <c r="D7639" s="78"/>
      <c r="E7639" s="78"/>
    </row>
    <row r="7640" spans="1:5">
      <c r="A7640" s="76" t="s">
        <v>2764</v>
      </c>
      <c r="B7640" s="77"/>
      <c r="C7640" s="78"/>
      <c r="D7640" s="78"/>
      <c r="E7640" s="78"/>
    </row>
    <row r="7641" spans="1:5">
      <c r="A7641" s="76"/>
      <c r="B7641" s="77"/>
      <c r="C7641" s="78"/>
      <c r="D7641" s="78"/>
      <c r="E7641" s="78"/>
    </row>
    <row r="7642" spans="1:5">
      <c r="A7642" s="76" t="s">
        <v>2543</v>
      </c>
      <c r="B7642" s="77" t="s">
        <v>135</v>
      </c>
      <c r="C7642" s="78" t="s">
        <v>136</v>
      </c>
      <c r="D7642" s="78" t="s">
        <v>2534</v>
      </c>
      <c r="E7642" s="78" t="s">
        <v>2535</v>
      </c>
    </row>
    <row r="7643" ht="25.5" spans="1:5">
      <c r="A7643" s="76" t="s">
        <v>4192</v>
      </c>
      <c r="B7643" s="77" t="s">
        <v>494</v>
      </c>
      <c r="C7643" s="78">
        <v>5.33e-5</v>
      </c>
      <c r="D7643" s="78">
        <v>778642.87</v>
      </c>
      <c r="E7643" s="78">
        <f>TRUNC(C7643*D7643,2)</f>
        <v>41.5</v>
      </c>
    </row>
    <row r="7644" spans="1:5">
      <c r="A7644" s="76" t="s">
        <v>122</v>
      </c>
      <c r="B7644" s="77"/>
      <c r="C7644" s="78"/>
      <c r="D7644" s="78"/>
      <c r="E7644" s="78">
        <f>SUM(E7643:E7643)</f>
        <v>41.5</v>
      </c>
    </row>
    <row r="7645" spans="1:5">
      <c r="A7645" s="76"/>
      <c r="B7645" s="77"/>
      <c r="C7645" s="78"/>
      <c r="D7645" s="78"/>
      <c r="E7645" s="78"/>
    </row>
    <row r="7646" spans="1:5">
      <c r="A7646" s="76" t="s">
        <v>2538</v>
      </c>
      <c r="B7646" s="77"/>
      <c r="C7646" s="78"/>
      <c r="D7646" s="78"/>
      <c r="E7646" s="78">
        <f>E7644</f>
        <v>41.5</v>
      </c>
    </row>
    <row r="7647" spans="1:5">
      <c r="A7647" s="76" t="s">
        <v>2539</v>
      </c>
      <c r="B7647" s="77"/>
      <c r="C7647" s="78"/>
      <c r="D7647" s="78">
        <v>0</v>
      </c>
      <c r="E7647" s="78">
        <f>TRUNC(D7647*E7646/100,2)</f>
        <v>0</v>
      </c>
    </row>
    <row r="7648" spans="1:5">
      <c r="A7648" s="76" t="s">
        <v>2540</v>
      </c>
      <c r="B7648" s="77"/>
      <c r="C7648" s="78"/>
      <c r="D7648" s="78"/>
      <c r="E7648" s="78">
        <f>E7646+E7647</f>
        <v>41.5</v>
      </c>
    </row>
    <row r="7649" spans="1:5">
      <c r="A7649" s="76"/>
      <c r="B7649" s="77"/>
      <c r="C7649" s="78"/>
      <c r="D7649" s="78"/>
      <c r="E7649" s="78"/>
    </row>
    <row r="7650" spans="1:5">
      <c r="A7650" s="76" t="s">
        <v>3092</v>
      </c>
      <c r="B7650" s="77" t="s">
        <v>4197</v>
      </c>
      <c r="C7650" s="78"/>
      <c r="D7650" s="78"/>
      <c r="E7650" s="78"/>
    </row>
    <row r="7651" ht="25.5" spans="1:5">
      <c r="A7651" s="76" t="s">
        <v>4198</v>
      </c>
      <c r="B7651" s="77"/>
      <c r="C7651" s="78"/>
      <c r="D7651" s="78"/>
      <c r="E7651" s="78"/>
    </row>
    <row r="7652" spans="1:5">
      <c r="A7652" s="76" t="s">
        <v>2764</v>
      </c>
      <c r="B7652" s="77"/>
      <c r="C7652" s="78"/>
      <c r="D7652" s="78"/>
      <c r="E7652" s="78"/>
    </row>
    <row r="7653" spans="1:5">
      <c r="A7653" s="76"/>
      <c r="B7653" s="77"/>
      <c r="C7653" s="78"/>
      <c r="D7653" s="78"/>
      <c r="E7653" s="78"/>
    </row>
    <row r="7654" spans="1:5">
      <c r="A7654" s="76" t="s">
        <v>2543</v>
      </c>
      <c r="B7654" s="77" t="s">
        <v>135</v>
      </c>
      <c r="C7654" s="78" t="s">
        <v>136</v>
      </c>
      <c r="D7654" s="78" t="s">
        <v>2534</v>
      </c>
      <c r="E7654" s="78" t="s">
        <v>2535</v>
      </c>
    </row>
    <row r="7655" ht="25.5" spans="1:5">
      <c r="A7655" s="76" t="s">
        <v>4192</v>
      </c>
      <c r="B7655" s="77" t="s">
        <v>494</v>
      </c>
      <c r="C7655" s="78">
        <v>1.43e-5</v>
      </c>
      <c r="D7655" s="78">
        <v>778642.87</v>
      </c>
      <c r="E7655" s="78">
        <f>TRUNC(C7655*D7655,2)</f>
        <v>11.13</v>
      </c>
    </row>
    <row r="7656" spans="1:5">
      <c r="A7656" s="76" t="s">
        <v>122</v>
      </c>
      <c r="B7656" s="77"/>
      <c r="C7656" s="78"/>
      <c r="D7656" s="78"/>
      <c r="E7656" s="78">
        <f>SUM(E7655:E7655)</f>
        <v>11.13</v>
      </c>
    </row>
    <row r="7657" spans="1:5">
      <c r="A7657" s="76"/>
      <c r="B7657" s="77"/>
      <c r="C7657" s="78"/>
      <c r="D7657" s="78"/>
      <c r="E7657" s="78"/>
    </row>
    <row r="7658" spans="1:5">
      <c r="A7658" s="76" t="s">
        <v>2538</v>
      </c>
      <c r="B7658" s="77"/>
      <c r="C7658" s="78"/>
      <c r="D7658" s="78"/>
      <c r="E7658" s="78">
        <f>E7656</f>
        <v>11.13</v>
      </c>
    </row>
    <row r="7659" spans="1:5">
      <c r="A7659" s="76" t="s">
        <v>2539</v>
      </c>
      <c r="B7659" s="77"/>
      <c r="C7659" s="78"/>
      <c r="D7659" s="78">
        <v>0</v>
      </c>
      <c r="E7659" s="78">
        <f>TRUNC(D7659*E7658/100,2)</f>
        <v>0</v>
      </c>
    </row>
    <row r="7660" spans="1:5">
      <c r="A7660" s="76" t="s">
        <v>2540</v>
      </c>
      <c r="B7660" s="77"/>
      <c r="C7660" s="78"/>
      <c r="D7660" s="78"/>
      <c r="E7660" s="78">
        <f>E7658+E7659</f>
        <v>11.13</v>
      </c>
    </row>
    <row r="7661" spans="1:5">
      <c r="A7661" s="76"/>
      <c r="B7661" s="77"/>
      <c r="C7661" s="78"/>
      <c r="D7661" s="78"/>
      <c r="E7661" s="78"/>
    </row>
    <row r="7662" spans="1:5">
      <c r="A7662" s="76" t="s">
        <v>3092</v>
      </c>
      <c r="B7662" s="77" t="s">
        <v>4199</v>
      </c>
      <c r="C7662" s="78"/>
      <c r="D7662" s="78"/>
      <c r="E7662" s="78"/>
    </row>
    <row r="7663" ht="25.5" spans="1:5">
      <c r="A7663" s="76" t="s">
        <v>4200</v>
      </c>
      <c r="B7663" s="77"/>
      <c r="C7663" s="78"/>
      <c r="D7663" s="78"/>
      <c r="E7663" s="78"/>
    </row>
    <row r="7664" spans="1:5">
      <c r="A7664" s="76" t="s">
        <v>3091</v>
      </c>
      <c r="B7664" s="77"/>
      <c r="C7664" s="78"/>
      <c r="D7664" s="78"/>
      <c r="E7664" s="78"/>
    </row>
    <row r="7665" spans="1:5">
      <c r="A7665" s="76"/>
      <c r="B7665" s="77"/>
      <c r="C7665" s="78"/>
      <c r="D7665" s="78"/>
      <c r="E7665" s="78"/>
    </row>
    <row r="7666" spans="1:5">
      <c r="A7666" s="76" t="s">
        <v>2543</v>
      </c>
      <c r="B7666" s="77" t="s">
        <v>135</v>
      </c>
      <c r="C7666" s="78" t="s">
        <v>136</v>
      </c>
      <c r="D7666" s="78" t="s">
        <v>2534</v>
      </c>
      <c r="E7666" s="78" t="s">
        <v>2535</v>
      </c>
    </row>
    <row r="7667" ht="25.5" spans="1:5">
      <c r="A7667" s="76" t="s">
        <v>3791</v>
      </c>
      <c r="B7667" s="77" t="s">
        <v>839</v>
      </c>
      <c r="C7667" s="78">
        <v>1</v>
      </c>
      <c r="D7667" s="78">
        <v>26</v>
      </c>
      <c r="E7667" s="78">
        <f>TRUNC(C7667*D7667,2)</f>
        <v>26</v>
      </c>
    </row>
    <row r="7668" ht="38.25" spans="1:5">
      <c r="A7668" s="76" t="s">
        <v>4188</v>
      </c>
      <c r="B7668" s="77" t="s">
        <v>839</v>
      </c>
      <c r="C7668" s="78">
        <v>1</v>
      </c>
      <c r="D7668" s="78">
        <v>41.5</v>
      </c>
      <c r="E7668" s="78">
        <f>TRUNC(C7668*D7668,2)</f>
        <v>41.5</v>
      </c>
    </row>
    <row r="7669" ht="38.25" spans="1:5">
      <c r="A7669" s="76" t="s">
        <v>4189</v>
      </c>
      <c r="B7669" s="77" t="s">
        <v>839</v>
      </c>
      <c r="C7669" s="78">
        <v>1</v>
      </c>
      <c r="D7669" s="78">
        <v>11.13</v>
      </c>
      <c r="E7669" s="78">
        <f>TRUNC(C7669*D7669,2)</f>
        <v>11.13</v>
      </c>
    </row>
    <row r="7670" spans="1:5">
      <c r="A7670" s="76" t="s">
        <v>122</v>
      </c>
      <c r="B7670" s="77"/>
      <c r="C7670" s="78"/>
      <c r="D7670" s="78"/>
      <c r="E7670" s="78">
        <f>SUM(E7667:E7669)</f>
        <v>78.63</v>
      </c>
    </row>
    <row r="7671" spans="1:5">
      <c r="A7671" s="76"/>
      <c r="B7671" s="77"/>
      <c r="C7671" s="78"/>
      <c r="D7671" s="78"/>
      <c r="E7671" s="78"/>
    </row>
    <row r="7672" spans="1:5">
      <c r="A7672" s="76" t="s">
        <v>2538</v>
      </c>
      <c r="B7672" s="77"/>
      <c r="C7672" s="78"/>
      <c r="D7672" s="78"/>
      <c r="E7672" s="78">
        <f>E7670</f>
        <v>78.63</v>
      </c>
    </row>
    <row r="7673" spans="1:5">
      <c r="A7673" s="76" t="s">
        <v>2539</v>
      </c>
      <c r="B7673" s="77"/>
      <c r="C7673" s="78"/>
      <c r="D7673" s="78">
        <v>0</v>
      </c>
      <c r="E7673" s="78">
        <f>TRUNC(D7673*E7672/100,2)</f>
        <v>0</v>
      </c>
    </row>
    <row r="7674" spans="1:5">
      <c r="A7674" s="76" t="s">
        <v>2540</v>
      </c>
      <c r="B7674" s="77"/>
      <c r="C7674" s="78"/>
      <c r="D7674" s="78"/>
      <c r="E7674" s="78">
        <f>E7672+E7673</f>
        <v>78.63</v>
      </c>
    </row>
    <row r="7675" spans="1:5">
      <c r="A7675" s="76"/>
      <c r="B7675" s="77"/>
      <c r="C7675" s="78"/>
      <c r="D7675" s="78"/>
      <c r="E7675" s="78"/>
    </row>
    <row r="7676" spans="1:5">
      <c r="A7676" s="76" t="s">
        <v>3092</v>
      </c>
      <c r="B7676" s="77" t="s">
        <v>4201</v>
      </c>
      <c r="C7676" s="78"/>
      <c r="D7676" s="78"/>
      <c r="E7676" s="78"/>
    </row>
    <row r="7677" ht="25.5" spans="1:5">
      <c r="A7677" s="76" t="s">
        <v>4202</v>
      </c>
      <c r="B7677" s="77"/>
      <c r="C7677" s="78"/>
      <c r="D7677" s="78"/>
      <c r="E7677" s="78"/>
    </row>
    <row r="7678" spans="1:5">
      <c r="A7678" s="76" t="s">
        <v>2563</v>
      </c>
      <c r="B7678" s="77"/>
      <c r="C7678" s="78"/>
      <c r="D7678" s="78"/>
      <c r="E7678" s="78"/>
    </row>
    <row r="7679" spans="1:5">
      <c r="A7679" s="76"/>
      <c r="B7679" s="77"/>
      <c r="C7679" s="78"/>
      <c r="D7679" s="78"/>
      <c r="E7679" s="78"/>
    </row>
    <row r="7680" spans="1:5">
      <c r="A7680" s="76" t="s">
        <v>2543</v>
      </c>
      <c r="B7680" s="77" t="s">
        <v>135</v>
      </c>
      <c r="C7680" s="78" t="s">
        <v>136</v>
      </c>
      <c r="D7680" s="78" t="s">
        <v>2534</v>
      </c>
      <c r="E7680" s="78" t="s">
        <v>2535</v>
      </c>
    </row>
    <row r="7681" spans="1:5">
      <c r="A7681" s="76" t="s">
        <v>2630</v>
      </c>
      <c r="B7681" s="77" t="s">
        <v>839</v>
      </c>
      <c r="C7681" s="78">
        <v>0.2433</v>
      </c>
      <c r="D7681" s="78">
        <v>31.34</v>
      </c>
      <c r="E7681" s="78">
        <f>TRUNC(C7681*D7681,2)</f>
        <v>7.62</v>
      </c>
    </row>
    <row r="7682" ht="25.5" spans="1:5">
      <c r="A7682" s="76" t="s">
        <v>2643</v>
      </c>
      <c r="B7682" s="77" t="s">
        <v>977</v>
      </c>
      <c r="C7682" s="78">
        <v>0.0326</v>
      </c>
      <c r="D7682" s="78">
        <v>213.48</v>
      </c>
      <c r="E7682" s="78">
        <f>TRUNC(C7682*D7682,2)</f>
        <v>6.95</v>
      </c>
    </row>
    <row r="7683" ht="38.25" spans="1:5">
      <c r="A7683" s="76" t="s">
        <v>3078</v>
      </c>
      <c r="B7683" s="77" t="s">
        <v>977</v>
      </c>
      <c r="C7683" s="78">
        <v>0.0524</v>
      </c>
      <c r="D7683" s="78">
        <v>10.87</v>
      </c>
      <c r="E7683" s="78">
        <f>TRUNC(C7683*D7683,2)</f>
        <v>0.56</v>
      </c>
    </row>
    <row r="7684" ht="25.5" spans="1:5">
      <c r="A7684" s="76" t="s">
        <v>2646</v>
      </c>
      <c r="B7684" s="77" t="s">
        <v>979</v>
      </c>
      <c r="C7684" s="78">
        <v>0.0896</v>
      </c>
      <c r="D7684" s="78">
        <v>90.12</v>
      </c>
      <c r="E7684" s="78">
        <f>TRUNC(C7684*D7684,2)</f>
        <v>8.07</v>
      </c>
    </row>
    <row r="7685" ht="38.25" spans="1:5">
      <c r="A7685" s="76" t="s">
        <v>3080</v>
      </c>
      <c r="B7685" s="77" t="s">
        <v>979</v>
      </c>
      <c r="C7685" s="78">
        <v>0.0836</v>
      </c>
      <c r="D7685" s="78">
        <v>1.1</v>
      </c>
      <c r="E7685" s="78">
        <f>TRUNC(C7685*D7685,2)</f>
        <v>0.09</v>
      </c>
    </row>
    <row r="7686" spans="1:5">
      <c r="A7686" s="76" t="s">
        <v>122</v>
      </c>
      <c r="B7686" s="77"/>
      <c r="C7686" s="78"/>
      <c r="D7686" s="78"/>
      <c r="E7686" s="78">
        <f>SUM(E7681:E7685)</f>
        <v>23.29</v>
      </c>
    </row>
    <row r="7687" spans="1:5">
      <c r="A7687" s="76"/>
      <c r="B7687" s="77"/>
      <c r="C7687" s="78"/>
      <c r="D7687" s="78"/>
      <c r="E7687" s="78"/>
    </row>
    <row r="7688" spans="1:5">
      <c r="A7688" s="76" t="s">
        <v>2538</v>
      </c>
      <c r="B7688" s="77"/>
      <c r="C7688" s="78"/>
      <c r="D7688" s="78"/>
      <c r="E7688" s="78">
        <f>E7686</f>
        <v>23.29</v>
      </c>
    </row>
    <row r="7689" spans="1:5">
      <c r="A7689" s="76" t="s">
        <v>2539</v>
      </c>
      <c r="B7689" s="77"/>
      <c r="C7689" s="78"/>
      <c r="D7689" s="78">
        <v>0</v>
      </c>
      <c r="E7689" s="78">
        <f>TRUNC(D7689*E7688/100,2)</f>
        <v>0</v>
      </c>
    </row>
    <row r="7690" spans="1:5">
      <c r="A7690" s="76" t="s">
        <v>2540</v>
      </c>
      <c r="B7690" s="77"/>
      <c r="C7690" s="78"/>
      <c r="D7690" s="78"/>
      <c r="E7690" s="78">
        <f>E7688+E7689</f>
        <v>23.29</v>
      </c>
    </row>
    <row r="7691" spans="1:5">
      <c r="A7691" s="76"/>
      <c r="B7691" s="77"/>
      <c r="C7691" s="78"/>
      <c r="D7691" s="78"/>
      <c r="E7691" s="78"/>
    </row>
    <row r="7692" spans="1:5">
      <c r="A7692" s="76" t="s">
        <v>3092</v>
      </c>
      <c r="B7692" s="77" t="s">
        <v>4203</v>
      </c>
      <c r="C7692" s="78"/>
      <c r="D7692" s="78"/>
      <c r="E7692" s="78"/>
    </row>
    <row r="7693" ht="38.25" spans="1:5">
      <c r="A7693" s="76" t="s">
        <v>4204</v>
      </c>
      <c r="B7693" s="77"/>
      <c r="C7693" s="78"/>
      <c r="D7693" s="78"/>
      <c r="E7693" s="78"/>
    </row>
    <row r="7694" spans="1:5">
      <c r="A7694" s="76" t="s">
        <v>3085</v>
      </c>
      <c r="B7694" s="77"/>
      <c r="C7694" s="78"/>
      <c r="D7694" s="78"/>
      <c r="E7694" s="78"/>
    </row>
    <row r="7695" spans="1:5">
      <c r="A7695" s="76"/>
      <c r="B7695" s="77"/>
      <c r="C7695" s="78"/>
      <c r="D7695" s="78"/>
      <c r="E7695" s="78"/>
    </row>
    <row r="7696" spans="1:5">
      <c r="A7696" s="76" t="s">
        <v>2543</v>
      </c>
      <c r="B7696" s="77" t="s">
        <v>135</v>
      </c>
      <c r="C7696" s="78" t="s">
        <v>136</v>
      </c>
      <c r="D7696" s="78" t="s">
        <v>2534</v>
      </c>
      <c r="E7696" s="78" t="s">
        <v>2535</v>
      </c>
    </row>
    <row r="7697" ht="38.25" spans="1:5">
      <c r="A7697" s="76" t="s">
        <v>4205</v>
      </c>
      <c r="B7697" s="77" t="s">
        <v>839</v>
      </c>
      <c r="C7697" s="78">
        <v>1</v>
      </c>
      <c r="D7697" s="78">
        <v>0.9</v>
      </c>
      <c r="E7697" s="78">
        <f>TRUNC(C7697*D7697,2)</f>
        <v>0.9</v>
      </c>
    </row>
    <row r="7698" ht="51" spans="1:5">
      <c r="A7698" s="76" t="s">
        <v>4206</v>
      </c>
      <c r="B7698" s="77" t="s">
        <v>839</v>
      </c>
      <c r="C7698" s="78">
        <v>1</v>
      </c>
      <c r="D7698" s="78">
        <v>8.64</v>
      </c>
      <c r="E7698" s="78">
        <f>TRUNC(C7698*D7698,2)</f>
        <v>8.64</v>
      </c>
    </row>
    <row r="7699" ht="38.25" spans="1:5">
      <c r="A7699" s="76" t="s">
        <v>4207</v>
      </c>
      <c r="B7699" s="77" t="s">
        <v>839</v>
      </c>
      <c r="C7699" s="78">
        <v>1</v>
      </c>
      <c r="D7699" s="78">
        <v>1.13</v>
      </c>
      <c r="E7699" s="78">
        <f>TRUNC(C7699*D7699,2)</f>
        <v>1.13</v>
      </c>
    </row>
    <row r="7700" ht="38.25" spans="1:5">
      <c r="A7700" s="76" t="s">
        <v>4208</v>
      </c>
      <c r="B7700" s="77" t="s">
        <v>839</v>
      </c>
      <c r="C7700" s="78">
        <v>1</v>
      </c>
      <c r="D7700" s="78">
        <v>0.2</v>
      </c>
      <c r="E7700" s="78">
        <f>TRUNC(C7700*D7700,2)</f>
        <v>0.2</v>
      </c>
    </row>
    <row r="7701" spans="1:5">
      <c r="A7701" s="76" t="s">
        <v>122</v>
      </c>
      <c r="B7701" s="77"/>
      <c r="C7701" s="78"/>
      <c r="D7701" s="78"/>
      <c r="E7701" s="78">
        <f>SUM(E7697:E7700)</f>
        <v>10.87</v>
      </c>
    </row>
    <row r="7702" spans="1:5">
      <c r="A7702" s="76"/>
      <c r="B7702" s="77"/>
      <c r="C7702" s="78"/>
      <c r="D7702" s="78"/>
      <c r="E7702" s="78"/>
    </row>
    <row r="7703" spans="1:5">
      <c r="A7703" s="76" t="s">
        <v>2538</v>
      </c>
      <c r="B7703" s="77"/>
      <c r="C7703" s="78"/>
      <c r="D7703" s="78"/>
      <c r="E7703" s="78">
        <f>E7701</f>
        <v>10.87</v>
      </c>
    </row>
    <row r="7704" spans="1:5">
      <c r="A7704" s="76" t="s">
        <v>2539</v>
      </c>
      <c r="B7704" s="77"/>
      <c r="C7704" s="78"/>
      <c r="D7704" s="78">
        <v>0</v>
      </c>
      <c r="E7704" s="78">
        <f>TRUNC(D7704*E7703/100,2)</f>
        <v>0</v>
      </c>
    </row>
    <row r="7705" spans="1:5">
      <c r="A7705" s="76" t="s">
        <v>2540</v>
      </c>
      <c r="B7705" s="77"/>
      <c r="C7705" s="78"/>
      <c r="D7705" s="78"/>
      <c r="E7705" s="78">
        <f>E7703+E7704</f>
        <v>10.87</v>
      </c>
    </row>
    <row r="7706" spans="1:5">
      <c r="A7706" s="76"/>
      <c r="B7706" s="77"/>
      <c r="C7706" s="78"/>
      <c r="D7706" s="78"/>
      <c r="E7706" s="78"/>
    </row>
    <row r="7707" spans="1:5">
      <c r="A7707" s="76" t="s">
        <v>3092</v>
      </c>
      <c r="B7707" s="77" t="s">
        <v>4209</v>
      </c>
      <c r="C7707" s="78"/>
      <c r="D7707" s="78"/>
      <c r="E7707" s="78"/>
    </row>
    <row r="7708" ht="38.25" spans="1:5">
      <c r="A7708" s="76" t="s">
        <v>4210</v>
      </c>
      <c r="B7708" s="77"/>
      <c r="C7708" s="78"/>
      <c r="D7708" s="78"/>
      <c r="E7708" s="78"/>
    </row>
    <row r="7709" spans="1:5">
      <c r="A7709" s="76" t="s">
        <v>2764</v>
      </c>
      <c r="B7709" s="77"/>
      <c r="C7709" s="78"/>
      <c r="D7709" s="78"/>
      <c r="E7709" s="78"/>
    </row>
    <row r="7710" spans="1:5">
      <c r="A7710" s="76"/>
      <c r="B7710" s="77"/>
      <c r="C7710" s="78"/>
      <c r="D7710" s="78"/>
      <c r="E7710" s="78"/>
    </row>
    <row r="7711" spans="1:5">
      <c r="A7711" s="76" t="s">
        <v>2543</v>
      </c>
      <c r="B7711" s="77" t="s">
        <v>135</v>
      </c>
      <c r="C7711" s="78" t="s">
        <v>136</v>
      </c>
      <c r="D7711" s="78" t="s">
        <v>2534</v>
      </c>
      <c r="E7711" s="78" t="s">
        <v>2535</v>
      </c>
    </row>
    <row r="7712" ht="38.25" spans="1:5">
      <c r="A7712" s="76" t="s">
        <v>4211</v>
      </c>
      <c r="B7712" s="77" t="s">
        <v>494</v>
      </c>
      <c r="C7712" s="78">
        <v>6.4e-5</v>
      </c>
      <c r="D7712" s="78">
        <v>13815.56</v>
      </c>
      <c r="E7712" s="78">
        <f>TRUNC(C7712*D7712,2)</f>
        <v>0.88</v>
      </c>
    </row>
    <row r="7713" ht="25.5" spans="1:5">
      <c r="A7713" s="76" t="s">
        <v>4212</v>
      </c>
      <c r="B7713" s="77" t="s">
        <v>494</v>
      </c>
      <c r="C7713" s="78">
        <v>6.4e-5</v>
      </c>
      <c r="D7713" s="78">
        <v>411.72</v>
      </c>
      <c r="E7713" s="78">
        <f>TRUNC(C7713*D7713,2)</f>
        <v>0.02</v>
      </c>
    </row>
    <row r="7714" spans="1:5">
      <c r="A7714" s="76" t="s">
        <v>122</v>
      </c>
      <c r="B7714" s="77"/>
      <c r="C7714" s="78"/>
      <c r="D7714" s="78"/>
      <c r="E7714" s="78">
        <f>SUM(E7712:E7713)</f>
        <v>0.9</v>
      </c>
    </row>
    <row r="7715" spans="1:5">
      <c r="A7715" s="76"/>
      <c r="B7715" s="77"/>
      <c r="C7715" s="78"/>
      <c r="D7715" s="78"/>
      <c r="E7715" s="78"/>
    </row>
    <row r="7716" spans="1:5">
      <c r="A7716" s="76" t="s">
        <v>2538</v>
      </c>
      <c r="B7716" s="77"/>
      <c r="C7716" s="78"/>
      <c r="D7716" s="78"/>
      <c r="E7716" s="78">
        <f>E7714</f>
        <v>0.9</v>
      </c>
    </row>
    <row r="7717" spans="1:5">
      <c r="A7717" s="76" t="s">
        <v>2539</v>
      </c>
      <c r="B7717" s="77"/>
      <c r="C7717" s="78"/>
      <c r="D7717" s="78">
        <v>0</v>
      </c>
      <c r="E7717" s="78">
        <f>TRUNC(D7717*E7716/100,2)</f>
        <v>0</v>
      </c>
    </row>
    <row r="7718" spans="1:5">
      <c r="A7718" s="76" t="s">
        <v>2540</v>
      </c>
      <c r="B7718" s="77"/>
      <c r="C7718" s="78"/>
      <c r="D7718" s="78"/>
      <c r="E7718" s="78">
        <f>E7716+E7717</f>
        <v>0.9</v>
      </c>
    </row>
    <row r="7719" spans="1:5">
      <c r="A7719" s="76"/>
      <c r="B7719" s="77"/>
      <c r="C7719" s="78"/>
      <c r="D7719" s="78"/>
      <c r="E7719" s="78"/>
    </row>
    <row r="7720" spans="1:5">
      <c r="A7720" s="76" t="s">
        <v>3092</v>
      </c>
      <c r="B7720" s="77" t="s">
        <v>4213</v>
      </c>
      <c r="C7720" s="78"/>
      <c r="D7720" s="78"/>
      <c r="E7720" s="78"/>
    </row>
    <row r="7721" ht="38.25" spans="1:5">
      <c r="A7721" s="76" t="s">
        <v>4214</v>
      </c>
      <c r="B7721" s="77"/>
      <c r="C7721" s="78"/>
      <c r="D7721" s="78"/>
      <c r="E7721" s="78"/>
    </row>
    <row r="7722" spans="1:5">
      <c r="A7722" s="76" t="s">
        <v>2764</v>
      </c>
      <c r="B7722" s="77"/>
      <c r="C7722" s="78"/>
      <c r="D7722" s="78"/>
      <c r="E7722" s="78"/>
    </row>
    <row r="7723" spans="1:5">
      <c r="A7723" s="76"/>
      <c r="B7723" s="77"/>
      <c r="C7723" s="78"/>
      <c r="D7723" s="78"/>
      <c r="E7723" s="78"/>
    </row>
    <row r="7724" spans="1:5">
      <c r="A7724" s="76" t="s">
        <v>2543</v>
      </c>
      <c r="B7724" s="77" t="s">
        <v>135</v>
      </c>
      <c r="C7724" s="78" t="s">
        <v>136</v>
      </c>
      <c r="D7724" s="78" t="s">
        <v>2534</v>
      </c>
      <c r="E7724" s="78" t="s">
        <v>2535</v>
      </c>
    </row>
    <row r="7725" spans="1:5">
      <c r="A7725" s="76" t="s">
        <v>3366</v>
      </c>
      <c r="B7725" s="77" t="s">
        <v>215</v>
      </c>
      <c r="C7725" s="78">
        <v>1.45</v>
      </c>
      <c r="D7725" s="78">
        <v>5.96</v>
      </c>
      <c r="E7725" s="78">
        <f>TRUNC(C7725*D7725,2)</f>
        <v>8.64</v>
      </c>
    </row>
    <row r="7726" spans="1:5">
      <c r="A7726" s="76" t="s">
        <v>122</v>
      </c>
      <c r="B7726" s="77"/>
      <c r="C7726" s="78"/>
      <c r="D7726" s="78"/>
      <c r="E7726" s="78">
        <f>SUM(E7725:E7725)</f>
        <v>8.64</v>
      </c>
    </row>
    <row r="7727" spans="1:5">
      <c r="A7727" s="76"/>
      <c r="B7727" s="77"/>
      <c r="C7727" s="78"/>
      <c r="D7727" s="78"/>
      <c r="E7727" s="78"/>
    </row>
    <row r="7728" spans="1:5">
      <c r="A7728" s="76" t="s">
        <v>2538</v>
      </c>
      <c r="B7728" s="77"/>
      <c r="C7728" s="78"/>
      <c r="D7728" s="78"/>
      <c r="E7728" s="78">
        <f>E7726</f>
        <v>8.64</v>
      </c>
    </row>
    <row r="7729" spans="1:5">
      <c r="A7729" s="76" t="s">
        <v>2539</v>
      </c>
      <c r="B7729" s="77"/>
      <c r="C7729" s="78"/>
      <c r="D7729" s="78">
        <v>0</v>
      </c>
      <c r="E7729" s="78">
        <f>TRUNC(D7729*E7728/100,2)</f>
        <v>0</v>
      </c>
    </row>
    <row r="7730" spans="1:5">
      <c r="A7730" s="76" t="s">
        <v>2540</v>
      </c>
      <c r="B7730" s="77"/>
      <c r="C7730" s="78"/>
      <c r="D7730" s="78"/>
      <c r="E7730" s="78">
        <f>E7728+E7729</f>
        <v>8.64</v>
      </c>
    </row>
    <row r="7731" spans="1:5">
      <c r="A7731" s="76"/>
      <c r="B7731" s="77"/>
      <c r="C7731" s="78"/>
      <c r="D7731" s="78"/>
      <c r="E7731" s="78"/>
    </row>
    <row r="7732" spans="1:5">
      <c r="A7732" s="76" t="s">
        <v>3092</v>
      </c>
      <c r="B7732" s="77" t="s">
        <v>4215</v>
      </c>
      <c r="C7732" s="78"/>
      <c r="D7732" s="78"/>
      <c r="E7732" s="78"/>
    </row>
    <row r="7733" ht="38.25" spans="1:5">
      <c r="A7733" s="76" t="s">
        <v>4216</v>
      </c>
      <c r="B7733" s="77"/>
      <c r="C7733" s="78"/>
      <c r="D7733" s="78"/>
      <c r="E7733" s="78"/>
    </row>
    <row r="7734" spans="1:5">
      <c r="A7734" s="76" t="s">
        <v>2764</v>
      </c>
      <c r="B7734" s="77"/>
      <c r="C7734" s="78"/>
      <c r="D7734" s="78"/>
      <c r="E7734" s="78"/>
    </row>
    <row r="7735" spans="1:5">
      <c r="A7735" s="76"/>
      <c r="B7735" s="77"/>
      <c r="C7735" s="78"/>
      <c r="D7735" s="78"/>
      <c r="E7735" s="78"/>
    </row>
    <row r="7736" spans="1:5">
      <c r="A7736" s="76" t="s">
        <v>2543</v>
      </c>
      <c r="B7736" s="77" t="s">
        <v>135</v>
      </c>
      <c r="C7736" s="78" t="s">
        <v>136</v>
      </c>
      <c r="D7736" s="78" t="s">
        <v>2534</v>
      </c>
      <c r="E7736" s="78" t="s">
        <v>2535</v>
      </c>
    </row>
    <row r="7737" ht="38.25" spans="1:5">
      <c r="A7737" s="76" t="s">
        <v>4211</v>
      </c>
      <c r="B7737" s="77" t="s">
        <v>494</v>
      </c>
      <c r="C7737" s="78">
        <v>8e-5</v>
      </c>
      <c r="D7737" s="78">
        <v>13815.56</v>
      </c>
      <c r="E7737" s="78">
        <f>TRUNC(C7737*D7737,2)</f>
        <v>1.1</v>
      </c>
    </row>
    <row r="7738" ht="25.5" spans="1:5">
      <c r="A7738" s="76" t="s">
        <v>4212</v>
      </c>
      <c r="B7738" s="77" t="s">
        <v>494</v>
      </c>
      <c r="C7738" s="78">
        <v>8e-5</v>
      </c>
      <c r="D7738" s="78">
        <v>411.72</v>
      </c>
      <c r="E7738" s="78">
        <f>TRUNC(C7738*D7738,2)</f>
        <v>0.03</v>
      </c>
    </row>
    <row r="7739" spans="1:5">
      <c r="A7739" s="76" t="s">
        <v>122</v>
      </c>
      <c r="B7739" s="77"/>
      <c r="C7739" s="78"/>
      <c r="D7739" s="78"/>
      <c r="E7739" s="78">
        <f>SUM(E7737:E7738)</f>
        <v>1.13</v>
      </c>
    </row>
    <row r="7740" spans="1:5">
      <c r="A7740" s="76"/>
      <c r="B7740" s="77"/>
      <c r="C7740" s="78"/>
      <c r="D7740" s="78"/>
      <c r="E7740" s="78"/>
    </row>
    <row r="7741" spans="1:5">
      <c r="A7741" s="76" t="s">
        <v>2538</v>
      </c>
      <c r="B7741" s="77"/>
      <c r="C7741" s="78"/>
      <c r="D7741" s="78"/>
      <c r="E7741" s="78">
        <f>E7739</f>
        <v>1.13</v>
      </c>
    </row>
    <row r="7742" spans="1:5">
      <c r="A7742" s="76" t="s">
        <v>2539</v>
      </c>
      <c r="B7742" s="77"/>
      <c r="C7742" s="78"/>
      <c r="D7742" s="78">
        <v>0</v>
      </c>
      <c r="E7742" s="78">
        <f>TRUNC(D7742*E7741/100,2)</f>
        <v>0</v>
      </c>
    </row>
    <row r="7743" spans="1:5">
      <c r="A7743" s="76" t="s">
        <v>2540</v>
      </c>
      <c r="B7743" s="77"/>
      <c r="C7743" s="78"/>
      <c r="D7743" s="78"/>
      <c r="E7743" s="78">
        <f>E7741+E7742</f>
        <v>1.13</v>
      </c>
    </row>
    <row r="7744" spans="1:5">
      <c r="A7744" s="76"/>
      <c r="B7744" s="77"/>
      <c r="C7744" s="78"/>
      <c r="D7744" s="78"/>
      <c r="E7744" s="78"/>
    </row>
    <row r="7745" spans="1:5">
      <c r="A7745" s="76" t="s">
        <v>3092</v>
      </c>
      <c r="B7745" s="77" t="s">
        <v>4217</v>
      </c>
      <c r="C7745" s="78"/>
      <c r="D7745" s="78"/>
      <c r="E7745" s="78"/>
    </row>
    <row r="7746" ht="38.25" spans="1:5">
      <c r="A7746" s="76" t="s">
        <v>4218</v>
      </c>
      <c r="B7746" s="77"/>
      <c r="C7746" s="78"/>
      <c r="D7746" s="78"/>
      <c r="E7746" s="78"/>
    </row>
    <row r="7747" spans="1:5">
      <c r="A7747" s="76" t="s">
        <v>2764</v>
      </c>
      <c r="B7747" s="77"/>
      <c r="C7747" s="78"/>
      <c r="D7747" s="78"/>
      <c r="E7747" s="78"/>
    </row>
    <row r="7748" spans="1:5">
      <c r="A7748" s="76"/>
      <c r="B7748" s="77"/>
      <c r="C7748" s="78"/>
      <c r="D7748" s="78"/>
      <c r="E7748" s="78"/>
    </row>
    <row r="7749" spans="1:5">
      <c r="A7749" s="76" t="s">
        <v>2543</v>
      </c>
      <c r="B7749" s="77" t="s">
        <v>135</v>
      </c>
      <c r="C7749" s="78" t="s">
        <v>136</v>
      </c>
      <c r="D7749" s="78" t="s">
        <v>2534</v>
      </c>
      <c r="E7749" s="78" t="s">
        <v>2535</v>
      </c>
    </row>
    <row r="7750" ht="38.25" spans="1:5">
      <c r="A7750" s="76" t="s">
        <v>4211</v>
      </c>
      <c r="B7750" s="77" t="s">
        <v>494</v>
      </c>
      <c r="C7750" s="78">
        <v>1.48e-5</v>
      </c>
      <c r="D7750" s="78">
        <v>13815.56</v>
      </c>
      <c r="E7750" s="78">
        <f>TRUNC(C7750*D7750,2)</f>
        <v>0.2</v>
      </c>
    </row>
    <row r="7751" spans="1:5">
      <c r="A7751" s="76" t="s">
        <v>122</v>
      </c>
      <c r="B7751" s="77"/>
      <c r="C7751" s="78"/>
      <c r="D7751" s="78"/>
      <c r="E7751" s="78">
        <f>SUM(E7750:E7750)</f>
        <v>0.2</v>
      </c>
    </row>
    <row r="7752" spans="1:5">
      <c r="A7752" s="76"/>
      <c r="B7752" s="77"/>
      <c r="C7752" s="78"/>
      <c r="D7752" s="78"/>
      <c r="E7752" s="78"/>
    </row>
    <row r="7753" spans="1:5">
      <c r="A7753" s="76" t="s">
        <v>2538</v>
      </c>
      <c r="B7753" s="77"/>
      <c r="C7753" s="78"/>
      <c r="D7753" s="78"/>
      <c r="E7753" s="78">
        <f>E7751</f>
        <v>0.2</v>
      </c>
    </row>
    <row r="7754" spans="1:5">
      <c r="A7754" s="76" t="s">
        <v>2539</v>
      </c>
      <c r="B7754" s="77"/>
      <c r="C7754" s="78"/>
      <c r="D7754" s="78">
        <v>0</v>
      </c>
      <c r="E7754" s="78">
        <f>TRUNC(D7754*E7753/100,2)</f>
        <v>0</v>
      </c>
    </row>
    <row r="7755" spans="1:5">
      <c r="A7755" s="76" t="s">
        <v>2540</v>
      </c>
      <c r="B7755" s="77"/>
      <c r="C7755" s="78"/>
      <c r="D7755" s="78"/>
      <c r="E7755" s="78">
        <f>E7753+E7754</f>
        <v>0.2</v>
      </c>
    </row>
    <row r="7756" spans="1:5">
      <c r="A7756" s="76"/>
      <c r="B7756" s="77"/>
      <c r="C7756" s="78"/>
      <c r="D7756" s="78"/>
      <c r="E7756" s="78"/>
    </row>
    <row r="7757" spans="1:5">
      <c r="A7757" s="76" t="s">
        <v>3092</v>
      </c>
      <c r="B7757" s="77" t="s">
        <v>4219</v>
      </c>
      <c r="C7757" s="78"/>
      <c r="D7757" s="78"/>
      <c r="E7757" s="78"/>
    </row>
    <row r="7758" ht="38.25" spans="1:5">
      <c r="A7758" s="76" t="s">
        <v>4220</v>
      </c>
      <c r="B7758" s="77"/>
      <c r="C7758" s="78"/>
      <c r="D7758" s="78"/>
      <c r="E7758" s="78"/>
    </row>
    <row r="7759" spans="1:5">
      <c r="A7759" s="76" t="s">
        <v>3091</v>
      </c>
      <c r="B7759" s="77"/>
      <c r="C7759" s="78"/>
      <c r="D7759" s="78"/>
      <c r="E7759" s="78"/>
    </row>
    <row r="7760" spans="1:5">
      <c r="A7760" s="76"/>
      <c r="B7760" s="77"/>
      <c r="C7760" s="78"/>
      <c r="D7760" s="78"/>
      <c r="E7760" s="78"/>
    </row>
    <row r="7761" spans="1:5">
      <c r="A7761" s="76" t="s">
        <v>2543</v>
      </c>
      <c r="B7761" s="77" t="s">
        <v>135</v>
      </c>
      <c r="C7761" s="78" t="s">
        <v>136</v>
      </c>
      <c r="D7761" s="78" t="s">
        <v>2534</v>
      </c>
      <c r="E7761" s="78" t="s">
        <v>2535</v>
      </c>
    </row>
    <row r="7762" ht="38.25" spans="1:5">
      <c r="A7762" s="76" t="s">
        <v>4205</v>
      </c>
      <c r="B7762" s="77" t="s">
        <v>839</v>
      </c>
      <c r="C7762" s="78">
        <v>1</v>
      </c>
      <c r="D7762" s="78">
        <v>0.9</v>
      </c>
      <c r="E7762" s="78">
        <f>TRUNC(C7762*D7762,2)</f>
        <v>0.9</v>
      </c>
    </row>
    <row r="7763" ht="38.25" spans="1:5">
      <c r="A7763" s="76" t="s">
        <v>4208</v>
      </c>
      <c r="B7763" s="77" t="s">
        <v>839</v>
      </c>
      <c r="C7763" s="78">
        <v>1</v>
      </c>
      <c r="D7763" s="78">
        <v>0.2</v>
      </c>
      <c r="E7763" s="78">
        <f>TRUNC(C7763*D7763,2)</f>
        <v>0.2</v>
      </c>
    </row>
    <row r="7764" spans="1:5">
      <c r="A7764" s="76" t="s">
        <v>122</v>
      </c>
      <c r="B7764" s="77"/>
      <c r="C7764" s="78"/>
      <c r="D7764" s="78"/>
      <c r="E7764" s="78">
        <f>SUM(E7762:E7763)</f>
        <v>1.1</v>
      </c>
    </row>
    <row r="7765" spans="1:5">
      <c r="A7765" s="76"/>
      <c r="B7765" s="77"/>
      <c r="C7765" s="78"/>
      <c r="D7765" s="78"/>
      <c r="E7765" s="78"/>
    </row>
    <row r="7766" spans="1:5">
      <c r="A7766" s="76" t="s">
        <v>2538</v>
      </c>
      <c r="B7766" s="77"/>
      <c r="C7766" s="78"/>
      <c r="D7766" s="78"/>
      <c r="E7766" s="78">
        <f>E7764</f>
        <v>1.1</v>
      </c>
    </row>
    <row r="7767" spans="1:5">
      <c r="A7767" s="76" t="s">
        <v>2539</v>
      </c>
      <c r="B7767" s="77"/>
      <c r="C7767" s="78"/>
      <c r="D7767" s="78">
        <v>0</v>
      </c>
      <c r="E7767" s="78">
        <f>TRUNC(D7767*E7766/100,2)</f>
        <v>0</v>
      </c>
    </row>
    <row r="7768" spans="1:5">
      <c r="A7768" s="76" t="s">
        <v>2540</v>
      </c>
      <c r="B7768" s="77"/>
      <c r="C7768" s="78"/>
      <c r="D7768" s="78"/>
      <c r="E7768" s="78">
        <f>E7766+E7767</f>
        <v>1.1</v>
      </c>
    </row>
    <row r="7769" spans="1:5">
      <c r="A7769" s="76"/>
      <c r="B7769" s="77"/>
      <c r="C7769" s="78"/>
      <c r="D7769" s="78"/>
      <c r="E7769" s="78"/>
    </row>
    <row r="7770" spans="1:5">
      <c r="A7770" s="76" t="s">
        <v>3092</v>
      </c>
      <c r="B7770" s="77" t="s">
        <v>4221</v>
      </c>
      <c r="C7770" s="78"/>
      <c r="D7770" s="78"/>
      <c r="E7770" s="78"/>
    </row>
    <row r="7771" ht="25.5" spans="1:5">
      <c r="A7771" s="76" t="s">
        <v>4222</v>
      </c>
      <c r="B7771" s="77"/>
      <c r="C7771" s="78"/>
      <c r="D7771" s="78"/>
      <c r="E7771" s="78"/>
    </row>
    <row r="7772" spans="1:5">
      <c r="A7772" s="76" t="s">
        <v>3085</v>
      </c>
      <c r="B7772" s="77"/>
      <c r="C7772" s="78"/>
      <c r="D7772" s="78"/>
      <c r="E7772" s="78"/>
    </row>
    <row r="7773" spans="1:5">
      <c r="A7773" s="76"/>
      <c r="B7773" s="77"/>
      <c r="C7773" s="78"/>
      <c r="D7773" s="78"/>
      <c r="E7773" s="78"/>
    </row>
    <row r="7774" spans="1:5">
      <c r="A7774" s="76" t="s">
        <v>2543</v>
      </c>
      <c r="B7774" s="77" t="s">
        <v>135</v>
      </c>
      <c r="C7774" s="78" t="s">
        <v>136</v>
      </c>
      <c r="D7774" s="78" t="s">
        <v>2534</v>
      </c>
      <c r="E7774" s="78" t="s">
        <v>2535</v>
      </c>
    </row>
    <row r="7775" ht="25.5" spans="1:5">
      <c r="A7775" s="76" t="s">
        <v>4223</v>
      </c>
      <c r="B7775" s="77" t="s">
        <v>839</v>
      </c>
      <c r="C7775" s="78">
        <v>1</v>
      </c>
      <c r="D7775" s="78">
        <v>40.18</v>
      </c>
      <c r="E7775" s="78">
        <f>TRUNC(C7775*D7775,2)</f>
        <v>40.18</v>
      </c>
    </row>
    <row r="7776" ht="38.25" spans="1:5">
      <c r="A7776" s="76" t="s">
        <v>4224</v>
      </c>
      <c r="B7776" s="77" t="s">
        <v>839</v>
      </c>
      <c r="C7776" s="78">
        <v>1</v>
      </c>
      <c r="D7776" s="78">
        <v>82.96</v>
      </c>
      <c r="E7776" s="78">
        <f>TRUNC(C7776*D7776,2)</f>
        <v>82.96</v>
      </c>
    </row>
    <row r="7777" ht="25.5" spans="1:5">
      <c r="A7777" s="76" t="s">
        <v>4225</v>
      </c>
      <c r="B7777" s="77" t="s">
        <v>839</v>
      </c>
      <c r="C7777" s="78">
        <v>1</v>
      </c>
      <c r="D7777" s="78">
        <v>73.94</v>
      </c>
      <c r="E7777" s="78">
        <f>TRUNC(C7777*D7777,2)</f>
        <v>73.94</v>
      </c>
    </row>
    <row r="7778" ht="38.25" spans="1:5">
      <c r="A7778" s="76" t="s">
        <v>4226</v>
      </c>
      <c r="B7778" s="77" t="s">
        <v>839</v>
      </c>
      <c r="C7778" s="78">
        <v>1</v>
      </c>
      <c r="D7778" s="78">
        <v>46</v>
      </c>
      <c r="E7778" s="78">
        <f>TRUNC(C7778*D7778,2)</f>
        <v>46</v>
      </c>
    </row>
    <row r="7779" ht="25.5" spans="1:5">
      <c r="A7779" s="76" t="s">
        <v>4227</v>
      </c>
      <c r="B7779" s="77" t="s">
        <v>839</v>
      </c>
      <c r="C7779" s="78">
        <v>1</v>
      </c>
      <c r="D7779" s="78">
        <v>16.21</v>
      </c>
      <c r="E7779" s="78">
        <f>TRUNC(C7779*D7779,2)</f>
        <v>16.21</v>
      </c>
    </row>
    <row r="7780" spans="1:5">
      <c r="A7780" s="76" t="s">
        <v>122</v>
      </c>
      <c r="B7780" s="77"/>
      <c r="C7780" s="78"/>
      <c r="D7780" s="78"/>
      <c r="E7780" s="78">
        <f>SUM(E7775:E7779)</f>
        <v>259.29</v>
      </c>
    </row>
    <row r="7781" spans="1:5">
      <c r="A7781" s="76"/>
      <c r="B7781" s="77"/>
      <c r="C7781" s="78"/>
      <c r="D7781" s="78"/>
      <c r="E7781" s="78"/>
    </row>
    <row r="7782" spans="1:5">
      <c r="A7782" s="76" t="s">
        <v>2538</v>
      </c>
      <c r="B7782" s="77"/>
      <c r="C7782" s="78"/>
      <c r="D7782" s="78"/>
      <c r="E7782" s="78">
        <f>E7780</f>
        <v>259.29</v>
      </c>
    </row>
    <row r="7783" spans="1:5">
      <c r="A7783" s="76" t="s">
        <v>2539</v>
      </c>
      <c r="B7783" s="77"/>
      <c r="C7783" s="78"/>
      <c r="D7783" s="78">
        <v>0</v>
      </c>
      <c r="E7783" s="78">
        <f>TRUNC(D7783*E7782/100,2)</f>
        <v>0</v>
      </c>
    </row>
    <row r="7784" spans="1:5">
      <c r="A7784" s="76" t="s">
        <v>2540</v>
      </c>
      <c r="B7784" s="77"/>
      <c r="C7784" s="78"/>
      <c r="D7784" s="78"/>
      <c r="E7784" s="78">
        <f>E7782+E7783</f>
        <v>259.29</v>
      </c>
    </row>
    <row r="7785" spans="1:5">
      <c r="A7785" s="76"/>
      <c r="B7785" s="77"/>
      <c r="C7785" s="78"/>
      <c r="D7785" s="78"/>
      <c r="E7785" s="78"/>
    </row>
    <row r="7786" spans="1:5">
      <c r="A7786" s="76" t="s">
        <v>3092</v>
      </c>
      <c r="B7786" s="77" t="s">
        <v>4228</v>
      </c>
      <c r="C7786" s="78"/>
      <c r="D7786" s="78"/>
      <c r="E7786" s="78"/>
    </row>
    <row r="7787" spans="1:5">
      <c r="A7787" s="76" t="s">
        <v>4229</v>
      </c>
      <c r="B7787" s="77"/>
      <c r="C7787" s="78"/>
      <c r="D7787" s="78"/>
      <c r="E7787" s="78"/>
    </row>
    <row r="7788" spans="1:5">
      <c r="A7788" s="76" t="s">
        <v>2764</v>
      </c>
      <c r="B7788" s="77"/>
      <c r="C7788" s="78"/>
      <c r="D7788" s="78"/>
      <c r="E7788" s="78"/>
    </row>
    <row r="7789" spans="1:5">
      <c r="A7789" s="76"/>
      <c r="B7789" s="77"/>
      <c r="C7789" s="78"/>
      <c r="D7789" s="78"/>
      <c r="E7789" s="78"/>
    </row>
    <row r="7790" spans="1:5">
      <c r="A7790" s="76" t="s">
        <v>279</v>
      </c>
      <c r="B7790" s="77" t="s">
        <v>135</v>
      </c>
      <c r="C7790" s="78" t="s">
        <v>136</v>
      </c>
      <c r="D7790" s="78" t="s">
        <v>2534</v>
      </c>
      <c r="E7790" s="78" t="s">
        <v>2535</v>
      </c>
    </row>
    <row r="7791" ht="25.5" spans="1:5">
      <c r="A7791" s="76" t="s">
        <v>3111</v>
      </c>
      <c r="B7791" s="77" t="s">
        <v>839</v>
      </c>
      <c r="C7791" s="78">
        <v>1</v>
      </c>
      <c r="D7791" s="78">
        <v>1.5</v>
      </c>
      <c r="E7791" s="78">
        <f>TRUNC(C7791*D7791,2)</f>
        <v>1.5</v>
      </c>
    </row>
    <row r="7792" spans="1:5">
      <c r="A7792" s="76" t="s">
        <v>122</v>
      </c>
      <c r="B7792" s="77"/>
      <c r="C7792" s="78"/>
      <c r="D7792" s="78"/>
      <c r="E7792" s="78">
        <f>SUM(E7791:E7791)</f>
        <v>1.5</v>
      </c>
    </row>
    <row r="7793" spans="1:5">
      <c r="A7793" s="76"/>
      <c r="B7793" s="77"/>
      <c r="C7793" s="78"/>
      <c r="D7793" s="78"/>
      <c r="E7793" s="78"/>
    </row>
    <row r="7794" spans="1:5">
      <c r="A7794" s="76" t="s">
        <v>280</v>
      </c>
      <c r="B7794" s="77" t="s">
        <v>135</v>
      </c>
      <c r="C7794" s="78" t="s">
        <v>136</v>
      </c>
      <c r="D7794" s="78" t="s">
        <v>2534</v>
      </c>
      <c r="E7794" s="78" t="s">
        <v>2535</v>
      </c>
    </row>
    <row r="7795" ht="25.5" spans="1:5">
      <c r="A7795" s="76" t="s">
        <v>3112</v>
      </c>
      <c r="B7795" s="77" t="s">
        <v>839</v>
      </c>
      <c r="C7795" s="78">
        <v>1</v>
      </c>
      <c r="D7795" s="78">
        <v>3.95</v>
      </c>
      <c r="E7795" s="78">
        <f>TRUNC(C7795*D7795,2)</f>
        <v>3.95</v>
      </c>
    </row>
    <row r="7796" spans="1:5">
      <c r="A7796" s="76" t="s">
        <v>4230</v>
      </c>
      <c r="B7796" s="77" t="s">
        <v>839</v>
      </c>
      <c r="C7796" s="78">
        <v>1</v>
      </c>
      <c r="D7796" s="78">
        <v>32.06</v>
      </c>
      <c r="E7796" s="78">
        <f>TRUNC(C7796*D7796,2)</f>
        <v>32.06</v>
      </c>
    </row>
    <row r="7797" ht="25.5" spans="1:5">
      <c r="A7797" s="76" t="s">
        <v>3113</v>
      </c>
      <c r="B7797" s="77" t="s">
        <v>839</v>
      </c>
      <c r="C7797" s="78">
        <v>1</v>
      </c>
      <c r="D7797" s="78">
        <v>0.08</v>
      </c>
      <c r="E7797" s="78">
        <f>TRUNC(C7797*D7797,2)</f>
        <v>0.08</v>
      </c>
    </row>
    <row r="7798" spans="1:5">
      <c r="A7798" s="76" t="s">
        <v>122</v>
      </c>
      <c r="B7798" s="77"/>
      <c r="C7798" s="78"/>
      <c r="D7798" s="78"/>
      <c r="E7798" s="78">
        <f>SUM(E7795:E7797)</f>
        <v>36.09</v>
      </c>
    </row>
    <row r="7799" spans="1:5">
      <c r="A7799" s="76" t="s">
        <v>117</v>
      </c>
      <c r="B7799" s="77"/>
      <c r="C7799" s="78"/>
      <c r="D7799" s="78"/>
      <c r="E7799" s="78" t="str">
        <f>"0"</f>
        <v>0</v>
      </c>
    </row>
    <row r="7800" spans="1:5">
      <c r="A7800" s="76" t="s">
        <v>2537</v>
      </c>
      <c r="B7800" s="77"/>
      <c r="C7800" s="78"/>
      <c r="D7800" s="78"/>
      <c r="E7800" s="78">
        <f>E7798+E7799</f>
        <v>36.09</v>
      </c>
    </row>
    <row r="7801" spans="1:5">
      <c r="A7801" s="76"/>
      <c r="B7801" s="77"/>
      <c r="C7801" s="78"/>
      <c r="D7801" s="78"/>
      <c r="E7801" s="78"/>
    </row>
    <row r="7802" spans="1:5">
      <c r="A7802" s="76" t="s">
        <v>2543</v>
      </c>
      <c r="B7802" s="77" t="s">
        <v>135</v>
      </c>
      <c r="C7802" s="78" t="s">
        <v>136</v>
      </c>
      <c r="D7802" s="78" t="s">
        <v>2534</v>
      </c>
      <c r="E7802" s="78" t="s">
        <v>2535</v>
      </c>
    </row>
    <row r="7803" ht="25.5" spans="1:5">
      <c r="A7803" s="76" t="s">
        <v>3195</v>
      </c>
      <c r="B7803" s="77" t="s">
        <v>839</v>
      </c>
      <c r="C7803" s="78">
        <v>1</v>
      </c>
      <c r="D7803" s="78">
        <v>0.89</v>
      </c>
      <c r="E7803" s="78">
        <f>TRUNC(C7803*D7803,2)</f>
        <v>0.89</v>
      </c>
    </row>
    <row r="7804" spans="1:5">
      <c r="A7804" s="76" t="s">
        <v>3116</v>
      </c>
      <c r="B7804" s="77" t="s">
        <v>839</v>
      </c>
      <c r="C7804" s="78">
        <v>1</v>
      </c>
      <c r="D7804" s="78">
        <v>1.43</v>
      </c>
      <c r="E7804" s="78">
        <f>TRUNC(C7804*D7804,2)</f>
        <v>1.43</v>
      </c>
    </row>
    <row r="7805" ht="25.5" spans="1:5">
      <c r="A7805" s="76" t="s">
        <v>3196</v>
      </c>
      <c r="B7805" s="77" t="s">
        <v>839</v>
      </c>
      <c r="C7805" s="78">
        <v>1</v>
      </c>
      <c r="D7805" s="78">
        <v>0.01</v>
      </c>
      <c r="E7805" s="78">
        <f>TRUNC(C7805*D7805,2)</f>
        <v>0.01</v>
      </c>
    </row>
    <row r="7806" ht="25.5" spans="1:5">
      <c r="A7806" s="76" t="s">
        <v>4231</v>
      </c>
      <c r="B7806" s="77" t="s">
        <v>839</v>
      </c>
      <c r="C7806" s="78">
        <v>1</v>
      </c>
      <c r="D7806" s="78">
        <v>0.26</v>
      </c>
      <c r="E7806" s="78">
        <f>TRUNC(C7806*D7806,2)</f>
        <v>0.26</v>
      </c>
    </row>
    <row r="7807" spans="1:5">
      <c r="A7807" s="76" t="s">
        <v>122</v>
      </c>
      <c r="B7807" s="77"/>
      <c r="C7807" s="78"/>
      <c r="D7807" s="78"/>
      <c r="E7807" s="78">
        <f>SUM(E7803:E7806)</f>
        <v>2.59</v>
      </c>
    </row>
    <row r="7808" spans="1:5">
      <c r="A7808" s="76"/>
      <c r="B7808" s="77"/>
      <c r="C7808" s="78"/>
      <c r="D7808" s="78"/>
      <c r="E7808" s="78"/>
    </row>
    <row r="7809" spans="1:5">
      <c r="A7809" s="76" t="s">
        <v>2538</v>
      </c>
      <c r="B7809" s="77"/>
      <c r="C7809" s="78"/>
      <c r="D7809" s="78"/>
      <c r="E7809" s="78">
        <f>E7792+E7800+E7807</f>
        <v>40.18</v>
      </c>
    </row>
    <row r="7810" spans="1:5">
      <c r="A7810" s="76" t="s">
        <v>2539</v>
      </c>
      <c r="B7810" s="77"/>
      <c r="C7810" s="78"/>
      <c r="D7810" s="78">
        <v>0</v>
      </c>
      <c r="E7810" s="78">
        <f>TRUNC(D7810*E7809/100,2)</f>
        <v>0</v>
      </c>
    </row>
    <row r="7811" spans="1:5">
      <c r="A7811" s="76" t="s">
        <v>2540</v>
      </c>
      <c r="B7811" s="77"/>
      <c r="C7811" s="78"/>
      <c r="D7811" s="78"/>
      <c r="E7811" s="78">
        <f>E7809+E7810</f>
        <v>40.18</v>
      </c>
    </row>
    <row r="7812" spans="1:5">
      <c r="A7812" s="76"/>
      <c r="B7812" s="77"/>
      <c r="C7812" s="78"/>
      <c r="D7812" s="78"/>
      <c r="E7812" s="78"/>
    </row>
    <row r="7813" spans="1:5">
      <c r="A7813" s="76" t="s">
        <v>3092</v>
      </c>
      <c r="B7813" s="77" t="s">
        <v>4232</v>
      </c>
      <c r="C7813" s="78"/>
      <c r="D7813" s="78"/>
      <c r="E7813" s="78"/>
    </row>
    <row r="7814" ht="25.5" spans="1:5">
      <c r="A7814" s="76" t="s">
        <v>4233</v>
      </c>
      <c r="B7814" s="77"/>
      <c r="C7814" s="78"/>
      <c r="D7814" s="78"/>
      <c r="E7814" s="78"/>
    </row>
    <row r="7815" spans="1:5">
      <c r="A7815" s="76" t="s">
        <v>2764</v>
      </c>
      <c r="B7815" s="77"/>
      <c r="C7815" s="78"/>
      <c r="D7815" s="78"/>
      <c r="E7815" s="78"/>
    </row>
    <row r="7816" spans="1:5">
      <c r="A7816" s="76"/>
      <c r="B7816" s="77"/>
      <c r="C7816" s="78"/>
      <c r="D7816" s="78"/>
      <c r="E7816" s="78"/>
    </row>
    <row r="7817" spans="1:5">
      <c r="A7817" s="76" t="s">
        <v>280</v>
      </c>
      <c r="B7817" s="77" t="s">
        <v>135</v>
      </c>
      <c r="C7817" s="78" t="s">
        <v>136</v>
      </c>
      <c r="D7817" s="78" t="s">
        <v>2534</v>
      </c>
      <c r="E7817" s="78" t="s">
        <v>2535</v>
      </c>
    </row>
    <row r="7818" spans="1:5">
      <c r="A7818" s="76" t="s">
        <v>4230</v>
      </c>
      <c r="B7818" s="77" t="s">
        <v>839</v>
      </c>
      <c r="C7818" s="78">
        <v>0.00831</v>
      </c>
      <c r="D7818" s="78">
        <v>32.06</v>
      </c>
      <c r="E7818" s="78">
        <f>TRUNC(C7818*D7818,2)</f>
        <v>0.26</v>
      </c>
    </row>
    <row r="7819" spans="1:5">
      <c r="A7819" s="76" t="s">
        <v>122</v>
      </c>
      <c r="B7819" s="77"/>
      <c r="C7819" s="78"/>
      <c r="D7819" s="78"/>
      <c r="E7819" s="78">
        <f>SUM(E7818:E7818)</f>
        <v>0.26</v>
      </c>
    </row>
    <row r="7820" spans="1:5">
      <c r="A7820" s="76" t="s">
        <v>117</v>
      </c>
      <c r="B7820" s="77"/>
      <c r="C7820" s="78"/>
      <c r="D7820" s="78"/>
      <c r="E7820" s="78" t="str">
        <f>"0"</f>
        <v>0</v>
      </c>
    </row>
    <row r="7821" spans="1:5">
      <c r="A7821" s="76" t="s">
        <v>2537</v>
      </c>
      <c r="B7821" s="77"/>
      <c r="C7821" s="78"/>
      <c r="D7821" s="78"/>
      <c r="E7821" s="78">
        <f>E7819+E7820</f>
        <v>0.26</v>
      </c>
    </row>
    <row r="7822" spans="1:5">
      <c r="A7822" s="76"/>
      <c r="B7822" s="77"/>
      <c r="C7822" s="78"/>
      <c r="D7822" s="78"/>
      <c r="E7822" s="78"/>
    </row>
    <row r="7823" spans="1:5">
      <c r="A7823" s="76" t="s">
        <v>2538</v>
      </c>
      <c r="B7823" s="77"/>
      <c r="C7823" s="78"/>
      <c r="D7823" s="78"/>
      <c r="E7823" s="78">
        <f>E7821</f>
        <v>0.26</v>
      </c>
    </row>
    <row r="7824" spans="1:5">
      <c r="A7824" s="76" t="s">
        <v>2539</v>
      </c>
      <c r="B7824" s="77"/>
      <c r="C7824" s="78"/>
      <c r="D7824" s="78">
        <v>0</v>
      </c>
      <c r="E7824" s="78">
        <f>TRUNC(D7824*E7823/100,2)</f>
        <v>0</v>
      </c>
    </row>
    <row r="7825" spans="1:5">
      <c r="A7825" s="76" t="s">
        <v>2540</v>
      </c>
      <c r="B7825" s="77"/>
      <c r="C7825" s="78"/>
      <c r="D7825" s="78"/>
      <c r="E7825" s="78">
        <f>E7823+E7824</f>
        <v>0.26</v>
      </c>
    </row>
    <row r="7826" spans="1:5">
      <c r="A7826" s="76"/>
      <c r="B7826" s="77"/>
      <c r="C7826" s="78"/>
      <c r="D7826" s="78"/>
      <c r="E7826" s="78"/>
    </row>
    <row r="7827" spans="1:5">
      <c r="A7827" s="76" t="s">
        <v>3092</v>
      </c>
      <c r="B7827" s="77" t="s">
        <v>4234</v>
      </c>
      <c r="C7827" s="78"/>
      <c r="D7827" s="78"/>
      <c r="E7827" s="78"/>
    </row>
    <row r="7828" ht="25.5" spans="1:5">
      <c r="A7828" s="76" t="s">
        <v>4235</v>
      </c>
      <c r="B7828" s="77"/>
      <c r="C7828" s="78"/>
      <c r="D7828" s="78"/>
      <c r="E7828" s="78"/>
    </row>
    <row r="7829" spans="1:5">
      <c r="A7829" s="76" t="s">
        <v>2764</v>
      </c>
      <c r="B7829" s="77"/>
      <c r="C7829" s="78"/>
      <c r="D7829" s="78"/>
      <c r="E7829" s="78"/>
    </row>
    <row r="7830" spans="1:5">
      <c r="A7830" s="76"/>
      <c r="B7830" s="77"/>
      <c r="C7830" s="78"/>
      <c r="D7830" s="78"/>
      <c r="E7830" s="78"/>
    </row>
    <row r="7831" spans="1:5">
      <c r="A7831" s="76" t="s">
        <v>2543</v>
      </c>
      <c r="B7831" s="77" t="s">
        <v>135</v>
      </c>
      <c r="C7831" s="78" t="s">
        <v>136</v>
      </c>
      <c r="D7831" s="78" t="s">
        <v>2534</v>
      </c>
      <c r="E7831" s="78" t="s">
        <v>2535</v>
      </c>
    </row>
    <row r="7832" spans="1:5">
      <c r="A7832" s="76" t="s">
        <v>3202</v>
      </c>
      <c r="B7832" s="77" t="s">
        <v>215</v>
      </c>
      <c r="C7832" s="78">
        <v>13.99</v>
      </c>
      <c r="D7832" s="78">
        <v>5.93</v>
      </c>
      <c r="E7832" s="78">
        <f>TRUNC(C7832*D7832,2)</f>
        <v>82.96</v>
      </c>
    </row>
    <row r="7833" spans="1:5">
      <c r="A7833" s="76" t="s">
        <v>122</v>
      </c>
      <c r="B7833" s="77"/>
      <c r="C7833" s="78"/>
      <c r="D7833" s="78"/>
      <c r="E7833" s="78">
        <f>SUM(E7832:E7832)</f>
        <v>82.96</v>
      </c>
    </row>
    <row r="7834" spans="1:5">
      <c r="A7834" s="76"/>
      <c r="B7834" s="77"/>
      <c r="C7834" s="78"/>
      <c r="D7834" s="78"/>
      <c r="E7834" s="78"/>
    </row>
    <row r="7835" spans="1:5">
      <c r="A7835" s="76" t="s">
        <v>2538</v>
      </c>
      <c r="B7835" s="77"/>
      <c r="C7835" s="78"/>
      <c r="D7835" s="78"/>
      <c r="E7835" s="78">
        <f>E7833</f>
        <v>82.96</v>
      </c>
    </row>
    <row r="7836" spans="1:5">
      <c r="A7836" s="76" t="s">
        <v>2539</v>
      </c>
      <c r="B7836" s="77"/>
      <c r="C7836" s="78"/>
      <c r="D7836" s="78">
        <v>0</v>
      </c>
      <c r="E7836" s="78">
        <f>TRUNC(D7836*E7835/100,2)</f>
        <v>0</v>
      </c>
    </row>
    <row r="7837" spans="1:5">
      <c r="A7837" s="76" t="s">
        <v>2540</v>
      </c>
      <c r="B7837" s="77"/>
      <c r="C7837" s="78"/>
      <c r="D7837" s="78"/>
      <c r="E7837" s="78">
        <f>E7835+E7836</f>
        <v>82.96</v>
      </c>
    </row>
    <row r="7838" spans="1:5">
      <c r="A7838" s="76"/>
      <c r="B7838" s="77"/>
      <c r="C7838" s="78"/>
      <c r="D7838" s="78"/>
      <c r="E7838" s="78"/>
    </row>
    <row r="7839" spans="1:5">
      <c r="A7839" s="76" t="s">
        <v>3092</v>
      </c>
      <c r="B7839" s="77" t="s">
        <v>4236</v>
      </c>
      <c r="C7839" s="78"/>
      <c r="D7839" s="78"/>
      <c r="E7839" s="78"/>
    </row>
    <row r="7840" ht="25.5" spans="1:5">
      <c r="A7840" s="76" t="s">
        <v>4237</v>
      </c>
      <c r="B7840" s="77"/>
      <c r="C7840" s="78"/>
      <c r="D7840" s="78"/>
      <c r="E7840" s="78"/>
    </row>
    <row r="7841" spans="1:5">
      <c r="A7841" s="76" t="s">
        <v>2764</v>
      </c>
      <c r="B7841" s="77"/>
      <c r="C7841" s="78"/>
      <c r="D7841" s="78"/>
      <c r="E7841" s="78"/>
    </row>
    <row r="7842" spans="1:5">
      <c r="A7842" s="76"/>
      <c r="B7842" s="77"/>
      <c r="C7842" s="78"/>
      <c r="D7842" s="78"/>
      <c r="E7842" s="78"/>
    </row>
    <row r="7843" spans="1:5">
      <c r="A7843" s="76" t="s">
        <v>2543</v>
      </c>
      <c r="B7843" s="77" t="s">
        <v>135</v>
      </c>
      <c r="C7843" s="78" t="s">
        <v>136</v>
      </c>
      <c r="D7843" s="78" t="s">
        <v>2534</v>
      </c>
      <c r="E7843" s="78" t="s">
        <v>2535</v>
      </c>
    </row>
    <row r="7844" ht="25.5" spans="1:5">
      <c r="A7844" s="76" t="s">
        <v>4238</v>
      </c>
      <c r="B7844" s="77" t="s">
        <v>494</v>
      </c>
      <c r="C7844" s="78">
        <v>6.43e-5</v>
      </c>
      <c r="D7844" s="78">
        <v>1150000</v>
      </c>
      <c r="E7844" s="78">
        <f>TRUNC(C7844*D7844,2)</f>
        <v>73.94</v>
      </c>
    </row>
    <row r="7845" spans="1:5">
      <c r="A7845" s="76" t="s">
        <v>122</v>
      </c>
      <c r="B7845" s="77"/>
      <c r="C7845" s="78"/>
      <c r="D7845" s="78"/>
      <c r="E7845" s="78">
        <f>SUM(E7844:E7844)</f>
        <v>73.94</v>
      </c>
    </row>
    <row r="7846" spans="1:5">
      <c r="A7846" s="76"/>
      <c r="B7846" s="77"/>
      <c r="C7846" s="78"/>
      <c r="D7846" s="78"/>
      <c r="E7846" s="78"/>
    </row>
    <row r="7847" spans="1:5">
      <c r="A7847" s="76" t="s">
        <v>2538</v>
      </c>
      <c r="B7847" s="77"/>
      <c r="C7847" s="78"/>
      <c r="D7847" s="78"/>
      <c r="E7847" s="78">
        <f>E7845</f>
        <v>73.94</v>
      </c>
    </row>
    <row r="7848" spans="1:5">
      <c r="A7848" s="76" t="s">
        <v>2539</v>
      </c>
      <c r="B7848" s="77"/>
      <c r="C7848" s="78"/>
      <c r="D7848" s="78">
        <v>0</v>
      </c>
      <c r="E7848" s="78">
        <f>TRUNC(D7848*E7847/100,2)</f>
        <v>0</v>
      </c>
    </row>
    <row r="7849" spans="1:5">
      <c r="A7849" s="76" t="s">
        <v>2540</v>
      </c>
      <c r="B7849" s="77"/>
      <c r="C7849" s="78"/>
      <c r="D7849" s="78"/>
      <c r="E7849" s="78">
        <f>E7847+E7848</f>
        <v>73.94</v>
      </c>
    </row>
    <row r="7850" spans="1:5">
      <c r="A7850" s="76"/>
      <c r="B7850" s="77"/>
      <c r="C7850" s="78"/>
      <c r="D7850" s="78"/>
      <c r="E7850" s="78"/>
    </row>
    <row r="7851" spans="1:5">
      <c r="A7851" s="76" t="s">
        <v>3092</v>
      </c>
      <c r="B7851" s="77" t="s">
        <v>4239</v>
      </c>
      <c r="C7851" s="78"/>
      <c r="D7851" s="78"/>
      <c r="E7851" s="78"/>
    </row>
    <row r="7852" ht="25.5" spans="1:5">
      <c r="A7852" s="76" t="s">
        <v>4240</v>
      </c>
      <c r="B7852" s="77"/>
      <c r="C7852" s="78"/>
      <c r="D7852" s="78"/>
      <c r="E7852" s="78"/>
    </row>
    <row r="7853" spans="1:5">
      <c r="A7853" s="76" t="s">
        <v>2764</v>
      </c>
      <c r="B7853" s="77"/>
      <c r="C7853" s="78"/>
      <c r="D7853" s="78"/>
      <c r="E7853" s="78"/>
    </row>
    <row r="7854" spans="1:5">
      <c r="A7854" s="76"/>
      <c r="B7854" s="77"/>
      <c r="C7854" s="78"/>
      <c r="D7854" s="78"/>
      <c r="E7854" s="78"/>
    </row>
    <row r="7855" spans="1:5">
      <c r="A7855" s="76" t="s">
        <v>2543</v>
      </c>
      <c r="B7855" s="77" t="s">
        <v>135</v>
      </c>
      <c r="C7855" s="78" t="s">
        <v>136</v>
      </c>
      <c r="D7855" s="78" t="s">
        <v>2534</v>
      </c>
      <c r="E7855" s="78" t="s">
        <v>2535</v>
      </c>
    </row>
    <row r="7856" ht="25.5" spans="1:5">
      <c r="A7856" s="76" t="s">
        <v>4238</v>
      </c>
      <c r="B7856" s="77" t="s">
        <v>494</v>
      </c>
      <c r="C7856" s="78">
        <v>4e-5</v>
      </c>
      <c r="D7856" s="78">
        <v>1150000</v>
      </c>
      <c r="E7856" s="78">
        <f>TRUNC(C7856*D7856,2)</f>
        <v>46</v>
      </c>
    </row>
    <row r="7857" spans="1:5">
      <c r="A7857" s="76" t="s">
        <v>122</v>
      </c>
      <c r="B7857" s="77"/>
      <c r="C7857" s="78"/>
      <c r="D7857" s="78"/>
      <c r="E7857" s="78">
        <f>SUM(E7856:E7856)</f>
        <v>46</v>
      </c>
    </row>
    <row r="7858" spans="1:5">
      <c r="A7858" s="76"/>
      <c r="B7858" s="77"/>
      <c r="C7858" s="78"/>
      <c r="D7858" s="78"/>
      <c r="E7858" s="78"/>
    </row>
    <row r="7859" spans="1:5">
      <c r="A7859" s="76" t="s">
        <v>2538</v>
      </c>
      <c r="B7859" s="77"/>
      <c r="C7859" s="78"/>
      <c r="D7859" s="78"/>
      <c r="E7859" s="78">
        <f>E7857</f>
        <v>46</v>
      </c>
    </row>
    <row r="7860" spans="1:5">
      <c r="A7860" s="76" t="s">
        <v>2539</v>
      </c>
      <c r="B7860" s="77"/>
      <c r="C7860" s="78"/>
      <c r="D7860" s="78">
        <v>0</v>
      </c>
      <c r="E7860" s="78">
        <f>TRUNC(D7860*E7859/100,2)</f>
        <v>0</v>
      </c>
    </row>
    <row r="7861" spans="1:5">
      <c r="A7861" s="76" t="s">
        <v>2540</v>
      </c>
      <c r="B7861" s="77"/>
      <c r="C7861" s="78"/>
      <c r="D7861" s="78"/>
      <c r="E7861" s="78">
        <f>E7859+E7860</f>
        <v>46</v>
      </c>
    </row>
    <row r="7862" spans="1:5">
      <c r="A7862" s="76"/>
      <c r="B7862" s="77"/>
      <c r="C7862" s="78"/>
      <c r="D7862" s="78"/>
      <c r="E7862" s="78"/>
    </row>
    <row r="7863" spans="1:5">
      <c r="A7863" s="76" t="s">
        <v>3092</v>
      </c>
      <c r="B7863" s="77" t="s">
        <v>4241</v>
      </c>
      <c r="C7863" s="78"/>
      <c r="D7863" s="78"/>
      <c r="E7863" s="78"/>
    </row>
    <row r="7864" ht="25.5" spans="1:5">
      <c r="A7864" s="76" t="s">
        <v>4242</v>
      </c>
      <c r="B7864" s="77"/>
      <c r="C7864" s="78"/>
      <c r="D7864" s="78"/>
      <c r="E7864" s="78"/>
    </row>
    <row r="7865" spans="1:5">
      <c r="A7865" s="76" t="s">
        <v>2764</v>
      </c>
      <c r="B7865" s="77"/>
      <c r="C7865" s="78"/>
      <c r="D7865" s="78"/>
      <c r="E7865" s="78"/>
    </row>
    <row r="7866" spans="1:5">
      <c r="A7866" s="76"/>
      <c r="B7866" s="77"/>
      <c r="C7866" s="78"/>
      <c r="D7866" s="78"/>
      <c r="E7866" s="78"/>
    </row>
    <row r="7867" spans="1:5">
      <c r="A7867" s="76" t="s">
        <v>2543</v>
      </c>
      <c r="B7867" s="77" t="s">
        <v>135</v>
      </c>
      <c r="C7867" s="78" t="s">
        <v>136</v>
      </c>
      <c r="D7867" s="78" t="s">
        <v>2534</v>
      </c>
      <c r="E7867" s="78" t="s">
        <v>2535</v>
      </c>
    </row>
    <row r="7868" ht="25.5" spans="1:5">
      <c r="A7868" s="76" t="s">
        <v>4238</v>
      </c>
      <c r="B7868" s="77" t="s">
        <v>494</v>
      </c>
      <c r="C7868" s="78">
        <v>1.41e-5</v>
      </c>
      <c r="D7868" s="78">
        <v>1150000</v>
      </c>
      <c r="E7868" s="78">
        <f>TRUNC(C7868*D7868,2)</f>
        <v>16.21</v>
      </c>
    </row>
    <row r="7869" spans="1:5">
      <c r="A7869" s="76" t="s">
        <v>122</v>
      </c>
      <c r="B7869" s="77"/>
      <c r="C7869" s="78"/>
      <c r="D7869" s="78"/>
      <c r="E7869" s="78">
        <f>SUM(E7868:E7868)</f>
        <v>16.21</v>
      </c>
    </row>
    <row r="7870" spans="1:5">
      <c r="A7870" s="76"/>
      <c r="B7870" s="77"/>
      <c r="C7870" s="78"/>
      <c r="D7870" s="78"/>
      <c r="E7870" s="78"/>
    </row>
    <row r="7871" spans="1:5">
      <c r="A7871" s="76" t="s">
        <v>2538</v>
      </c>
      <c r="B7871" s="77"/>
      <c r="C7871" s="78"/>
      <c r="D7871" s="78"/>
      <c r="E7871" s="78">
        <f>E7869</f>
        <v>16.21</v>
      </c>
    </row>
    <row r="7872" spans="1:5">
      <c r="A7872" s="76" t="s">
        <v>2539</v>
      </c>
      <c r="B7872" s="77"/>
      <c r="C7872" s="78"/>
      <c r="D7872" s="78">
        <v>0</v>
      </c>
      <c r="E7872" s="78">
        <f>TRUNC(D7872*E7871/100,2)</f>
        <v>0</v>
      </c>
    </row>
    <row r="7873" spans="1:5">
      <c r="A7873" s="76" t="s">
        <v>2540</v>
      </c>
      <c r="B7873" s="77"/>
      <c r="C7873" s="78"/>
      <c r="D7873" s="78"/>
      <c r="E7873" s="78">
        <f>E7871+E7872</f>
        <v>16.21</v>
      </c>
    </row>
    <row r="7874" spans="1:5">
      <c r="A7874" s="76"/>
      <c r="B7874" s="77"/>
      <c r="C7874" s="78"/>
      <c r="D7874" s="78"/>
      <c r="E7874" s="78"/>
    </row>
    <row r="7875" spans="1:5">
      <c r="A7875" s="76" t="s">
        <v>3092</v>
      </c>
      <c r="B7875" s="77" t="s">
        <v>4243</v>
      </c>
      <c r="C7875" s="78"/>
      <c r="D7875" s="78"/>
      <c r="E7875" s="78"/>
    </row>
    <row r="7876" ht="25.5" spans="1:5">
      <c r="A7876" s="76" t="s">
        <v>4244</v>
      </c>
      <c r="B7876" s="77"/>
      <c r="C7876" s="78"/>
      <c r="D7876" s="78"/>
      <c r="E7876" s="78"/>
    </row>
    <row r="7877" spans="1:5">
      <c r="A7877" s="76" t="s">
        <v>3091</v>
      </c>
      <c r="B7877" s="77"/>
      <c r="C7877" s="78"/>
      <c r="D7877" s="78"/>
      <c r="E7877" s="78"/>
    </row>
    <row r="7878" spans="1:5">
      <c r="A7878" s="76"/>
      <c r="B7878" s="77"/>
      <c r="C7878" s="78"/>
      <c r="D7878" s="78"/>
      <c r="E7878" s="78"/>
    </row>
    <row r="7879" spans="1:5">
      <c r="A7879" s="76" t="s">
        <v>2543</v>
      </c>
      <c r="B7879" s="77" t="s">
        <v>135</v>
      </c>
      <c r="C7879" s="78" t="s">
        <v>136</v>
      </c>
      <c r="D7879" s="78" t="s">
        <v>2534</v>
      </c>
      <c r="E7879" s="78" t="s">
        <v>2535</v>
      </c>
    </row>
    <row r="7880" ht="25.5" spans="1:5">
      <c r="A7880" s="76" t="s">
        <v>4223</v>
      </c>
      <c r="B7880" s="77" t="s">
        <v>839</v>
      </c>
      <c r="C7880" s="78">
        <v>1</v>
      </c>
      <c r="D7880" s="78">
        <v>40.18</v>
      </c>
      <c r="E7880" s="78">
        <f>TRUNC(C7880*D7880,2)</f>
        <v>40.18</v>
      </c>
    </row>
    <row r="7881" ht="38.25" spans="1:5">
      <c r="A7881" s="76" t="s">
        <v>4226</v>
      </c>
      <c r="B7881" s="77" t="s">
        <v>839</v>
      </c>
      <c r="C7881" s="78">
        <v>1</v>
      </c>
      <c r="D7881" s="78">
        <v>46</v>
      </c>
      <c r="E7881" s="78">
        <f>TRUNC(C7881*D7881,2)</f>
        <v>46</v>
      </c>
    </row>
    <row r="7882" ht="25.5" spans="1:5">
      <c r="A7882" s="76" t="s">
        <v>4227</v>
      </c>
      <c r="B7882" s="77" t="s">
        <v>839</v>
      </c>
      <c r="C7882" s="78">
        <v>1</v>
      </c>
      <c r="D7882" s="78">
        <v>16.21</v>
      </c>
      <c r="E7882" s="78">
        <f>TRUNC(C7882*D7882,2)</f>
        <v>16.21</v>
      </c>
    </row>
    <row r="7883" spans="1:5">
      <c r="A7883" s="76" t="s">
        <v>122</v>
      </c>
      <c r="B7883" s="77"/>
      <c r="C7883" s="78"/>
      <c r="D7883" s="78"/>
      <c r="E7883" s="78">
        <f>SUM(E7880:E7882)</f>
        <v>102.39</v>
      </c>
    </row>
    <row r="7884" spans="1:5">
      <c r="A7884" s="76"/>
      <c r="B7884" s="77"/>
      <c r="C7884" s="78"/>
      <c r="D7884" s="78"/>
      <c r="E7884" s="78"/>
    </row>
    <row r="7885" spans="1:5">
      <c r="A7885" s="76" t="s">
        <v>2538</v>
      </c>
      <c r="B7885" s="77"/>
      <c r="C7885" s="78"/>
      <c r="D7885" s="78"/>
      <c r="E7885" s="78">
        <f>E7883</f>
        <v>102.39</v>
      </c>
    </row>
    <row r="7886" spans="1:5">
      <c r="A7886" s="76" t="s">
        <v>2539</v>
      </c>
      <c r="B7886" s="77"/>
      <c r="C7886" s="78"/>
      <c r="D7886" s="78">
        <v>0</v>
      </c>
      <c r="E7886" s="78">
        <f>TRUNC(D7886*E7885/100,2)</f>
        <v>0</v>
      </c>
    </row>
    <row r="7887" spans="1:5">
      <c r="A7887" s="76" t="s">
        <v>2540</v>
      </c>
      <c r="B7887" s="77"/>
      <c r="C7887" s="78"/>
      <c r="D7887" s="78"/>
      <c r="E7887" s="78">
        <f>E7885+E7886</f>
        <v>102.39</v>
      </c>
    </row>
    <row r="7888" spans="1:5">
      <c r="A7888" s="76"/>
      <c r="B7888" s="77"/>
      <c r="C7888" s="78"/>
      <c r="D7888" s="78"/>
      <c r="E7888" s="78"/>
    </row>
    <row r="7889" spans="1:5">
      <c r="A7889" s="76" t="s">
        <v>3092</v>
      </c>
      <c r="B7889" s="77" t="s">
        <v>4245</v>
      </c>
      <c r="C7889" s="78"/>
      <c r="D7889" s="78"/>
      <c r="E7889" s="78"/>
    </row>
    <row r="7890" spans="1:5">
      <c r="A7890" s="76" t="s">
        <v>4246</v>
      </c>
      <c r="B7890" s="77"/>
      <c r="C7890" s="78"/>
      <c r="D7890" s="78"/>
      <c r="E7890" s="78"/>
    </row>
    <row r="7891" spans="1:5">
      <c r="A7891" s="76" t="s">
        <v>2764</v>
      </c>
      <c r="B7891" s="77"/>
      <c r="C7891" s="78"/>
      <c r="D7891" s="78"/>
      <c r="E7891" s="78"/>
    </row>
    <row r="7892" spans="1:5">
      <c r="A7892" s="76"/>
      <c r="B7892" s="77"/>
      <c r="C7892" s="78"/>
      <c r="D7892" s="78"/>
      <c r="E7892" s="78"/>
    </row>
    <row r="7893" spans="1:5">
      <c r="A7893" s="76" t="s">
        <v>279</v>
      </c>
      <c r="B7893" s="77" t="s">
        <v>135</v>
      </c>
      <c r="C7893" s="78" t="s">
        <v>136</v>
      </c>
      <c r="D7893" s="78" t="s">
        <v>2534</v>
      </c>
      <c r="E7893" s="78" t="s">
        <v>2535</v>
      </c>
    </row>
    <row r="7894" ht="25.5" spans="1:5">
      <c r="A7894" s="76" t="s">
        <v>3111</v>
      </c>
      <c r="B7894" s="77" t="s">
        <v>839</v>
      </c>
      <c r="C7894" s="78">
        <v>1</v>
      </c>
      <c r="D7894" s="78">
        <v>1.5</v>
      </c>
      <c r="E7894" s="78">
        <f>TRUNC(C7894*D7894,2)</f>
        <v>1.5</v>
      </c>
    </row>
    <row r="7895" spans="1:5">
      <c r="A7895" s="76" t="s">
        <v>122</v>
      </c>
      <c r="B7895" s="77"/>
      <c r="C7895" s="78"/>
      <c r="D7895" s="78"/>
      <c r="E7895" s="78">
        <f>SUM(E7894:E7894)</f>
        <v>1.5</v>
      </c>
    </row>
    <row r="7896" spans="1:5">
      <c r="A7896" s="76"/>
      <c r="B7896" s="77"/>
      <c r="C7896" s="78"/>
      <c r="D7896" s="78"/>
      <c r="E7896" s="78"/>
    </row>
    <row r="7897" spans="1:5">
      <c r="A7897" s="76" t="s">
        <v>280</v>
      </c>
      <c r="B7897" s="77" t="s">
        <v>135</v>
      </c>
      <c r="C7897" s="78" t="s">
        <v>136</v>
      </c>
      <c r="D7897" s="78" t="s">
        <v>2534</v>
      </c>
      <c r="E7897" s="78" t="s">
        <v>2535</v>
      </c>
    </row>
    <row r="7898" ht="25.5" spans="1:5">
      <c r="A7898" s="76" t="s">
        <v>3112</v>
      </c>
      <c r="B7898" s="77" t="s">
        <v>839</v>
      </c>
      <c r="C7898" s="78">
        <v>1</v>
      </c>
      <c r="D7898" s="78">
        <v>3.95</v>
      </c>
      <c r="E7898" s="78">
        <f>TRUNC(C7898*D7898,2)</f>
        <v>3.95</v>
      </c>
    </row>
    <row r="7899" ht="25.5" spans="1:5">
      <c r="A7899" s="76" t="s">
        <v>3113</v>
      </c>
      <c r="B7899" s="77" t="s">
        <v>839</v>
      </c>
      <c r="C7899" s="78">
        <v>1</v>
      </c>
      <c r="D7899" s="78">
        <v>0.08</v>
      </c>
      <c r="E7899" s="78">
        <f>TRUNC(C7899*D7899,2)</f>
        <v>0.08</v>
      </c>
    </row>
    <row r="7900" spans="1:5">
      <c r="A7900" s="76" t="s">
        <v>4247</v>
      </c>
      <c r="B7900" s="77" t="s">
        <v>839</v>
      </c>
      <c r="C7900" s="78">
        <v>1</v>
      </c>
      <c r="D7900" s="78">
        <v>21.55</v>
      </c>
      <c r="E7900" s="78">
        <f>TRUNC(C7900*D7900,2)</f>
        <v>21.55</v>
      </c>
    </row>
    <row r="7901" spans="1:5">
      <c r="A7901" s="76" t="s">
        <v>122</v>
      </c>
      <c r="B7901" s="77"/>
      <c r="C7901" s="78"/>
      <c r="D7901" s="78"/>
      <c r="E7901" s="78">
        <f>SUM(E7898:E7900)</f>
        <v>25.58</v>
      </c>
    </row>
    <row r="7902" spans="1:5">
      <c r="A7902" s="76" t="s">
        <v>117</v>
      </c>
      <c r="B7902" s="77"/>
      <c r="C7902" s="78"/>
      <c r="D7902" s="78"/>
      <c r="E7902" s="78" t="str">
        <f>"0"</f>
        <v>0</v>
      </c>
    </row>
    <row r="7903" spans="1:5">
      <c r="A7903" s="76" t="s">
        <v>2537</v>
      </c>
      <c r="B7903" s="77"/>
      <c r="C7903" s="78"/>
      <c r="D7903" s="78"/>
      <c r="E7903" s="78">
        <f>E7901+E7902</f>
        <v>25.58</v>
      </c>
    </row>
    <row r="7904" spans="1:5">
      <c r="A7904" s="76"/>
      <c r="B7904" s="77"/>
      <c r="C7904" s="78"/>
      <c r="D7904" s="78"/>
      <c r="E7904" s="78"/>
    </row>
    <row r="7905" spans="1:5">
      <c r="A7905" s="76" t="s">
        <v>2543</v>
      </c>
      <c r="B7905" s="77" t="s">
        <v>135</v>
      </c>
      <c r="C7905" s="78" t="s">
        <v>136</v>
      </c>
      <c r="D7905" s="78" t="s">
        <v>2534</v>
      </c>
      <c r="E7905" s="78" t="s">
        <v>2535</v>
      </c>
    </row>
    <row r="7906" ht="25.5" spans="1:5">
      <c r="A7906" s="76" t="s">
        <v>3296</v>
      </c>
      <c r="B7906" s="77" t="s">
        <v>839</v>
      </c>
      <c r="C7906" s="78">
        <v>1</v>
      </c>
      <c r="D7906" s="78">
        <v>1.43</v>
      </c>
      <c r="E7906" s="78">
        <f>TRUNC(C7906*D7906,2)</f>
        <v>1.43</v>
      </c>
    </row>
    <row r="7907" spans="1:5">
      <c r="A7907" s="76" t="s">
        <v>3116</v>
      </c>
      <c r="B7907" s="77" t="s">
        <v>839</v>
      </c>
      <c r="C7907" s="78">
        <v>1</v>
      </c>
      <c r="D7907" s="78">
        <v>1.43</v>
      </c>
      <c r="E7907" s="78">
        <f>TRUNC(C7907*D7907,2)</f>
        <v>1.43</v>
      </c>
    </row>
    <row r="7908" ht="25.5" spans="1:5">
      <c r="A7908" s="76" t="s">
        <v>3297</v>
      </c>
      <c r="B7908" s="77" t="s">
        <v>839</v>
      </c>
      <c r="C7908" s="78">
        <v>1</v>
      </c>
      <c r="D7908" s="78">
        <v>0.44</v>
      </c>
      <c r="E7908" s="78">
        <f>TRUNC(C7908*D7908,2)</f>
        <v>0.44</v>
      </c>
    </row>
    <row r="7909" ht="25.5" spans="1:5">
      <c r="A7909" s="76" t="s">
        <v>4248</v>
      </c>
      <c r="B7909" s="77" t="s">
        <v>839</v>
      </c>
      <c r="C7909" s="78">
        <v>1</v>
      </c>
      <c r="D7909" s="78">
        <v>0.24</v>
      </c>
      <c r="E7909" s="78">
        <f>TRUNC(C7909*D7909,2)</f>
        <v>0.24</v>
      </c>
    </row>
    <row r="7910" spans="1:5">
      <c r="A7910" s="76" t="s">
        <v>122</v>
      </c>
      <c r="B7910" s="77"/>
      <c r="C7910" s="78"/>
      <c r="D7910" s="78"/>
      <c r="E7910" s="78">
        <f>SUM(E7906:E7909)</f>
        <v>3.54</v>
      </c>
    </row>
    <row r="7911" spans="1:5">
      <c r="A7911" s="76"/>
      <c r="B7911" s="77"/>
      <c r="C7911" s="78"/>
      <c r="D7911" s="78"/>
      <c r="E7911" s="78"/>
    </row>
    <row r="7912" spans="1:5">
      <c r="A7912" s="76" t="s">
        <v>2538</v>
      </c>
      <c r="B7912" s="77"/>
      <c r="C7912" s="78"/>
      <c r="D7912" s="78"/>
      <c r="E7912" s="78">
        <f>E7895+E7903+E7910</f>
        <v>30.62</v>
      </c>
    </row>
    <row r="7913" spans="1:5">
      <c r="A7913" s="76" t="s">
        <v>2539</v>
      </c>
      <c r="B7913" s="77"/>
      <c r="C7913" s="78"/>
      <c r="D7913" s="78">
        <v>0</v>
      </c>
      <c r="E7913" s="78">
        <f>TRUNC(D7913*E7912/100,2)</f>
        <v>0</v>
      </c>
    </row>
    <row r="7914" spans="1:5">
      <c r="A7914" s="76" t="s">
        <v>2540</v>
      </c>
      <c r="B7914" s="77"/>
      <c r="C7914" s="78"/>
      <c r="D7914" s="78"/>
      <c r="E7914" s="78">
        <f>E7912+E7913</f>
        <v>30.62</v>
      </c>
    </row>
    <row r="7915" spans="1:5">
      <c r="A7915" s="76"/>
      <c r="B7915" s="77"/>
      <c r="C7915" s="78"/>
      <c r="D7915" s="78"/>
      <c r="E7915" s="78"/>
    </row>
    <row r="7916" spans="1:5">
      <c r="A7916" s="76" t="s">
        <v>3092</v>
      </c>
      <c r="B7916" s="77" t="s">
        <v>4249</v>
      </c>
      <c r="C7916" s="78"/>
      <c r="D7916" s="78"/>
      <c r="E7916" s="78"/>
    </row>
    <row r="7917" ht="25.5" spans="1:5">
      <c r="A7917" s="76" t="s">
        <v>4250</v>
      </c>
      <c r="B7917" s="77"/>
      <c r="C7917" s="78"/>
      <c r="D7917" s="78"/>
      <c r="E7917" s="78"/>
    </row>
    <row r="7918" spans="1:5">
      <c r="A7918" s="76" t="s">
        <v>2764</v>
      </c>
      <c r="B7918" s="77"/>
      <c r="C7918" s="78"/>
      <c r="D7918" s="78"/>
      <c r="E7918" s="78"/>
    </row>
    <row r="7919" spans="1:5">
      <c r="A7919" s="76"/>
      <c r="B7919" s="77"/>
      <c r="C7919" s="78"/>
      <c r="D7919" s="78"/>
      <c r="E7919" s="78"/>
    </row>
    <row r="7920" spans="1:5">
      <c r="A7920" s="76" t="s">
        <v>280</v>
      </c>
      <c r="B7920" s="77" t="s">
        <v>135</v>
      </c>
      <c r="C7920" s="78" t="s">
        <v>136</v>
      </c>
      <c r="D7920" s="78" t="s">
        <v>2534</v>
      </c>
      <c r="E7920" s="78" t="s">
        <v>2535</v>
      </c>
    </row>
    <row r="7921" spans="1:5">
      <c r="A7921" s="76" t="s">
        <v>4247</v>
      </c>
      <c r="B7921" s="77" t="s">
        <v>839</v>
      </c>
      <c r="C7921" s="78">
        <v>0.01154</v>
      </c>
      <c r="D7921" s="78">
        <v>21.55</v>
      </c>
      <c r="E7921" s="78">
        <f>TRUNC(C7921*D7921,2)</f>
        <v>0.24</v>
      </c>
    </row>
    <row r="7922" spans="1:5">
      <c r="A7922" s="76" t="s">
        <v>122</v>
      </c>
      <c r="B7922" s="77"/>
      <c r="C7922" s="78"/>
      <c r="D7922" s="78"/>
      <c r="E7922" s="78">
        <f>SUM(E7921:E7921)</f>
        <v>0.24</v>
      </c>
    </row>
    <row r="7923" spans="1:5">
      <c r="A7923" s="76" t="s">
        <v>117</v>
      </c>
      <c r="B7923" s="77"/>
      <c r="C7923" s="78"/>
      <c r="D7923" s="78"/>
      <c r="E7923" s="78" t="str">
        <f>"0"</f>
        <v>0</v>
      </c>
    </row>
    <row r="7924" spans="1:5">
      <c r="A7924" s="76" t="s">
        <v>2537</v>
      </c>
      <c r="B7924" s="77"/>
      <c r="C7924" s="78"/>
      <c r="D7924" s="78"/>
      <c r="E7924" s="78">
        <f>E7922+E7923</f>
        <v>0.24</v>
      </c>
    </row>
    <row r="7925" spans="1:5">
      <c r="A7925" s="76"/>
      <c r="B7925" s="77"/>
      <c r="C7925" s="78"/>
      <c r="D7925" s="78"/>
      <c r="E7925" s="78"/>
    </row>
    <row r="7926" spans="1:5">
      <c r="A7926" s="76" t="s">
        <v>2538</v>
      </c>
      <c r="B7926" s="77"/>
      <c r="C7926" s="78"/>
      <c r="D7926" s="78"/>
      <c r="E7926" s="78">
        <f>E7924</f>
        <v>0.24</v>
      </c>
    </row>
    <row r="7927" spans="1:5">
      <c r="A7927" s="76" t="s">
        <v>2539</v>
      </c>
      <c r="B7927" s="77"/>
      <c r="C7927" s="78"/>
      <c r="D7927" s="78">
        <v>0</v>
      </c>
      <c r="E7927" s="78">
        <f>TRUNC(D7927*E7926/100,2)</f>
        <v>0</v>
      </c>
    </row>
    <row r="7928" spans="1:5">
      <c r="A7928" s="76" t="s">
        <v>2540</v>
      </c>
      <c r="B7928" s="77"/>
      <c r="C7928" s="78"/>
      <c r="D7928" s="78"/>
      <c r="E7928" s="78">
        <f>E7926+E7927</f>
        <v>0.24</v>
      </c>
    </row>
    <row r="7929" spans="1:5">
      <c r="A7929" s="76"/>
      <c r="B7929" s="77"/>
      <c r="C7929" s="78"/>
      <c r="D7929" s="78"/>
      <c r="E7929" s="78"/>
    </row>
    <row r="7930" spans="1:5">
      <c r="A7930" s="76" t="s">
        <v>3092</v>
      </c>
      <c r="B7930" s="77" t="s">
        <v>4251</v>
      </c>
      <c r="C7930" s="78"/>
      <c r="D7930" s="78"/>
      <c r="E7930" s="78"/>
    </row>
    <row r="7931" ht="25.5" spans="1:5">
      <c r="A7931" s="76" t="s">
        <v>4252</v>
      </c>
      <c r="B7931" s="77"/>
      <c r="C7931" s="78"/>
      <c r="D7931" s="78"/>
      <c r="E7931" s="78"/>
    </row>
    <row r="7932" spans="1:5">
      <c r="A7932" s="76" t="s">
        <v>3085</v>
      </c>
      <c r="B7932" s="77"/>
      <c r="C7932" s="78"/>
      <c r="D7932" s="78"/>
      <c r="E7932" s="78"/>
    </row>
    <row r="7933" spans="1:5">
      <c r="A7933" s="76"/>
      <c r="B7933" s="77"/>
      <c r="C7933" s="78"/>
      <c r="D7933" s="78"/>
      <c r="E7933" s="78"/>
    </row>
    <row r="7934" spans="1:5">
      <c r="A7934" s="76" t="s">
        <v>2543</v>
      </c>
      <c r="B7934" s="77" t="s">
        <v>135</v>
      </c>
      <c r="C7934" s="78" t="s">
        <v>136</v>
      </c>
      <c r="D7934" s="78" t="s">
        <v>2534</v>
      </c>
      <c r="E7934" s="78" t="s">
        <v>2535</v>
      </c>
    </row>
    <row r="7935" spans="1:5">
      <c r="A7935" s="76" t="s">
        <v>4253</v>
      </c>
      <c r="B7935" s="77" t="s">
        <v>839</v>
      </c>
      <c r="C7935" s="78">
        <v>1</v>
      </c>
      <c r="D7935" s="78">
        <v>26.15</v>
      </c>
      <c r="E7935" s="78">
        <f>TRUNC(C7935*D7935,2)</f>
        <v>26.15</v>
      </c>
    </row>
    <row r="7936" ht="25.5" spans="1:5">
      <c r="A7936" s="76" t="s">
        <v>4254</v>
      </c>
      <c r="B7936" s="77" t="s">
        <v>839</v>
      </c>
      <c r="C7936" s="78">
        <v>1</v>
      </c>
      <c r="D7936" s="78">
        <v>0.27</v>
      </c>
      <c r="E7936" s="78">
        <f>TRUNC(C7936*D7936,2)</f>
        <v>0.27</v>
      </c>
    </row>
    <row r="7937" ht="25.5" spans="1:5">
      <c r="A7937" s="76" t="s">
        <v>4255</v>
      </c>
      <c r="B7937" s="77" t="s">
        <v>839</v>
      </c>
      <c r="C7937" s="78">
        <v>1</v>
      </c>
      <c r="D7937" s="78">
        <v>0.06</v>
      </c>
      <c r="E7937" s="78">
        <f>TRUNC(C7937*D7937,2)</f>
        <v>0.06</v>
      </c>
    </row>
    <row r="7938" ht="25.5" spans="1:5">
      <c r="A7938" s="76" t="s">
        <v>4256</v>
      </c>
      <c r="B7938" s="77" t="s">
        <v>839</v>
      </c>
      <c r="C7938" s="78">
        <v>1</v>
      </c>
      <c r="D7938" s="78">
        <v>0.26</v>
      </c>
      <c r="E7938" s="78">
        <f>TRUNC(C7938*D7938,2)</f>
        <v>0.26</v>
      </c>
    </row>
    <row r="7939" ht="25.5" spans="1:5">
      <c r="A7939" s="76" t="s">
        <v>4257</v>
      </c>
      <c r="B7939" s="77" t="s">
        <v>839</v>
      </c>
      <c r="C7939" s="78">
        <v>1</v>
      </c>
      <c r="D7939" s="78">
        <v>0.56</v>
      </c>
      <c r="E7939" s="78">
        <f>TRUNC(C7939*D7939,2)</f>
        <v>0.56</v>
      </c>
    </row>
    <row r="7940" spans="1:5">
      <c r="A7940" s="76" t="s">
        <v>122</v>
      </c>
      <c r="B7940" s="77"/>
      <c r="C7940" s="78"/>
      <c r="D7940" s="78"/>
      <c r="E7940" s="78">
        <f>SUM(E7935:E7939)</f>
        <v>27.3</v>
      </c>
    </row>
    <row r="7941" spans="1:5">
      <c r="A7941" s="76"/>
      <c r="B7941" s="77"/>
      <c r="C7941" s="78"/>
      <c r="D7941" s="78"/>
      <c r="E7941" s="78"/>
    </row>
    <row r="7942" spans="1:5">
      <c r="A7942" s="76" t="s">
        <v>2538</v>
      </c>
      <c r="B7942" s="77"/>
      <c r="C7942" s="78"/>
      <c r="D7942" s="78"/>
      <c r="E7942" s="78">
        <f>E7940</f>
        <v>27.3</v>
      </c>
    </row>
    <row r="7943" spans="1:5">
      <c r="A7943" s="76" t="s">
        <v>2539</v>
      </c>
      <c r="B7943" s="77"/>
      <c r="C7943" s="78"/>
      <c r="D7943" s="78">
        <v>0</v>
      </c>
      <c r="E7943" s="78">
        <f>TRUNC(D7943*E7942/100,2)</f>
        <v>0</v>
      </c>
    </row>
    <row r="7944" spans="1:5">
      <c r="A7944" s="76" t="s">
        <v>2540</v>
      </c>
      <c r="B7944" s="77"/>
      <c r="C7944" s="78"/>
      <c r="D7944" s="78"/>
      <c r="E7944" s="78">
        <f>E7942+E7943</f>
        <v>27.3</v>
      </c>
    </row>
    <row r="7945" spans="1:5">
      <c r="A7945" s="76"/>
      <c r="B7945" s="77"/>
      <c r="C7945" s="78"/>
      <c r="D7945" s="78"/>
      <c r="E7945" s="78"/>
    </row>
    <row r="7946" spans="1:5">
      <c r="A7946" s="76" t="s">
        <v>3092</v>
      </c>
      <c r="B7946" s="77" t="s">
        <v>4258</v>
      </c>
      <c r="C7946" s="78"/>
      <c r="D7946" s="78"/>
      <c r="E7946" s="78"/>
    </row>
    <row r="7947" spans="1:5">
      <c r="A7947" s="76" t="s">
        <v>4259</v>
      </c>
      <c r="B7947" s="77"/>
      <c r="C7947" s="78"/>
      <c r="D7947" s="78"/>
      <c r="E7947" s="78"/>
    </row>
    <row r="7948" spans="1:5">
      <c r="A7948" s="76" t="s">
        <v>2764</v>
      </c>
      <c r="B7948" s="77"/>
      <c r="C7948" s="78"/>
      <c r="D7948" s="78"/>
      <c r="E7948" s="78"/>
    </row>
    <row r="7949" spans="1:5">
      <c r="A7949" s="76"/>
      <c r="B7949" s="77"/>
      <c r="C7949" s="78"/>
      <c r="D7949" s="78"/>
      <c r="E7949" s="78"/>
    </row>
    <row r="7950" spans="1:5">
      <c r="A7950" s="76" t="s">
        <v>279</v>
      </c>
      <c r="B7950" s="77" t="s">
        <v>135</v>
      </c>
      <c r="C7950" s="78" t="s">
        <v>136</v>
      </c>
      <c r="D7950" s="78" t="s">
        <v>2534</v>
      </c>
      <c r="E7950" s="78" t="s">
        <v>2535</v>
      </c>
    </row>
    <row r="7951" ht="25.5" spans="1:5">
      <c r="A7951" s="76" t="s">
        <v>3111</v>
      </c>
      <c r="B7951" s="77" t="s">
        <v>839</v>
      </c>
      <c r="C7951" s="78">
        <v>1</v>
      </c>
      <c r="D7951" s="78">
        <v>1.5</v>
      </c>
      <c r="E7951" s="78">
        <f>TRUNC(C7951*D7951,2)</f>
        <v>1.5</v>
      </c>
    </row>
    <row r="7952" spans="1:5">
      <c r="A7952" s="76" t="s">
        <v>122</v>
      </c>
      <c r="B7952" s="77"/>
      <c r="C7952" s="78"/>
      <c r="D7952" s="78"/>
      <c r="E7952" s="78">
        <f>SUM(E7951:E7951)</f>
        <v>1.5</v>
      </c>
    </row>
    <row r="7953" spans="1:5">
      <c r="A7953" s="76"/>
      <c r="B7953" s="77"/>
      <c r="C7953" s="78"/>
      <c r="D7953" s="78"/>
      <c r="E7953" s="78"/>
    </row>
    <row r="7954" spans="1:5">
      <c r="A7954" s="76" t="s">
        <v>280</v>
      </c>
      <c r="B7954" s="77" t="s">
        <v>135</v>
      </c>
      <c r="C7954" s="78" t="s">
        <v>136</v>
      </c>
      <c r="D7954" s="78" t="s">
        <v>2534</v>
      </c>
      <c r="E7954" s="78" t="s">
        <v>2535</v>
      </c>
    </row>
    <row r="7955" ht="25.5" spans="1:5">
      <c r="A7955" s="76" t="s">
        <v>3112</v>
      </c>
      <c r="B7955" s="77" t="s">
        <v>839</v>
      </c>
      <c r="C7955" s="78">
        <v>1</v>
      </c>
      <c r="D7955" s="78">
        <v>3.95</v>
      </c>
      <c r="E7955" s="78">
        <f>TRUNC(C7955*D7955,2)</f>
        <v>3.95</v>
      </c>
    </row>
    <row r="7956" spans="1:5">
      <c r="A7956" s="76" t="s">
        <v>4260</v>
      </c>
      <c r="B7956" s="77" t="s">
        <v>839</v>
      </c>
      <c r="C7956" s="78">
        <v>1</v>
      </c>
      <c r="D7956" s="78">
        <v>18</v>
      </c>
      <c r="E7956" s="78">
        <f>TRUNC(C7956*D7956,2)</f>
        <v>18</v>
      </c>
    </row>
    <row r="7957" ht="25.5" spans="1:5">
      <c r="A7957" s="76" t="s">
        <v>3113</v>
      </c>
      <c r="B7957" s="77" t="s">
        <v>839</v>
      </c>
      <c r="C7957" s="78">
        <v>1</v>
      </c>
      <c r="D7957" s="78">
        <v>0.08</v>
      </c>
      <c r="E7957" s="78">
        <f>TRUNC(C7957*D7957,2)</f>
        <v>0.08</v>
      </c>
    </row>
    <row r="7958" spans="1:5">
      <c r="A7958" s="76" t="s">
        <v>122</v>
      </c>
      <c r="B7958" s="77"/>
      <c r="C7958" s="78"/>
      <c r="D7958" s="78"/>
      <c r="E7958" s="78">
        <f>SUM(E7955:E7957)</f>
        <v>22.03</v>
      </c>
    </row>
    <row r="7959" spans="1:5">
      <c r="A7959" s="76" t="s">
        <v>117</v>
      </c>
      <c r="B7959" s="77"/>
      <c r="C7959" s="78"/>
      <c r="D7959" s="78"/>
      <c r="E7959" s="78" t="str">
        <f>"0"</f>
        <v>0</v>
      </c>
    </row>
    <row r="7960" spans="1:5">
      <c r="A7960" s="76" t="s">
        <v>2537</v>
      </c>
      <c r="B7960" s="77"/>
      <c r="C7960" s="78"/>
      <c r="D7960" s="78"/>
      <c r="E7960" s="78">
        <f>E7958+E7959</f>
        <v>22.03</v>
      </c>
    </row>
    <row r="7961" spans="1:5">
      <c r="A7961" s="76"/>
      <c r="B7961" s="77"/>
      <c r="C7961" s="78"/>
      <c r="D7961" s="78"/>
      <c r="E7961" s="78"/>
    </row>
    <row r="7962" spans="1:5">
      <c r="A7962" s="76" t="s">
        <v>2543</v>
      </c>
      <c r="B7962" s="77" t="s">
        <v>135</v>
      </c>
      <c r="C7962" s="78" t="s">
        <v>136</v>
      </c>
      <c r="D7962" s="78" t="s">
        <v>2534</v>
      </c>
      <c r="E7962" s="78" t="s">
        <v>2535</v>
      </c>
    </row>
    <row r="7963" ht="25.5" spans="1:5">
      <c r="A7963" s="76" t="s">
        <v>3195</v>
      </c>
      <c r="B7963" s="77" t="s">
        <v>839</v>
      </c>
      <c r="C7963" s="78">
        <v>1</v>
      </c>
      <c r="D7963" s="78">
        <v>0.89</v>
      </c>
      <c r="E7963" s="78">
        <f>TRUNC(C7963*D7963,2)</f>
        <v>0.89</v>
      </c>
    </row>
    <row r="7964" spans="1:5">
      <c r="A7964" s="76" t="s">
        <v>3116</v>
      </c>
      <c r="B7964" s="77" t="s">
        <v>839</v>
      </c>
      <c r="C7964" s="78">
        <v>1</v>
      </c>
      <c r="D7964" s="78">
        <v>1.43</v>
      </c>
      <c r="E7964" s="78">
        <f>TRUNC(C7964*D7964,2)</f>
        <v>1.43</v>
      </c>
    </row>
    <row r="7965" ht="25.5" spans="1:5">
      <c r="A7965" s="76" t="s">
        <v>3196</v>
      </c>
      <c r="B7965" s="77" t="s">
        <v>839</v>
      </c>
      <c r="C7965" s="78">
        <v>1</v>
      </c>
      <c r="D7965" s="78">
        <v>0.01</v>
      </c>
      <c r="E7965" s="78">
        <f>TRUNC(C7965*D7965,2)</f>
        <v>0.01</v>
      </c>
    </row>
    <row r="7966" ht="25.5" spans="1:5">
      <c r="A7966" s="76" t="s">
        <v>4261</v>
      </c>
      <c r="B7966" s="77" t="s">
        <v>839</v>
      </c>
      <c r="C7966" s="78">
        <v>1</v>
      </c>
      <c r="D7966" s="78">
        <v>0.29</v>
      </c>
      <c r="E7966" s="78">
        <f>TRUNC(C7966*D7966,2)</f>
        <v>0.29</v>
      </c>
    </row>
    <row r="7967" spans="1:5">
      <c r="A7967" s="76" t="s">
        <v>122</v>
      </c>
      <c r="B7967" s="77"/>
      <c r="C7967" s="78"/>
      <c r="D7967" s="78"/>
      <c r="E7967" s="78">
        <f>SUM(E7963:E7966)</f>
        <v>2.62</v>
      </c>
    </row>
    <row r="7968" spans="1:5">
      <c r="A7968" s="76"/>
      <c r="B7968" s="77"/>
      <c r="C7968" s="78"/>
      <c r="D7968" s="78"/>
      <c r="E7968" s="78"/>
    </row>
    <row r="7969" spans="1:5">
      <c r="A7969" s="76" t="s">
        <v>2538</v>
      </c>
      <c r="B7969" s="77"/>
      <c r="C7969" s="78"/>
      <c r="D7969" s="78"/>
      <c r="E7969" s="78">
        <f>E7952+E7960+E7967</f>
        <v>26.15</v>
      </c>
    </row>
    <row r="7970" spans="1:5">
      <c r="A7970" s="76" t="s">
        <v>2539</v>
      </c>
      <c r="B7970" s="77"/>
      <c r="C7970" s="78"/>
      <c r="D7970" s="78">
        <v>0</v>
      </c>
      <c r="E7970" s="78">
        <f>TRUNC(D7970*E7969/100,2)</f>
        <v>0</v>
      </c>
    </row>
    <row r="7971" spans="1:5">
      <c r="A7971" s="76" t="s">
        <v>2540</v>
      </c>
      <c r="B7971" s="77"/>
      <c r="C7971" s="78"/>
      <c r="D7971" s="78"/>
      <c r="E7971" s="78">
        <f>E7969+E7970</f>
        <v>26.15</v>
      </c>
    </row>
    <row r="7972" spans="1:5">
      <c r="A7972" s="76"/>
      <c r="B7972" s="77"/>
      <c r="C7972" s="78"/>
      <c r="D7972" s="78"/>
      <c r="E7972" s="78"/>
    </row>
    <row r="7973" spans="1:5">
      <c r="A7973" s="76" t="s">
        <v>3092</v>
      </c>
      <c r="B7973" s="77" t="s">
        <v>4262</v>
      </c>
      <c r="C7973" s="78"/>
      <c r="D7973" s="78"/>
      <c r="E7973" s="78"/>
    </row>
    <row r="7974" ht="25.5" spans="1:5">
      <c r="A7974" s="76" t="s">
        <v>4263</v>
      </c>
      <c r="B7974" s="77"/>
      <c r="C7974" s="78"/>
      <c r="D7974" s="78"/>
      <c r="E7974" s="78"/>
    </row>
    <row r="7975" spans="1:5">
      <c r="A7975" s="76" t="s">
        <v>2764</v>
      </c>
      <c r="B7975" s="77"/>
      <c r="C7975" s="78"/>
      <c r="D7975" s="78"/>
      <c r="E7975" s="78"/>
    </row>
    <row r="7976" spans="1:5">
      <c r="A7976" s="76"/>
      <c r="B7976" s="77"/>
      <c r="C7976" s="78"/>
      <c r="D7976" s="78"/>
      <c r="E7976" s="78"/>
    </row>
    <row r="7977" spans="1:5">
      <c r="A7977" s="76" t="s">
        <v>280</v>
      </c>
      <c r="B7977" s="77" t="s">
        <v>135</v>
      </c>
      <c r="C7977" s="78" t="s">
        <v>136</v>
      </c>
      <c r="D7977" s="78" t="s">
        <v>2534</v>
      </c>
      <c r="E7977" s="78" t="s">
        <v>2535</v>
      </c>
    </row>
    <row r="7978" spans="1:5">
      <c r="A7978" s="76" t="s">
        <v>4260</v>
      </c>
      <c r="B7978" s="77" t="s">
        <v>839</v>
      </c>
      <c r="C7978" s="78">
        <v>0.01637</v>
      </c>
      <c r="D7978" s="78">
        <v>18</v>
      </c>
      <c r="E7978" s="78">
        <f>TRUNC(C7978*D7978,2)</f>
        <v>0.29</v>
      </c>
    </row>
    <row r="7979" spans="1:5">
      <c r="A7979" s="76" t="s">
        <v>122</v>
      </c>
      <c r="B7979" s="77"/>
      <c r="C7979" s="78"/>
      <c r="D7979" s="78"/>
      <c r="E7979" s="78">
        <f>SUM(E7978:E7978)</f>
        <v>0.29</v>
      </c>
    </row>
    <row r="7980" spans="1:5">
      <c r="A7980" s="76" t="s">
        <v>117</v>
      </c>
      <c r="B7980" s="77"/>
      <c r="C7980" s="78"/>
      <c r="D7980" s="78"/>
      <c r="E7980" s="78" t="str">
        <f>"0"</f>
        <v>0</v>
      </c>
    </row>
    <row r="7981" spans="1:5">
      <c r="A7981" s="76" t="s">
        <v>2537</v>
      </c>
      <c r="B7981" s="77"/>
      <c r="C7981" s="78"/>
      <c r="D7981" s="78"/>
      <c r="E7981" s="78">
        <f>E7979+E7980</f>
        <v>0.29</v>
      </c>
    </row>
    <row r="7982" spans="1:5">
      <c r="A7982" s="76"/>
      <c r="B7982" s="77"/>
      <c r="C7982" s="78"/>
      <c r="D7982" s="78"/>
      <c r="E7982" s="78"/>
    </row>
    <row r="7983" spans="1:5">
      <c r="A7983" s="76" t="s">
        <v>2538</v>
      </c>
      <c r="B7983" s="77"/>
      <c r="C7983" s="78"/>
      <c r="D7983" s="78"/>
      <c r="E7983" s="78">
        <f>E7981</f>
        <v>0.29</v>
      </c>
    </row>
    <row r="7984" spans="1:5">
      <c r="A7984" s="76" t="s">
        <v>2539</v>
      </c>
      <c r="B7984" s="77"/>
      <c r="C7984" s="78"/>
      <c r="D7984" s="78">
        <v>0</v>
      </c>
      <c r="E7984" s="78">
        <f>TRUNC(D7984*E7983/100,2)</f>
        <v>0</v>
      </c>
    </row>
    <row r="7985" spans="1:5">
      <c r="A7985" s="76" t="s">
        <v>2540</v>
      </c>
      <c r="B7985" s="77"/>
      <c r="C7985" s="78"/>
      <c r="D7985" s="78"/>
      <c r="E7985" s="78">
        <f>E7983+E7984</f>
        <v>0.29</v>
      </c>
    </row>
    <row r="7986" spans="1:5">
      <c r="A7986" s="76"/>
      <c r="B7986" s="77"/>
      <c r="C7986" s="78"/>
      <c r="D7986" s="78"/>
      <c r="E7986" s="78"/>
    </row>
    <row r="7987" spans="1:5">
      <c r="A7987" s="76" t="s">
        <v>3092</v>
      </c>
      <c r="B7987" s="77" t="s">
        <v>4264</v>
      </c>
      <c r="C7987" s="78"/>
      <c r="D7987" s="78"/>
      <c r="E7987" s="78"/>
    </row>
    <row r="7988" ht="25.5" spans="1:5">
      <c r="A7988" s="76" t="s">
        <v>4265</v>
      </c>
      <c r="B7988" s="77"/>
      <c r="C7988" s="78"/>
      <c r="D7988" s="78"/>
      <c r="E7988" s="78"/>
    </row>
    <row r="7989" spans="1:5">
      <c r="A7989" s="76" t="s">
        <v>2764</v>
      </c>
      <c r="B7989" s="77"/>
      <c r="C7989" s="78"/>
      <c r="D7989" s="78"/>
      <c r="E7989" s="78"/>
    </row>
    <row r="7990" spans="1:5">
      <c r="A7990" s="76"/>
      <c r="B7990" s="77"/>
      <c r="C7990" s="78"/>
      <c r="D7990" s="78"/>
      <c r="E7990" s="78"/>
    </row>
    <row r="7991" spans="1:5">
      <c r="A7991" s="76" t="s">
        <v>2543</v>
      </c>
      <c r="B7991" s="77" t="s">
        <v>135</v>
      </c>
      <c r="C7991" s="78" t="s">
        <v>136</v>
      </c>
      <c r="D7991" s="78" t="s">
        <v>2534</v>
      </c>
      <c r="E7991" s="78" t="s">
        <v>2535</v>
      </c>
    </row>
    <row r="7992" ht="25.5" spans="1:5">
      <c r="A7992" s="76" t="s">
        <v>4266</v>
      </c>
      <c r="B7992" s="77" t="s">
        <v>494</v>
      </c>
      <c r="C7992" s="78">
        <v>6.4e-5</v>
      </c>
      <c r="D7992" s="78">
        <v>4363.58</v>
      </c>
      <c r="E7992" s="78">
        <f>TRUNC(C7992*D7992,2)</f>
        <v>0.27</v>
      </c>
    </row>
    <row r="7993" spans="1:5">
      <c r="A7993" s="76" t="s">
        <v>122</v>
      </c>
      <c r="B7993" s="77"/>
      <c r="C7993" s="78"/>
      <c r="D7993" s="78"/>
      <c r="E7993" s="78">
        <f>SUM(E7992:E7992)</f>
        <v>0.27</v>
      </c>
    </row>
    <row r="7994" spans="1:5">
      <c r="A7994" s="76"/>
      <c r="B7994" s="77"/>
      <c r="C7994" s="78"/>
      <c r="D7994" s="78"/>
      <c r="E7994" s="78"/>
    </row>
    <row r="7995" spans="1:5">
      <c r="A7995" s="76" t="s">
        <v>2538</v>
      </c>
      <c r="B7995" s="77"/>
      <c r="C7995" s="78"/>
      <c r="D7995" s="78"/>
      <c r="E7995" s="78">
        <f>E7993</f>
        <v>0.27</v>
      </c>
    </row>
    <row r="7996" spans="1:5">
      <c r="A7996" s="76" t="s">
        <v>2539</v>
      </c>
      <c r="B7996" s="77"/>
      <c r="C7996" s="78"/>
      <c r="D7996" s="78">
        <v>0</v>
      </c>
      <c r="E7996" s="78">
        <f>TRUNC(D7996*E7995/100,2)</f>
        <v>0</v>
      </c>
    </row>
    <row r="7997" spans="1:5">
      <c r="A7997" s="76" t="s">
        <v>2540</v>
      </c>
      <c r="B7997" s="77"/>
      <c r="C7997" s="78"/>
      <c r="D7997" s="78"/>
      <c r="E7997" s="78">
        <f>E7995+E7996</f>
        <v>0.27</v>
      </c>
    </row>
    <row r="7998" spans="1:5">
      <c r="A7998" s="76"/>
      <c r="B7998" s="77"/>
      <c r="C7998" s="78"/>
      <c r="D7998" s="78"/>
      <c r="E7998" s="78"/>
    </row>
    <row r="7999" spans="1:5">
      <c r="A7999" s="76" t="s">
        <v>3092</v>
      </c>
      <c r="B7999" s="77" t="s">
        <v>4267</v>
      </c>
      <c r="C7999" s="78"/>
      <c r="D7999" s="78"/>
      <c r="E7999" s="78"/>
    </row>
    <row r="8000" ht="25.5" spans="1:5">
      <c r="A8000" s="76" t="s">
        <v>4268</v>
      </c>
      <c r="B8000" s="77"/>
      <c r="C8000" s="78"/>
      <c r="D8000" s="78"/>
      <c r="E8000" s="78"/>
    </row>
    <row r="8001" spans="1:5">
      <c r="A8001" s="76" t="s">
        <v>2764</v>
      </c>
      <c r="B8001" s="77"/>
      <c r="C8001" s="78"/>
      <c r="D8001" s="78"/>
      <c r="E8001" s="78"/>
    </row>
    <row r="8002" spans="1:5">
      <c r="A8002" s="76"/>
      <c r="B8002" s="77"/>
      <c r="C8002" s="78"/>
      <c r="D8002" s="78"/>
      <c r="E8002" s="78"/>
    </row>
    <row r="8003" spans="1:5">
      <c r="A8003" s="76" t="s">
        <v>2543</v>
      </c>
      <c r="B8003" s="77" t="s">
        <v>135</v>
      </c>
      <c r="C8003" s="78" t="s">
        <v>136</v>
      </c>
      <c r="D8003" s="78" t="s">
        <v>2534</v>
      </c>
      <c r="E8003" s="78" t="s">
        <v>2535</v>
      </c>
    </row>
    <row r="8004" ht="25.5" spans="1:5">
      <c r="A8004" s="76" t="s">
        <v>4266</v>
      </c>
      <c r="B8004" s="77" t="s">
        <v>494</v>
      </c>
      <c r="C8004" s="78">
        <v>1.48e-5</v>
      </c>
      <c r="D8004" s="78">
        <v>4363.58</v>
      </c>
      <c r="E8004" s="78">
        <f>TRUNC(C8004*D8004,2)</f>
        <v>0.06</v>
      </c>
    </row>
    <row r="8005" spans="1:5">
      <c r="A8005" s="76" t="s">
        <v>122</v>
      </c>
      <c r="B8005" s="77"/>
      <c r="C8005" s="78"/>
      <c r="D8005" s="78"/>
      <c r="E8005" s="78">
        <f>SUM(E8004:E8004)</f>
        <v>0.06</v>
      </c>
    </row>
    <row r="8006" spans="1:5">
      <c r="A8006" s="76"/>
      <c r="B8006" s="77"/>
      <c r="C8006" s="78"/>
      <c r="D8006" s="78"/>
      <c r="E8006" s="78"/>
    </row>
    <row r="8007" spans="1:5">
      <c r="A8007" s="76" t="s">
        <v>2538</v>
      </c>
      <c r="B8007" s="77"/>
      <c r="C8007" s="78"/>
      <c r="D8007" s="78"/>
      <c r="E8007" s="78">
        <f>E8005</f>
        <v>0.06</v>
      </c>
    </row>
    <row r="8008" spans="1:5">
      <c r="A8008" s="76" t="s">
        <v>2539</v>
      </c>
      <c r="B8008" s="77"/>
      <c r="C8008" s="78"/>
      <c r="D8008" s="78">
        <v>0</v>
      </c>
      <c r="E8008" s="78">
        <f>TRUNC(D8008*E8007/100,2)</f>
        <v>0</v>
      </c>
    </row>
    <row r="8009" spans="1:5">
      <c r="A8009" s="76" t="s">
        <v>2540</v>
      </c>
      <c r="B8009" s="77"/>
      <c r="C8009" s="78"/>
      <c r="D8009" s="78"/>
      <c r="E8009" s="78">
        <f>E8007+E8008</f>
        <v>0.06</v>
      </c>
    </row>
    <row r="8010" spans="1:5">
      <c r="A8010" s="76"/>
      <c r="B8010" s="77"/>
      <c r="C8010" s="78"/>
      <c r="D8010" s="78"/>
      <c r="E8010" s="78"/>
    </row>
    <row r="8011" spans="1:5">
      <c r="A8011" s="76" t="s">
        <v>3092</v>
      </c>
      <c r="B8011" s="77" t="s">
        <v>4269</v>
      </c>
      <c r="C8011" s="78"/>
      <c r="D8011" s="78"/>
      <c r="E8011" s="78"/>
    </row>
    <row r="8012" ht="25.5" spans="1:5">
      <c r="A8012" s="76" t="s">
        <v>4270</v>
      </c>
      <c r="B8012" s="77"/>
      <c r="C8012" s="78"/>
      <c r="D8012" s="78"/>
      <c r="E8012" s="78"/>
    </row>
    <row r="8013" spans="1:5">
      <c r="A8013" s="76" t="s">
        <v>2764</v>
      </c>
      <c r="B8013" s="77"/>
      <c r="C8013" s="78"/>
      <c r="D8013" s="78"/>
      <c r="E8013" s="78"/>
    </row>
    <row r="8014" spans="1:5">
      <c r="A8014" s="76"/>
      <c r="B8014" s="77"/>
      <c r="C8014" s="78"/>
      <c r="D8014" s="78"/>
      <c r="E8014" s="78"/>
    </row>
    <row r="8015" spans="1:5">
      <c r="A8015" s="76" t="s">
        <v>2543</v>
      </c>
      <c r="B8015" s="77" t="s">
        <v>135</v>
      </c>
      <c r="C8015" s="78" t="s">
        <v>136</v>
      </c>
      <c r="D8015" s="78" t="s">
        <v>2534</v>
      </c>
      <c r="E8015" s="78" t="s">
        <v>2535</v>
      </c>
    </row>
    <row r="8016" ht="25.5" spans="1:5">
      <c r="A8016" s="76" t="s">
        <v>4266</v>
      </c>
      <c r="B8016" s="77" t="s">
        <v>494</v>
      </c>
      <c r="C8016" s="78">
        <v>6e-5</v>
      </c>
      <c r="D8016" s="78">
        <v>4363.58</v>
      </c>
      <c r="E8016" s="78">
        <f>TRUNC(C8016*D8016,2)</f>
        <v>0.26</v>
      </c>
    </row>
    <row r="8017" spans="1:5">
      <c r="A8017" s="76" t="s">
        <v>122</v>
      </c>
      <c r="B8017" s="77"/>
      <c r="C8017" s="78"/>
      <c r="D8017" s="78"/>
      <c r="E8017" s="78">
        <f>SUM(E8016:E8016)</f>
        <v>0.26</v>
      </c>
    </row>
    <row r="8018" spans="1:5">
      <c r="A8018" s="76"/>
      <c r="B8018" s="77"/>
      <c r="C8018" s="78"/>
      <c r="D8018" s="78"/>
      <c r="E8018" s="78"/>
    </row>
    <row r="8019" spans="1:5">
      <c r="A8019" s="76" t="s">
        <v>2538</v>
      </c>
      <c r="B8019" s="77"/>
      <c r="C8019" s="78"/>
      <c r="D8019" s="78"/>
      <c r="E8019" s="78">
        <f>E8017</f>
        <v>0.26</v>
      </c>
    </row>
    <row r="8020" spans="1:5">
      <c r="A8020" s="76" t="s">
        <v>2539</v>
      </c>
      <c r="B8020" s="77"/>
      <c r="C8020" s="78"/>
      <c r="D8020" s="78">
        <v>0</v>
      </c>
      <c r="E8020" s="78">
        <f>TRUNC(D8020*E8019/100,2)</f>
        <v>0</v>
      </c>
    </row>
    <row r="8021" spans="1:5">
      <c r="A8021" s="76" t="s">
        <v>2540</v>
      </c>
      <c r="B8021" s="77"/>
      <c r="C8021" s="78"/>
      <c r="D8021" s="78"/>
      <c r="E8021" s="78">
        <f>E8019+E8020</f>
        <v>0.26</v>
      </c>
    </row>
    <row r="8022" spans="1:5">
      <c r="A8022" s="76"/>
      <c r="B8022" s="77"/>
      <c r="C8022" s="78"/>
      <c r="D8022" s="78"/>
      <c r="E8022" s="78"/>
    </row>
    <row r="8023" spans="1:5">
      <c r="A8023" s="76" t="s">
        <v>3092</v>
      </c>
      <c r="B8023" s="77" t="s">
        <v>4271</v>
      </c>
      <c r="C8023" s="78"/>
      <c r="D8023" s="78"/>
      <c r="E8023" s="78"/>
    </row>
    <row r="8024" ht="25.5" spans="1:5">
      <c r="A8024" s="76" t="s">
        <v>4272</v>
      </c>
      <c r="B8024" s="77"/>
      <c r="C8024" s="78"/>
      <c r="D8024" s="78"/>
      <c r="E8024" s="78"/>
    </row>
    <row r="8025" spans="1:5">
      <c r="A8025" s="76" t="s">
        <v>2764</v>
      </c>
      <c r="B8025" s="77"/>
      <c r="C8025" s="78"/>
      <c r="D8025" s="78"/>
      <c r="E8025" s="78"/>
    </row>
    <row r="8026" spans="1:5">
      <c r="A8026" s="76"/>
      <c r="B8026" s="77"/>
      <c r="C8026" s="78"/>
      <c r="D8026" s="78"/>
      <c r="E8026" s="78"/>
    </row>
    <row r="8027" spans="1:5">
      <c r="A8027" s="76" t="s">
        <v>2543</v>
      </c>
      <c r="B8027" s="77" t="s">
        <v>135</v>
      </c>
      <c r="C8027" s="78" t="s">
        <v>136</v>
      </c>
      <c r="D8027" s="78" t="s">
        <v>2534</v>
      </c>
      <c r="E8027" s="78" t="s">
        <v>2535</v>
      </c>
    </row>
    <row r="8028" spans="1:5">
      <c r="A8028" s="76" t="s">
        <v>3242</v>
      </c>
      <c r="B8028" s="77" t="s">
        <v>1695</v>
      </c>
      <c r="C8028" s="78">
        <v>0.78</v>
      </c>
      <c r="D8028" s="78">
        <v>0.72</v>
      </c>
      <c r="E8028" s="78">
        <f>TRUNC(C8028*D8028,2)</f>
        <v>0.56</v>
      </c>
    </row>
    <row r="8029" spans="1:5">
      <c r="A8029" s="76" t="s">
        <v>122</v>
      </c>
      <c r="B8029" s="77"/>
      <c r="C8029" s="78"/>
      <c r="D8029" s="78"/>
      <c r="E8029" s="78">
        <f>SUM(E8028:E8028)</f>
        <v>0.56</v>
      </c>
    </row>
    <row r="8030" spans="1:5">
      <c r="A8030" s="76"/>
      <c r="B8030" s="77"/>
      <c r="C8030" s="78"/>
      <c r="D8030" s="78"/>
      <c r="E8030" s="78"/>
    </row>
    <row r="8031" spans="1:5">
      <c r="A8031" s="76" t="s">
        <v>2538</v>
      </c>
      <c r="B8031" s="77"/>
      <c r="C8031" s="78"/>
      <c r="D8031" s="78"/>
      <c r="E8031" s="78">
        <f>E8029</f>
        <v>0.56</v>
      </c>
    </row>
    <row r="8032" spans="1:5">
      <c r="A8032" s="76" t="s">
        <v>2539</v>
      </c>
      <c r="B8032" s="77"/>
      <c r="C8032" s="78"/>
      <c r="D8032" s="78">
        <v>0</v>
      </c>
      <c r="E8032" s="78">
        <f>TRUNC(D8032*E8031/100,2)</f>
        <v>0</v>
      </c>
    </row>
    <row r="8033" spans="1:5">
      <c r="A8033" s="76" t="s">
        <v>2540</v>
      </c>
      <c r="B8033" s="77"/>
      <c r="C8033" s="78"/>
      <c r="D8033" s="78"/>
      <c r="E8033" s="78">
        <f>E8031+E8032</f>
        <v>0.56</v>
      </c>
    </row>
    <row r="8034" spans="1:5">
      <c r="A8034" s="76"/>
      <c r="B8034" s="77"/>
      <c r="C8034" s="78"/>
      <c r="D8034" s="78"/>
      <c r="E8034" s="78"/>
    </row>
    <row r="8035" spans="1:5">
      <c r="A8035" s="76" t="s">
        <v>3092</v>
      </c>
      <c r="B8035" s="77" t="s">
        <v>4273</v>
      </c>
      <c r="C8035" s="78"/>
      <c r="D8035" s="78"/>
      <c r="E8035" s="78"/>
    </row>
    <row r="8036" ht="25.5" spans="1:5">
      <c r="A8036" s="76" t="s">
        <v>4274</v>
      </c>
      <c r="B8036" s="77"/>
      <c r="C8036" s="78"/>
      <c r="D8036" s="78"/>
      <c r="E8036" s="78"/>
    </row>
    <row r="8037" spans="1:5">
      <c r="A8037" s="76" t="s">
        <v>3091</v>
      </c>
      <c r="B8037" s="77"/>
      <c r="C8037" s="78"/>
      <c r="D8037" s="78"/>
      <c r="E8037" s="78"/>
    </row>
    <row r="8038" spans="1:5">
      <c r="A8038" s="76"/>
      <c r="B8038" s="77"/>
      <c r="C8038" s="78"/>
      <c r="D8038" s="78"/>
      <c r="E8038" s="78"/>
    </row>
    <row r="8039" spans="1:5">
      <c r="A8039" s="76" t="s">
        <v>2543</v>
      </c>
      <c r="B8039" s="77" t="s">
        <v>135</v>
      </c>
      <c r="C8039" s="78" t="s">
        <v>136</v>
      </c>
      <c r="D8039" s="78" t="s">
        <v>2534</v>
      </c>
      <c r="E8039" s="78" t="s">
        <v>2535</v>
      </c>
    </row>
    <row r="8040" spans="1:5">
      <c r="A8040" s="76" t="s">
        <v>4253</v>
      </c>
      <c r="B8040" s="77" t="s">
        <v>839</v>
      </c>
      <c r="C8040" s="78">
        <v>1</v>
      </c>
      <c r="D8040" s="78">
        <v>26.15</v>
      </c>
      <c r="E8040" s="78">
        <f>TRUNC(C8040*D8040,2)</f>
        <v>26.15</v>
      </c>
    </row>
    <row r="8041" ht="25.5" spans="1:5">
      <c r="A8041" s="76" t="s">
        <v>4254</v>
      </c>
      <c r="B8041" s="77" t="s">
        <v>839</v>
      </c>
      <c r="C8041" s="78">
        <v>1</v>
      </c>
      <c r="D8041" s="78">
        <v>0.27</v>
      </c>
      <c r="E8041" s="78">
        <f>TRUNC(C8041*D8041,2)</f>
        <v>0.27</v>
      </c>
    </row>
    <row r="8042" ht="25.5" spans="1:5">
      <c r="A8042" s="76" t="s">
        <v>4255</v>
      </c>
      <c r="B8042" s="77" t="s">
        <v>839</v>
      </c>
      <c r="C8042" s="78">
        <v>1</v>
      </c>
      <c r="D8042" s="78">
        <v>0.06</v>
      </c>
      <c r="E8042" s="78">
        <f>TRUNC(C8042*D8042,2)</f>
        <v>0.06</v>
      </c>
    </row>
    <row r="8043" spans="1:5">
      <c r="A8043" s="76" t="s">
        <v>122</v>
      </c>
      <c r="B8043" s="77"/>
      <c r="C8043" s="78"/>
      <c r="D8043" s="78"/>
      <c r="E8043" s="78">
        <f>SUM(E8040:E8042)</f>
        <v>26.48</v>
      </c>
    </row>
    <row r="8044" spans="1:5">
      <c r="A8044" s="76"/>
      <c r="B8044" s="77"/>
      <c r="C8044" s="78"/>
      <c r="D8044" s="78"/>
      <c r="E8044" s="78"/>
    </row>
    <row r="8045" spans="1:5">
      <c r="A8045" s="76" t="s">
        <v>2538</v>
      </c>
      <c r="B8045" s="77"/>
      <c r="C8045" s="78"/>
      <c r="D8045" s="78"/>
      <c r="E8045" s="78">
        <f>E8043</f>
        <v>26.48</v>
      </c>
    </row>
    <row r="8046" spans="1:5">
      <c r="A8046" s="76" t="s">
        <v>2539</v>
      </c>
      <c r="B8046" s="77"/>
      <c r="C8046" s="78"/>
      <c r="D8046" s="78">
        <v>0</v>
      </c>
      <c r="E8046" s="78">
        <f>TRUNC(D8046*E8045/100,2)</f>
        <v>0</v>
      </c>
    </row>
    <row r="8047" spans="1:5">
      <c r="A8047" s="76" t="s">
        <v>2540</v>
      </c>
      <c r="B8047" s="77"/>
      <c r="C8047" s="78"/>
      <c r="D8047" s="78"/>
      <c r="E8047" s="78">
        <f>E8045+E8046</f>
        <v>26.48</v>
      </c>
    </row>
    <row r="8048" spans="1:5">
      <c r="A8048" s="76"/>
      <c r="B8048" s="77"/>
      <c r="C8048" s="78"/>
      <c r="D8048" s="78"/>
      <c r="E8048" s="78"/>
    </row>
    <row r="8049" spans="1:5">
      <c r="A8049" s="76" t="s">
        <v>3092</v>
      </c>
      <c r="B8049" s="77" t="s">
        <v>4275</v>
      </c>
      <c r="C8049" s="78"/>
      <c r="D8049" s="78"/>
      <c r="E8049" s="78"/>
    </row>
    <row r="8050" spans="1:5">
      <c r="A8050" s="76" t="s">
        <v>4276</v>
      </c>
      <c r="B8050" s="77"/>
      <c r="C8050" s="78"/>
      <c r="D8050" s="78"/>
      <c r="E8050" s="78"/>
    </row>
    <row r="8051" spans="1:5">
      <c r="A8051" s="76" t="s">
        <v>2764</v>
      </c>
      <c r="B8051" s="77"/>
      <c r="C8051" s="78"/>
      <c r="D8051" s="78"/>
      <c r="E8051" s="78"/>
    </row>
    <row r="8052" spans="1:5">
      <c r="A8052" s="76"/>
      <c r="B8052" s="77"/>
      <c r="C8052" s="78"/>
      <c r="D8052" s="78"/>
      <c r="E8052" s="78"/>
    </row>
    <row r="8053" spans="1:5">
      <c r="A8053" s="76" t="s">
        <v>279</v>
      </c>
      <c r="B8053" s="77" t="s">
        <v>135</v>
      </c>
      <c r="C8053" s="78" t="s">
        <v>136</v>
      </c>
      <c r="D8053" s="78" t="s">
        <v>2534</v>
      </c>
      <c r="E8053" s="78" t="s">
        <v>2535</v>
      </c>
    </row>
    <row r="8054" ht="25.5" spans="1:5">
      <c r="A8054" s="76" t="s">
        <v>3111</v>
      </c>
      <c r="B8054" s="77" t="s">
        <v>839</v>
      </c>
      <c r="C8054" s="78">
        <v>1</v>
      </c>
      <c r="D8054" s="78">
        <v>1.5</v>
      </c>
      <c r="E8054" s="78">
        <f>TRUNC(C8054*D8054,2)</f>
        <v>1.5</v>
      </c>
    </row>
    <row r="8055" spans="1:5">
      <c r="A8055" s="76" t="s">
        <v>122</v>
      </c>
      <c r="B8055" s="77"/>
      <c r="C8055" s="78"/>
      <c r="D8055" s="78"/>
      <c r="E8055" s="78">
        <f>SUM(E8054:E8054)</f>
        <v>1.5</v>
      </c>
    </row>
    <row r="8056" spans="1:5">
      <c r="A8056" s="76"/>
      <c r="B8056" s="77"/>
      <c r="C8056" s="78"/>
      <c r="D8056" s="78"/>
      <c r="E8056" s="78"/>
    </row>
    <row r="8057" spans="1:5">
      <c r="A8057" s="76" t="s">
        <v>280</v>
      </c>
      <c r="B8057" s="77" t="s">
        <v>135</v>
      </c>
      <c r="C8057" s="78" t="s">
        <v>136</v>
      </c>
      <c r="D8057" s="78" t="s">
        <v>2534</v>
      </c>
      <c r="E8057" s="78" t="s">
        <v>2535</v>
      </c>
    </row>
    <row r="8058" ht="25.5" spans="1:5">
      <c r="A8058" s="76" t="s">
        <v>3112</v>
      </c>
      <c r="B8058" s="77" t="s">
        <v>839</v>
      </c>
      <c r="C8058" s="78">
        <v>1</v>
      </c>
      <c r="D8058" s="78">
        <v>3.95</v>
      </c>
      <c r="E8058" s="78">
        <f>TRUNC(C8058*D8058,2)</f>
        <v>3.95</v>
      </c>
    </row>
    <row r="8059" spans="1:5">
      <c r="A8059" s="76" t="s">
        <v>4277</v>
      </c>
      <c r="B8059" s="77" t="s">
        <v>839</v>
      </c>
      <c r="C8059" s="78">
        <v>1</v>
      </c>
      <c r="D8059" s="78">
        <v>17.58</v>
      </c>
      <c r="E8059" s="78">
        <f>TRUNC(C8059*D8059,2)</f>
        <v>17.58</v>
      </c>
    </row>
    <row r="8060" ht="25.5" spans="1:5">
      <c r="A8060" s="76" t="s">
        <v>3113</v>
      </c>
      <c r="B8060" s="77" t="s">
        <v>839</v>
      </c>
      <c r="C8060" s="78">
        <v>1</v>
      </c>
      <c r="D8060" s="78">
        <v>0.08</v>
      </c>
      <c r="E8060" s="78">
        <f>TRUNC(C8060*D8060,2)</f>
        <v>0.08</v>
      </c>
    </row>
    <row r="8061" spans="1:5">
      <c r="A8061" s="76" t="s">
        <v>122</v>
      </c>
      <c r="B8061" s="77"/>
      <c r="C8061" s="78"/>
      <c r="D8061" s="78"/>
      <c r="E8061" s="78">
        <f>SUM(E8058:E8060)</f>
        <v>21.61</v>
      </c>
    </row>
    <row r="8062" spans="1:5">
      <c r="A8062" s="76" t="s">
        <v>117</v>
      </c>
      <c r="B8062" s="77"/>
      <c r="C8062" s="78"/>
      <c r="D8062" s="78"/>
      <c r="E8062" s="78" t="str">
        <f>"0"</f>
        <v>0</v>
      </c>
    </row>
    <row r="8063" spans="1:5">
      <c r="A8063" s="76" t="s">
        <v>2537</v>
      </c>
      <c r="B8063" s="77"/>
      <c r="C8063" s="78"/>
      <c r="D8063" s="78"/>
      <c r="E8063" s="78">
        <f>E8061+E8062</f>
        <v>21.61</v>
      </c>
    </row>
    <row r="8064" spans="1:5">
      <c r="A8064" s="76"/>
      <c r="B8064" s="77"/>
      <c r="C8064" s="78"/>
      <c r="D8064" s="78"/>
      <c r="E8064" s="78"/>
    </row>
    <row r="8065" spans="1:5">
      <c r="A8065" s="76" t="s">
        <v>2543</v>
      </c>
      <c r="B8065" s="77" t="s">
        <v>135</v>
      </c>
      <c r="C8065" s="78" t="s">
        <v>136</v>
      </c>
      <c r="D8065" s="78" t="s">
        <v>2534</v>
      </c>
      <c r="E8065" s="78" t="s">
        <v>2535</v>
      </c>
    </row>
    <row r="8066" ht="25.5" spans="1:5">
      <c r="A8066" s="76" t="s">
        <v>3195</v>
      </c>
      <c r="B8066" s="77" t="s">
        <v>839</v>
      </c>
      <c r="C8066" s="78">
        <v>1</v>
      </c>
      <c r="D8066" s="78">
        <v>0.89</v>
      </c>
      <c r="E8066" s="78">
        <f>TRUNC(C8066*D8066,2)</f>
        <v>0.89</v>
      </c>
    </row>
    <row r="8067" spans="1:5">
      <c r="A8067" s="76" t="s">
        <v>3116</v>
      </c>
      <c r="B8067" s="77" t="s">
        <v>839</v>
      </c>
      <c r="C8067" s="78">
        <v>1</v>
      </c>
      <c r="D8067" s="78">
        <v>1.43</v>
      </c>
      <c r="E8067" s="78">
        <f>TRUNC(C8067*D8067,2)</f>
        <v>1.43</v>
      </c>
    </row>
    <row r="8068" ht="25.5" spans="1:5">
      <c r="A8068" s="76" t="s">
        <v>3196</v>
      </c>
      <c r="B8068" s="77" t="s">
        <v>839</v>
      </c>
      <c r="C8068" s="78">
        <v>1</v>
      </c>
      <c r="D8068" s="78">
        <v>0.01</v>
      </c>
      <c r="E8068" s="78">
        <f>TRUNC(C8068*D8068,2)</f>
        <v>0.01</v>
      </c>
    </row>
    <row r="8069" ht="25.5" spans="1:5">
      <c r="A8069" s="76" t="s">
        <v>4278</v>
      </c>
      <c r="B8069" s="77" t="s">
        <v>839</v>
      </c>
      <c r="C8069" s="78">
        <v>1</v>
      </c>
      <c r="D8069" s="78">
        <v>0.2</v>
      </c>
      <c r="E8069" s="78">
        <f>TRUNC(C8069*D8069,2)</f>
        <v>0.2</v>
      </c>
    </row>
    <row r="8070" spans="1:5">
      <c r="A8070" s="76" t="s">
        <v>122</v>
      </c>
      <c r="B8070" s="77"/>
      <c r="C8070" s="78"/>
      <c r="D8070" s="78"/>
      <c r="E8070" s="78">
        <f>SUM(E8066:E8069)</f>
        <v>2.53</v>
      </c>
    </row>
    <row r="8071" spans="1:5">
      <c r="A8071" s="76"/>
      <c r="B8071" s="77"/>
      <c r="C8071" s="78"/>
      <c r="D8071" s="78"/>
      <c r="E8071" s="78"/>
    </row>
    <row r="8072" spans="1:5">
      <c r="A8072" s="76" t="s">
        <v>2538</v>
      </c>
      <c r="B8072" s="77"/>
      <c r="C8072" s="78"/>
      <c r="D8072" s="78"/>
      <c r="E8072" s="78">
        <f>E8055+E8063+E8070</f>
        <v>25.64</v>
      </c>
    </row>
    <row r="8073" spans="1:5">
      <c r="A8073" s="76" t="s">
        <v>2539</v>
      </c>
      <c r="B8073" s="77"/>
      <c r="C8073" s="78"/>
      <c r="D8073" s="78">
        <v>0</v>
      </c>
      <c r="E8073" s="78">
        <f>TRUNC(D8073*E8072/100,2)</f>
        <v>0</v>
      </c>
    </row>
    <row r="8074" spans="1:5">
      <c r="A8074" s="76" t="s">
        <v>2540</v>
      </c>
      <c r="B8074" s="77"/>
      <c r="C8074" s="78"/>
      <c r="D8074" s="78"/>
      <c r="E8074" s="78">
        <f>E8072+E8073</f>
        <v>25.64</v>
      </c>
    </row>
    <row r="8075" spans="1:5">
      <c r="A8075" s="76"/>
      <c r="B8075" s="77"/>
      <c r="C8075" s="78"/>
      <c r="D8075" s="78"/>
      <c r="E8075" s="78"/>
    </row>
    <row r="8076" spans="1:5">
      <c r="A8076" s="76" t="s">
        <v>3092</v>
      </c>
      <c r="B8076" s="77" t="s">
        <v>4279</v>
      </c>
      <c r="C8076" s="78"/>
      <c r="D8076" s="78"/>
      <c r="E8076" s="78"/>
    </row>
    <row r="8077" ht="25.5" spans="1:5">
      <c r="A8077" s="76" t="s">
        <v>4280</v>
      </c>
      <c r="B8077" s="77"/>
      <c r="C8077" s="78"/>
      <c r="D8077" s="78"/>
      <c r="E8077" s="78"/>
    </row>
    <row r="8078" spans="1:5">
      <c r="A8078" s="76" t="s">
        <v>2764</v>
      </c>
      <c r="B8078" s="77"/>
      <c r="C8078" s="78"/>
      <c r="D8078" s="78"/>
      <c r="E8078" s="78"/>
    </row>
    <row r="8079" spans="1:5">
      <c r="A8079" s="76"/>
      <c r="B8079" s="77"/>
      <c r="C8079" s="78"/>
      <c r="D8079" s="78"/>
      <c r="E8079" s="78"/>
    </row>
    <row r="8080" spans="1:5">
      <c r="A8080" s="76" t="s">
        <v>280</v>
      </c>
      <c r="B8080" s="77" t="s">
        <v>135</v>
      </c>
      <c r="C8080" s="78" t="s">
        <v>136</v>
      </c>
      <c r="D8080" s="78" t="s">
        <v>2534</v>
      </c>
      <c r="E8080" s="78" t="s">
        <v>2535</v>
      </c>
    </row>
    <row r="8081" spans="1:5">
      <c r="A8081" s="76" t="s">
        <v>4277</v>
      </c>
      <c r="B8081" s="77" t="s">
        <v>839</v>
      </c>
      <c r="C8081" s="78">
        <v>0.01154</v>
      </c>
      <c r="D8081" s="78">
        <v>17.58</v>
      </c>
      <c r="E8081" s="78">
        <f>TRUNC(C8081*D8081,2)</f>
        <v>0.2</v>
      </c>
    </row>
    <row r="8082" spans="1:5">
      <c r="A8082" s="76" t="s">
        <v>122</v>
      </c>
      <c r="B8082" s="77"/>
      <c r="C8082" s="78"/>
      <c r="D8082" s="78"/>
      <c r="E8082" s="78">
        <f>SUM(E8081:E8081)</f>
        <v>0.2</v>
      </c>
    </row>
    <row r="8083" spans="1:5">
      <c r="A8083" s="76" t="s">
        <v>117</v>
      </c>
      <c r="B8083" s="77"/>
      <c r="C8083" s="78"/>
      <c r="D8083" s="78"/>
      <c r="E8083" s="78" t="str">
        <f>"0"</f>
        <v>0</v>
      </c>
    </row>
    <row r="8084" spans="1:5">
      <c r="A8084" s="76" t="s">
        <v>2537</v>
      </c>
      <c r="B8084" s="77"/>
      <c r="C8084" s="78"/>
      <c r="D8084" s="78"/>
      <c r="E8084" s="78">
        <f>E8082+E8083</f>
        <v>0.2</v>
      </c>
    </row>
    <row r="8085" spans="1:5">
      <c r="A8085" s="76"/>
      <c r="B8085" s="77"/>
      <c r="C8085" s="78"/>
      <c r="D8085" s="78"/>
      <c r="E8085" s="78"/>
    </row>
    <row r="8086" spans="1:5">
      <c r="A8086" s="76" t="s">
        <v>2538</v>
      </c>
      <c r="B8086" s="77"/>
      <c r="C8086" s="78"/>
      <c r="D8086" s="78"/>
      <c r="E8086" s="78">
        <f>E8084</f>
        <v>0.2</v>
      </c>
    </row>
    <row r="8087" spans="1:5">
      <c r="A8087" s="76" t="s">
        <v>2539</v>
      </c>
      <c r="B8087" s="77"/>
      <c r="C8087" s="78"/>
      <c r="D8087" s="78">
        <v>0</v>
      </c>
      <c r="E8087" s="78">
        <f>TRUNC(D8087*E8086/100,2)</f>
        <v>0</v>
      </c>
    </row>
    <row r="8088" spans="1:5">
      <c r="A8088" s="76" t="s">
        <v>2540</v>
      </c>
      <c r="B8088" s="77"/>
      <c r="C8088" s="78"/>
      <c r="D8088" s="78"/>
      <c r="E8088" s="78">
        <f>E8086+E8087</f>
        <v>0.2</v>
      </c>
    </row>
    <row r="8089" spans="1:5">
      <c r="A8089" s="76"/>
      <c r="B8089" s="77"/>
      <c r="C8089" s="78"/>
      <c r="D8089" s="78"/>
      <c r="E8089" s="78"/>
    </row>
    <row r="8090" spans="1:5">
      <c r="A8090" s="76" t="s">
        <v>3092</v>
      </c>
      <c r="B8090" s="77" t="s">
        <v>4281</v>
      </c>
      <c r="C8090" s="78"/>
      <c r="D8090" s="78"/>
      <c r="E8090" s="78"/>
    </row>
    <row r="8091" ht="38.25" spans="1:5">
      <c r="A8091" s="76" t="s">
        <v>4282</v>
      </c>
      <c r="B8091" s="77"/>
      <c r="C8091" s="78"/>
      <c r="D8091" s="78"/>
      <c r="E8091" s="78"/>
    </row>
    <row r="8092" spans="1:5">
      <c r="A8092" s="76" t="s">
        <v>2619</v>
      </c>
      <c r="B8092" s="77"/>
      <c r="C8092" s="78"/>
      <c r="D8092" s="78"/>
      <c r="E8092" s="78"/>
    </row>
    <row r="8093" spans="1:5">
      <c r="A8093" s="76"/>
      <c r="B8093" s="77"/>
      <c r="C8093" s="78"/>
      <c r="D8093" s="78"/>
      <c r="E8093" s="78"/>
    </row>
    <row r="8094" spans="1:5">
      <c r="A8094" s="76" t="s">
        <v>2543</v>
      </c>
      <c r="B8094" s="77" t="s">
        <v>135</v>
      </c>
      <c r="C8094" s="78" t="s">
        <v>136</v>
      </c>
      <c r="D8094" s="78" t="s">
        <v>2534</v>
      </c>
      <c r="E8094" s="78" t="s">
        <v>2535</v>
      </c>
    </row>
    <row r="8095" ht="25.5" spans="1:5">
      <c r="A8095" s="76" t="s">
        <v>2755</v>
      </c>
      <c r="B8095" s="77" t="s">
        <v>476</v>
      </c>
      <c r="C8095" s="78">
        <v>1.16</v>
      </c>
      <c r="D8095" s="78">
        <v>205</v>
      </c>
      <c r="E8095" s="78">
        <f t="shared" ref="E8095:E8100" si="57">TRUNC(C8095*D8095,2)</f>
        <v>237.8</v>
      </c>
    </row>
    <row r="8096" spans="1:5">
      <c r="A8096" s="76" t="s">
        <v>3926</v>
      </c>
      <c r="B8096" s="77" t="s">
        <v>463</v>
      </c>
      <c r="C8096" s="78">
        <v>174.1</v>
      </c>
      <c r="D8096" s="78">
        <v>1.5</v>
      </c>
      <c r="E8096" s="78">
        <f t="shared" si="57"/>
        <v>261.15</v>
      </c>
    </row>
    <row r="8097" spans="1:5">
      <c r="A8097" s="76" t="s">
        <v>3001</v>
      </c>
      <c r="B8097" s="77" t="s">
        <v>463</v>
      </c>
      <c r="C8097" s="78">
        <v>195.86</v>
      </c>
      <c r="D8097" s="78">
        <v>0.65</v>
      </c>
      <c r="E8097" s="78">
        <f t="shared" si="57"/>
        <v>127.3</v>
      </c>
    </row>
    <row r="8098" ht="25.5" spans="1:5">
      <c r="A8098" s="76" t="s">
        <v>3442</v>
      </c>
      <c r="B8098" s="77" t="s">
        <v>839</v>
      </c>
      <c r="C8098" s="78">
        <v>4.5</v>
      </c>
      <c r="D8098" s="78">
        <v>26</v>
      </c>
      <c r="E8098" s="78">
        <f t="shared" si="57"/>
        <v>117</v>
      </c>
    </row>
    <row r="8099" ht="38.25" spans="1:5">
      <c r="A8099" s="76" t="s">
        <v>3938</v>
      </c>
      <c r="B8099" s="77" t="s">
        <v>977</v>
      </c>
      <c r="C8099" s="78">
        <v>1.05</v>
      </c>
      <c r="D8099" s="78">
        <v>1.64</v>
      </c>
      <c r="E8099" s="78">
        <f t="shared" si="57"/>
        <v>1.72</v>
      </c>
    </row>
    <row r="8100" ht="38.25" spans="1:5">
      <c r="A8100" s="76" t="s">
        <v>3939</v>
      </c>
      <c r="B8100" s="77" t="s">
        <v>979</v>
      </c>
      <c r="C8100" s="78">
        <v>3.45</v>
      </c>
      <c r="D8100" s="78">
        <v>0.39</v>
      </c>
      <c r="E8100" s="78">
        <f t="shared" si="57"/>
        <v>1.34</v>
      </c>
    </row>
    <row r="8101" spans="1:5">
      <c r="A8101" s="76" t="s">
        <v>122</v>
      </c>
      <c r="B8101" s="77"/>
      <c r="C8101" s="78"/>
      <c r="D8101" s="78"/>
      <c r="E8101" s="78">
        <f>SUM(E8095:E8100)</f>
        <v>746.31</v>
      </c>
    </row>
    <row r="8102" spans="1:5">
      <c r="A8102" s="76"/>
      <c r="B8102" s="77"/>
      <c r="C8102" s="78"/>
      <c r="D8102" s="78"/>
      <c r="E8102" s="78"/>
    </row>
    <row r="8103" spans="1:5">
      <c r="A8103" s="76" t="s">
        <v>2538</v>
      </c>
      <c r="B8103" s="77"/>
      <c r="C8103" s="78"/>
      <c r="D8103" s="78"/>
      <c r="E8103" s="78">
        <f>E8101</f>
        <v>746.31</v>
      </c>
    </row>
    <row r="8104" spans="1:5">
      <c r="A8104" s="76" t="s">
        <v>2539</v>
      </c>
      <c r="B8104" s="77"/>
      <c r="C8104" s="78"/>
      <c r="D8104" s="78">
        <v>0</v>
      </c>
      <c r="E8104" s="78">
        <f>TRUNC(D8104*E8103/100,2)</f>
        <v>0</v>
      </c>
    </row>
    <row r="8105" spans="1:5">
      <c r="A8105" s="76" t="s">
        <v>2540</v>
      </c>
      <c r="B8105" s="77"/>
      <c r="C8105" s="78"/>
      <c r="D8105" s="78"/>
      <c r="E8105" s="78">
        <f>E8103+E8104</f>
        <v>746.31</v>
      </c>
    </row>
    <row r="8106" spans="1:5">
      <c r="A8106" s="76"/>
      <c r="B8106" s="77"/>
      <c r="C8106" s="78"/>
      <c r="D8106" s="78"/>
      <c r="E8106" s="78"/>
    </row>
    <row r="8107" spans="1:5">
      <c r="A8107" s="76" t="s">
        <v>3092</v>
      </c>
      <c r="B8107" s="77" t="s">
        <v>4283</v>
      </c>
      <c r="C8107" s="78"/>
      <c r="D8107" s="78"/>
      <c r="E8107" s="78"/>
    </row>
    <row r="8108" spans="1:5">
      <c r="A8108" s="76" t="s">
        <v>4284</v>
      </c>
      <c r="B8108" s="77"/>
      <c r="C8108" s="78"/>
      <c r="D8108" s="78"/>
      <c r="E8108" s="78"/>
    </row>
    <row r="8109" spans="1:5">
      <c r="A8109" s="76" t="s">
        <v>2764</v>
      </c>
      <c r="B8109" s="77"/>
      <c r="C8109" s="78"/>
      <c r="D8109" s="78"/>
      <c r="E8109" s="78"/>
    </row>
    <row r="8110" spans="1:5">
      <c r="A8110" s="76"/>
      <c r="B8110" s="77"/>
      <c r="C8110" s="78"/>
      <c r="D8110" s="78"/>
      <c r="E8110" s="78"/>
    </row>
    <row r="8111" spans="1:5">
      <c r="A8111" s="76" t="s">
        <v>279</v>
      </c>
      <c r="B8111" s="77" t="s">
        <v>135</v>
      </c>
      <c r="C8111" s="78" t="s">
        <v>136</v>
      </c>
      <c r="D8111" s="78" t="s">
        <v>2534</v>
      </c>
      <c r="E8111" s="78" t="s">
        <v>2535</v>
      </c>
    </row>
    <row r="8112" ht="25.5" spans="1:5">
      <c r="A8112" s="76" t="s">
        <v>3111</v>
      </c>
      <c r="B8112" s="77" t="s">
        <v>839</v>
      </c>
      <c r="C8112" s="78">
        <v>1</v>
      </c>
      <c r="D8112" s="78">
        <v>1.5</v>
      </c>
      <c r="E8112" s="78">
        <f>TRUNC(C8112*D8112,2)</f>
        <v>1.5</v>
      </c>
    </row>
    <row r="8113" spans="1:5">
      <c r="A8113" s="76" t="s">
        <v>122</v>
      </c>
      <c r="B8113" s="77"/>
      <c r="C8113" s="78"/>
      <c r="D8113" s="78"/>
      <c r="E8113" s="78">
        <f>SUM(E8112:E8112)</f>
        <v>1.5</v>
      </c>
    </row>
    <row r="8114" spans="1:5">
      <c r="A8114" s="76"/>
      <c r="B8114" s="77"/>
      <c r="C8114" s="78"/>
      <c r="D8114" s="78"/>
      <c r="E8114" s="78"/>
    </row>
    <row r="8115" spans="1:5">
      <c r="A8115" s="76" t="s">
        <v>280</v>
      </c>
      <c r="B8115" s="77" t="s">
        <v>135</v>
      </c>
      <c r="C8115" s="78" t="s">
        <v>136</v>
      </c>
      <c r="D8115" s="78" t="s">
        <v>2534</v>
      </c>
      <c r="E8115" s="78" t="s">
        <v>2535</v>
      </c>
    </row>
    <row r="8116" ht="25.5" spans="1:5">
      <c r="A8116" s="76" t="s">
        <v>3112</v>
      </c>
      <c r="B8116" s="77" t="s">
        <v>839</v>
      </c>
      <c r="C8116" s="78">
        <v>1</v>
      </c>
      <c r="D8116" s="78">
        <v>3.95</v>
      </c>
      <c r="E8116" s="78">
        <f>TRUNC(C8116*D8116,2)</f>
        <v>3.95</v>
      </c>
    </row>
    <row r="8117" spans="1:5">
      <c r="A8117" s="76" t="s">
        <v>4285</v>
      </c>
      <c r="B8117" s="77" t="s">
        <v>839</v>
      </c>
      <c r="C8117" s="78">
        <v>1</v>
      </c>
      <c r="D8117" s="78">
        <v>21.83</v>
      </c>
      <c r="E8117" s="78">
        <f>TRUNC(C8117*D8117,2)</f>
        <v>21.83</v>
      </c>
    </row>
    <row r="8118" ht="25.5" spans="1:5">
      <c r="A8118" s="76" t="s">
        <v>3113</v>
      </c>
      <c r="B8118" s="77" t="s">
        <v>839</v>
      </c>
      <c r="C8118" s="78">
        <v>1</v>
      </c>
      <c r="D8118" s="78">
        <v>0.08</v>
      </c>
      <c r="E8118" s="78">
        <f>TRUNC(C8118*D8118,2)</f>
        <v>0.08</v>
      </c>
    </row>
    <row r="8119" spans="1:5">
      <c r="A8119" s="76" t="s">
        <v>122</v>
      </c>
      <c r="B8119" s="77"/>
      <c r="C8119" s="78"/>
      <c r="D8119" s="78"/>
      <c r="E8119" s="78">
        <f>SUM(E8116:E8118)</f>
        <v>25.86</v>
      </c>
    </row>
    <row r="8120" spans="1:5">
      <c r="A8120" s="76" t="s">
        <v>117</v>
      </c>
      <c r="B8120" s="77"/>
      <c r="C8120" s="78"/>
      <c r="D8120" s="78"/>
      <c r="E8120" s="78" t="str">
        <f>"0"</f>
        <v>0</v>
      </c>
    </row>
    <row r="8121" spans="1:5">
      <c r="A8121" s="76" t="s">
        <v>2537</v>
      </c>
      <c r="B8121" s="77"/>
      <c r="C8121" s="78"/>
      <c r="D8121" s="78"/>
      <c r="E8121" s="78">
        <f>E8119+E8120</f>
        <v>25.86</v>
      </c>
    </row>
    <row r="8122" spans="1:5">
      <c r="A8122" s="76"/>
      <c r="B8122" s="77"/>
      <c r="C8122" s="78"/>
      <c r="D8122" s="78"/>
      <c r="E8122" s="78"/>
    </row>
    <row r="8123" spans="1:5">
      <c r="A8123" s="76" t="s">
        <v>2543</v>
      </c>
      <c r="B8123" s="77" t="s">
        <v>135</v>
      </c>
      <c r="C8123" s="78" t="s">
        <v>136</v>
      </c>
      <c r="D8123" s="78" t="s">
        <v>2534</v>
      </c>
      <c r="E8123" s="78" t="s">
        <v>2535</v>
      </c>
    </row>
    <row r="8124" ht="25.5" spans="1:5">
      <c r="A8124" s="76" t="s">
        <v>3401</v>
      </c>
      <c r="B8124" s="77" t="s">
        <v>839</v>
      </c>
      <c r="C8124" s="78">
        <v>1</v>
      </c>
      <c r="D8124" s="78">
        <v>1.31</v>
      </c>
      <c r="E8124" s="78">
        <f>TRUNC(C8124*D8124,2)</f>
        <v>1.31</v>
      </c>
    </row>
    <row r="8125" spans="1:5">
      <c r="A8125" s="76" t="s">
        <v>3116</v>
      </c>
      <c r="B8125" s="77" t="s">
        <v>839</v>
      </c>
      <c r="C8125" s="78">
        <v>1</v>
      </c>
      <c r="D8125" s="78">
        <v>1.43</v>
      </c>
      <c r="E8125" s="78">
        <f>TRUNC(C8125*D8125,2)</f>
        <v>1.43</v>
      </c>
    </row>
    <row r="8126" ht="25.5" spans="1:5">
      <c r="A8126" s="76" t="s">
        <v>3402</v>
      </c>
      <c r="B8126" s="77" t="s">
        <v>839</v>
      </c>
      <c r="C8126" s="78">
        <v>1</v>
      </c>
      <c r="D8126" s="78">
        <v>0.78</v>
      </c>
      <c r="E8126" s="78">
        <f>TRUNC(C8126*D8126,2)</f>
        <v>0.78</v>
      </c>
    </row>
    <row r="8127" ht="25.5" spans="1:5">
      <c r="A8127" s="76" t="s">
        <v>4286</v>
      </c>
      <c r="B8127" s="77" t="s">
        <v>839</v>
      </c>
      <c r="C8127" s="78">
        <v>1</v>
      </c>
      <c r="D8127" s="78">
        <v>0.46</v>
      </c>
      <c r="E8127" s="78">
        <f>TRUNC(C8127*D8127,2)</f>
        <v>0.46</v>
      </c>
    </row>
    <row r="8128" spans="1:5">
      <c r="A8128" s="76" t="s">
        <v>122</v>
      </c>
      <c r="B8128" s="77"/>
      <c r="C8128" s="78"/>
      <c r="D8128" s="78"/>
      <c r="E8128" s="78">
        <f>SUM(E8124:E8127)</f>
        <v>3.98</v>
      </c>
    </row>
    <row r="8129" spans="1:5">
      <c r="A8129" s="76"/>
      <c r="B8129" s="77"/>
      <c r="C8129" s="78"/>
      <c r="D8129" s="78"/>
      <c r="E8129" s="78"/>
    </row>
    <row r="8130" spans="1:5">
      <c r="A8130" s="76" t="s">
        <v>2538</v>
      </c>
      <c r="B8130" s="77"/>
      <c r="C8130" s="78"/>
      <c r="D8130" s="78"/>
      <c r="E8130" s="78">
        <f>E8113+E8121+E8128</f>
        <v>31.34</v>
      </c>
    </row>
    <row r="8131" spans="1:5">
      <c r="A8131" s="76" t="s">
        <v>2539</v>
      </c>
      <c r="B8131" s="77"/>
      <c r="C8131" s="78"/>
      <c r="D8131" s="78">
        <v>0</v>
      </c>
      <c r="E8131" s="78">
        <f>TRUNC(D8131*E8130/100,2)</f>
        <v>0</v>
      </c>
    </row>
    <row r="8132" spans="1:5">
      <c r="A8132" s="76" t="s">
        <v>2540</v>
      </c>
      <c r="B8132" s="77"/>
      <c r="C8132" s="78"/>
      <c r="D8132" s="78"/>
      <c r="E8132" s="78">
        <f>E8130+E8131</f>
        <v>31.34</v>
      </c>
    </row>
    <row r="8133" spans="1:5">
      <c r="A8133" s="76"/>
      <c r="B8133" s="77"/>
      <c r="C8133" s="78"/>
      <c r="D8133" s="78"/>
      <c r="E8133" s="78"/>
    </row>
    <row r="8134" spans="1:5">
      <c r="A8134" s="76" t="s">
        <v>3092</v>
      </c>
      <c r="B8134" s="77" t="s">
        <v>4287</v>
      </c>
      <c r="C8134" s="78"/>
      <c r="D8134" s="78"/>
      <c r="E8134" s="78"/>
    </row>
    <row r="8135" ht="25.5" spans="1:5">
      <c r="A8135" s="76" t="s">
        <v>4288</v>
      </c>
      <c r="B8135" s="77"/>
      <c r="C8135" s="78"/>
      <c r="D8135" s="78"/>
      <c r="E8135" s="78"/>
    </row>
    <row r="8136" spans="1:5">
      <c r="A8136" s="76" t="s">
        <v>2764</v>
      </c>
      <c r="B8136" s="77"/>
      <c r="C8136" s="78"/>
      <c r="D8136" s="78"/>
      <c r="E8136" s="78"/>
    </row>
    <row r="8137" spans="1:5">
      <c r="A8137" s="76"/>
      <c r="B8137" s="77"/>
      <c r="C8137" s="78"/>
      <c r="D8137" s="78"/>
      <c r="E8137" s="78"/>
    </row>
    <row r="8138" spans="1:5">
      <c r="A8138" s="76" t="s">
        <v>280</v>
      </c>
      <c r="B8138" s="77" t="s">
        <v>135</v>
      </c>
      <c r="C8138" s="78" t="s">
        <v>136</v>
      </c>
      <c r="D8138" s="78" t="s">
        <v>2534</v>
      </c>
      <c r="E8138" s="78" t="s">
        <v>2535</v>
      </c>
    </row>
    <row r="8139" spans="1:5">
      <c r="A8139" s="76" t="s">
        <v>4285</v>
      </c>
      <c r="B8139" s="77" t="s">
        <v>839</v>
      </c>
      <c r="C8139" s="78">
        <v>0.0212</v>
      </c>
      <c r="D8139" s="78">
        <v>21.83</v>
      </c>
      <c r="E8139" s="78">
        <f>TRUNC(C8139*D8139,2)</f>
        <v>0.46</v>
      </c>
    </row>
    <row r="8140" spans="1:5">
      <c r="A8140" s="76" t="s">
        <v>122</v>
      </c>
      <c r="B8140" s="77"/>
      <c r="C8140" s="78"/>
      <c r="D8140" s="78"/>
      <c r="E8140" s="78">
        <f>SUM(E8139:E8139)</f>
        <v>0.46</v>
      </c>
    </row>
    <row r="8141" spans="1:5">
      <c r="A8141" s="76" t="s">
        <v>117</v>
      </c>
      <c r="B8141" s="77"/>
      <c r="C8141" s="78"/>
      <c r="D8141" s="78"/>
      <c r="E8141" s="78" t="str">
        <f>"0"</f>
        <v>0</v>
      </c>
    </row>
    <row r="8142" spans="1:5">
      <c r="A8142" s="76" t="s">
        <v>2537</v>
      </c>
      <c r="B8142" s="77"/>
      <c r="C8142" s="78"/>
      <c r="D8142" s="78"/>
      <c r="E8142" s="78">
        <f>E8140+E8141</f>
        <v>0.46</v>
      </c>
    </row>
    <row r="8143" spans="1:5">
      <c r="A8143" s="76"/>
      <c r="B8143" s="77"/>
      <c r="C8143" s="78"/>
      <c r="D8143" s="78"/>
      <c r="E8143" s="78"/>
    </row>
    <row r="8144" spans="1:5">
      <c r="A8144" s="76" t="s">
        <v>2538</v>
      </c>
      <c r="B8144" s="77"/>
      <c r="C8144" s="78"/>
      <c r="D8144" s="78"/>
      <c r="E8144" s="78">
        <f>E8142</f>
        <v>0.46</v>
      </c>
    </row>
    <row r="8145" spans="1:5">
      <c r="A8145" s="76" t="s">
        <v>2539</v>
      </c>
      <c r="B8145" s="77"/>
      <c r="C8145" s="78"/>
      <c r="D8145" s="78">
        <v>0</v>
      </c>
      <c r="E8145" s="78">
        <f>TRUNC(D8145*E8144/100,2)</f>
        <v>0</v>
      </c>
    </row>
    <row r="8146" spans="1:5">
      <c r="A8146" s="76" t="s">
        <v>2540</v>
      </c>
      <c r="B8146" s="77"/>
      <c r="C8146" s="78"/>
      <c r="D8146" s="78"/>
      <c r="E8146" s="78">
        <f>E8144+E8145</f>
        <v>0.46</v>
      </c>
    </row>
    <row r="8147" spans="1:5">
      <c r="A8147" s="76"/>
      <c r="B8147" s="77"/>
      <c r="C8147" s="78"/>
      <c r="D8147" s="78"/>
      <c r="E8147" s="78"/>
    </row>
    <row r="8148" spans="1:5">
      <c r="A8148" s="76" t="s">
        <v>3092</v>
      </c>
      <c r="B8148" s="77" t="s">
        <v>4289</v>
      </c>
      <c r="C8148" s="78"/>
      <c r="D8148" s="78"/>
      <c r="E8148" s="78"/>
    </row>
    <row r="8149" ht="25.5" spans="1:5">
      <c r="A8149" s="76" t="s">
        <v>4290</v>
      </c>
      <c r="B8149" s="77"/>
      <c r="C8149" s="78"/>
      <c r="D8149" s="78"/>
      <c r="E8149" s="78"/>
    </row>
    <row r="8150" spans="1:5">
      <c r="A8150" s="76" t="s">
        <v>2619</v>
      </c>
      <c r="B8150" s="77"/>
      <c r="C8150" s="78"/>
      <c r="D8150" s="78"/>
      <c r="E8150" s="78"/>
    </row>
    <row r="8151" spans="1:5">
      <c r="A8151" s="76"/>
      <c r="B8151" s="77"/>
      <c r="C8151" s="78"/>
      <c r="D8151" s="78"/>
      <c r="E8151" s="78"/>
    </row>
    <row r="8152" spans="1:5">
      <c r="A8152" s="76" t="s">
        <v>2543</v>
      </c>
      <c r="B8152" s="77" t="s">
        <v>135</v>
      </c>
      <c r="C8152" s="78" t="s">
        <v>136</v>
      </c>
      <c r="D8152" s="78" t="s">
        <v>2534</v>
      </c>
      <c r="E8152" s="78" t="s">
        <v>2535</v>
      </c>
    </row>
    <row r="8153" ht="25.5" spans="1:5">
      <c r="A8153" s="76" t="s">
        <v>4291</v>
      </c>
      <c r="B8153" s="77" t="s">
        <v>466</v>
      </c>
      <c r="C8153" s="78">
        <v>13.0514</v>
      </c>
      <c r="D8153" s="78">
        <v>47.2</v>
      </c>
      <c r="E8153" s="78">
        <f t="shared" ref="E8153:E8166" si="58">TRUNC(C8153*D8153,2)</f>
        <v>616.02</v>
      </c>
    </row>
    <row r="8154" ht="25.5" spans="1:5">
      <c r="A8154" s="76" t="s">
        <v>4292</v>
      </c>
      <c r="B8154" s="77" t="s">
        <v>466</v>
      </c>
      <c r="C8154" s="78">
        <v>0.6074</v>
      </c>
      <c r="D8154" s="78">
        <v>14.47</v>
      </c>
      <c r="E8154" s="78">
        <f t="shared" si="58"/>
        <v>8.78</v>
      </c>
    </row>
    <row r="8155" ht="25.5" spans="1:5">
      <c r="A8155" s="76" t="s">
        <v>2814</v>
      </c>
      <c r="B8155" s="77" t="s">
        <v>215</v>
      </c>
      <c r="C8155" s="78">
        <v>0.0667</v>
      </c>
      <c r="D8155" s="78">
        <v>7.16</v>
      </c>
      <c r="E8155" s="78">
        <f t="shared" si="58"/>
        <v>0.47</v>
      </c>
    </row>
    <row r="8156" ht="38.25" spans="1:5">
      <c r="A8156" s="76" t="s">
        <v>4293</v>
      </c>
      <c r="B8156" s="77" t="s">
        <v>463</v>
      </c>
      <c r="C8156" s="78">
        <v>6</v>
      </c>
      <c r="D8156" s="78">
        <v>8.38</v>
      </c>
      <c r="E8156" s="78">
        <f t="shared" si="58"/>
        <v>50.28</v>
      </c>
    </row>
    <row r="8157" spans="1:5">
      <c r="A8157" s="76" t="s">
        <v>2833</v>
      </c>
      <c r="B8157" s="77" t="s">
        <v>463</v>
      </c>
      <c r="C8157" s="78">
        <v>2.1276</v>
      </c>
      <c r="D8157" s="78">
        <v>20.72</v>
      </c>
      <c r="E8157" s="78">
        <f t="shared" si="58"/>
        <v>44.08</v>
      </c>
    </row>
    <row r="8158" spans="1:5">
      <c r="A8158" s="76" t="s">
        <v>2621</v>
      </c>
      <c r="B8158" s="77" t="s">
        <v>839</v>
      </c>
      <c r="C8158" s="78">
        <v>31.7545</v>
      </c>
      <c r="D8158" s="78">
        <v>23.75</v>
      </c>
      <c r="E8158" s="78">
        <f t="shared" si="58"/>
        <v>754.16</v>
      </c>
    </row>
    <row r="8159" spans="1:5">
      <c r="A8159" s="76" t="s">
        <v>2576</v>
      </c>
      <c r="B8159" s="77" t="s">
        <v>839</v>
      </c>
      <c r="C8159" s="78">
        <v>4.3072</v>
      </c>
      <c r="D8159" s="78">
        <v>24.4</v>
      </c>
      <c r="E8159" s="78">
        <f t="shared" si="58"/>
        <v>105.09</v>
      </c>
    </row>
    <row r="8160" spans="1:5">
      <c r="A8160" s="76" t="s">
        <v>2835</v>
      </c>
      <c r="B8160" s="77" t="s">
        <v>839</v>
      </c>
      <c r="C8160" s="78">
        <v>21.5358</v>
      </c>
      <c r="D8160" s="78">
        <v>29.67</v>
      </c>
      <c r="E8160" s="78">
        <f t="shared" si="58"/>
        <v>638.96</v>
      </c>
    </row>
    <row r="8161" spans="1:5">
      <c r="A8161" s="76" t="s">
        <v>2630</v>
      </c>
      <c r="B8161" s="77" t="s">
        <v>839</v>
      </c>
      <c r="C8161" s="78">
        <v>31.7545</v>
      </c>
      <c r="D8161" s="78">
        <v>31.34</v>
      </c>
      <c r="E8161" s="78">
        <f t="shared" si="58"/>
        <v>995.18</v>
      </c>
    </row>
    <row r="8162" ht="25.5" spans="1:5">
      <c r="A8162" s="76" t="s">
        <v>2818</v>
      </c>
      <c r="B8162" s="77" t="s">
        <v>977</v>
      </c>
      <c r="C8162" s="78">
        <v>6.635</v>
      </c>
      <c r="D8162" s="78">
        <v>1.23</v>
      </c>
      <c r="E8162" s="78">
        <f t="shared" si="58"/>
        <v>8.16</v>
      </c>
    </row>
    <row r="8163" ht="25.5" spans="1:5">
      <c r="A8163" s="76" t="s">
        <v>2586</v>
      </c>
      <c r="B8163" s="77" t="s">
        <v>977</v>
      </c>
      <c r="C8163" s="78">
        <v>0.8801</v>
      </c>
      <c r="D8163" s="78">
        <v>27.22</v>
      </c>
      <c r="E8163" s="78">
        <f t="shared" si="58"/>
        <v>23.95</v>
      </c>
    </row>
    <row r="8164" ht="25.5" spans="1:5">
      <c r="A8164" s="76" t="s">
        <v>2819</v>
      </c>
      <c r="B8164" s="77" t="s">
        <v>979</v>
      </c>
      <c r="C8164" s="78">
        <v>18.0917</v>
      </c>
      <c r="D8164" s="78">
        <v>0.53</v>
      </c>
      <c r="E8164" s="78">
        <f t="shared" si="58"/>
        <v>9.58</v>
      </c>
    </row>
    <row r="8165" ht="25.5" spans="1:5">
      <c r="A8165" s="76" t="s">
        <v>2587</v>
      </c>
      <c r="B8165" s="77" t="s">
        <v>979</v>
      </c>
      <c r="C8165" s="78">
        <v>3.4271</v>
      </c>
      <c r="D8165" s="78">
        <v>26.18</v>
      </c>
      <c r="E8165" s="78">
        <f t="shared" si="58"/>
        <v>89.72</v>
      </c>
    </row>
    <row r="8166" ht="38.25" spans="1:5">
      <c r="A8166" s="76" t="s">
        <v>2837</v>
      </c>
      <c r="B8166" s="77" t="s">
        <v>476</v>
      </c>
      <c r="C8166" s="78">
        <v>1.2</v>
      </c>
      <c r="D8166" s="78">
        <v>587.79</v>
      </c>
      <c r="E8166" s="78">
        <f t="shared" si="58"/>
        <v>705.34</v>
      </c>
    </row>
    <row r="8167" spans="1:5">
      <c r="A8167" s="76" t="s">
        <v>122</v>
      </c>
      <c r="B8167" s="77"/>
      <c r="C8167" s="78"/>
      <c r="D8167" s="78"/>
      <c r="E8167" s="78">
        <f>SUM(E8153:E8166)</f>
        <v>4049.77</v>
      </c>
    </row>
    <row r="8168" spans="1:5">
      <c r="A8168" s="76"/>
      <c r="B8168" s="77"/>
      <c r="C8168" s="78"/>
      <c r="D8168" s="78"/>
      <c r="E8168" s="78"/>
    </row>
    <row r="8169" spans="1:5">
      <c r="A8169" s="76" t="s">
        <v>2538</v>
      </c>
      <c r="B8169" s="77"/>
      <c r="C8169" s="78"/>
      <c r="D8169" s="78"/>
      <c r="E8169" s="78">
        <f>E8167</f>
        <v>4049.77</v>
      </c>
    </row>
    <row r="8170" spans="1:5">
      <c r="A8170" s="76" t="s">
        <v>2539</v>
      </c>
      <c r="B8170" s="77"/>
      <c r="C8170" s="78"/>
      <c r="D8170" s="78">
        <v>0</v>
      </c>
      <c r="E8170" s="78">
        <f>TRUNC(D8170*E8169/100,2)</f>
        <v>0</v>
      </c>
    </row>
    <row r="8171" spans="1:5">
      <c r="A8171" s="76" t="s">
        <v>2540</v>
      </c>
      <c r="B8171" s="77"/>
      <c r="C8171" s="78"/>
      <c r="D8171" s="78"/>
      <c r="E8171" s="78">
        <f>E8169+E8170</f>
        <v>4049.77</v>
      </c>
    </row>
    <row r="8172" spans="1:5">
      <c r="A8172" s="76"/>
      <c r="B8172" s="77"/>
      <c r="C8172" s="78"/>
      <c r="D8172" s="78"/>
      <c r="E8172" s="78"/>
    </row>
    <row r="8173" spans="1:5">
      <c r="A8173" s="76" t="s">
        <v>3092</v>
      </c>
      <c r="B8173" s="77" t="s">
        <v>4294</v>
      </c>
      <c r="C8173" s="78"/>
      <c r="D8173" s="78"/>
      <c r="E8173" s="78"/>
    </row>
    <row r="8174" ht="25.5" spans="1:5">
      <c r="A8174" s="76" t="s">
        <v>4295</v>
      </c>
      <c r="B8174" s="77"/>
      <c r="C8174" s="78"/>
      <c r="D8174" s="78"/>
      <c r="E8174" s="78"/>
    </row>
    <row r="8175" spans="1:5">
      <c r="A8175" s="76" t="s">
        <v>2619</v>
      </c>
      <c r="B8175" s="77"/>
      <c r="C8175" s="78"/>
      <c r="D8175" s="78"/>
      <c r="E8175" s="78"/>
    </row>
    <row r="8176" spans="1:5">
      <c r="A8176" s="76"/>
      <c r="B8176" s="77"/>
      <c r="C8176" s="78"/>
      <c r="D8176" s="78"/>
      <c r="E8176" s="78"/>
    </row>
    <row r="8177" spans="1:5">
      <c r="A8177" s="76" t="s">
        <v>2543</v>
      </c>
      <c r="B8177" s="77" t="s">
        <v>135</v>
      </c>
      <c r="C8177" s="78" t="s">
        <v>136</v>
      </c>
      <c r="D8177" s="78" t="s">
        <v>2534</v>
      </c>
      <c r="E8177" s="78" t="s">
        <v>2535</v>
      </c>
    </row>
    <row r="8178" ht="25.5" spans="1:5">
      <c r="A8178" s="76" t="s">
        <v>2832</v>
      </c>
      <c r="B8178" s="77" t="s">
        <v>466</v>
      </c>
      <c r="C8178" s="78">
        <v>6.7614</v>
      </c>
      <c r="D8178" s="78">
        <v>38.04</v>
      </c>
      <c r="E8178" s="78">
        <f t="shared" ref="E8178:E8195" si="59">TRUNC(C8178*D8178,2)</f>
        <v>257.2</v>
      </c>
    </row>
    <row r="8179" ht="25.5" spans="1:5">
      <c r="A8179" s="76" t="s">
        <v>4292</v>
      </c>
      <c r="B8179" s="77" t="s">
        <v>466</v>
      </c>
      <c r="C8179" s="78">
        <v>0.3189</v>
      </c>
      <c r="D8179" s="78">
        <v>14.47</v>
      </c>
      <c r="E8179" s="78">
        <f t="shared" si="59"/>
        <v>4.61</v>
      </c>
    </row>
    <row r="8180" ht="25.5" spans="1:5">
      <c r="A8180" s="76" t="s">
        <v>2814</v>
      </c>
      <c r="B8180" s="77" t="s">
        <v>215</v>
      </c>
      <c r="C8180" s="78">
        <v>0.035</v>
      </c>
      <c r="D8180" s="78">
        <v>7.16</v>
      </c>
      <c r="E8180" s="78">
        <f t="shared" si="59"/>
        <v>0.25</v>
      </c>
    </row>
    <row r="8181" spans="1:5">
      <c r="A8181" s="76" t="s">
        <v>4296</v>
      </c>
      <c r="B8181" s="77" t="s">
        <v>476</v>
      </c>
      <c r="C8181" s="78">
        <v>0.2475</v>
      </c>
      <c r="D8181" s="78">
        <v>439.92</v>
      </c>
      <c r="E8181" s="78">
        <f t="shared" si="59"/>
        <v>108.88</v>
      </c>
    </row>
    <row r="8182" ht="25.5" spans="1:5">
      <c r="A8182" s="76" t="s">
        <v>2582</v>
      </c>
      <c r="B8182" s="77" t="s">
        <v>112</v>
      </c>
      <c r="C8182" s="78">
        <v>1.4216</v>
      </c>
      <c r="D8182" s="78">
        <v>7.78</v>
      </c>
      <c r="E8182" s="78">
        <f t="shared" si="59"/>
        <v>11.06</v>
      </c>
    </row>
    <row r="8183" spans="1:5">
      <c r="A8183" s="76" t="s">
        <v>2833</v>
      </c>
      <c r="B8183" s="77" t="s">
        <v>463</v>
      </c>
      <c r="C8183" s="78">
        <v>0.2954</v>
      </c>
      <c r="D8183" s="78">
        <v>20.72</v>
      </c>
      <c r="E8183" s="78">
        <f t="shared" si="59"/>
        <v>6.12</v>
      </c>
    </row>
    <row r="8184" spans="1:5">
      <c r="A8184" s="76" t="s">
        <v>4297</v>
      </c>
      <c r="B8184" s="77" t="s">
        <v>463</v>
      </c>
      <c r="C8184" s="78">
        <v>0.1843</v>
      </c>
      <c r="D8184" s="78">
        <v>19.08</v>
      </c>
      <c r="E8184" s="78">
        <f t="shared" si="59"/>
        <v>3.51</v>
      </c>
    </row>
    <row r="8185" ht="25.5" spans="1:5">
      <c r="A8185" s="76" t="s">
        <v>2834</v>
      </c>
      <c r="B8185" s="77" t="s">
        <v>112</v>
      </c>
      <c r="C8185" s="78">
        <v>6.25</v>
      </c>
      <c r="D8185" s="78">
        <v>2.72</v>
      </c>
      <c r="E8185" s="78">
        <f t="shared" si="59"/>
        <v>17</v>
      </c>
    </row>
    <row r="8186" spans="1:5">
      <c r="A8186" s="76" t="s">
        <v>2621</v>
      </c>
      <c r="B8186" s="77" t="s">
        <v>839</v>
      </c>
      <c r="C8186" s="78">
        <v>7.3795</v>
      </c>
      <c r="D8186" s="78">
        <v>23.75</v>
      </c>
      <c r="E8186" s="78">
        <f t="shared" si="59"/>
        <v>175.26</v>
      </c>
    </row>
    <row r="8187" spans="1:5">
      <c r="A8187" s="76" t="s">
        <v>2576</v>
      </c>
      <c r="B8187" s="77" t="s">
        <v>839</v>
      </c>
      <c r="C8187" s="78">
        <v>0.8613</v>
      </c>
      <c r="D8187" s="78">
        <v>24.4</v>
      </c>
      <c r="E8187" s="78">
        <f t="shared" si="59"/>
        <v>21.01</v>
      </c>
    </row>
    <row r="8188" spans="1:5">
      <c r="A8188" s="76" t="s">
        <v>2835</v>
      </c>
      <c r="B8188" s="77" t="s">
        <v>839</v>
      </c>
      <c r="C8188" s="78">
        <v>4.3066</v>
      </c>
      <c r="D8188" s="78">
        <v>29.67</v>
      </c>
      <c r="E8188" s="78">
        <f t="shared" si="59"/>
        <v>127.77</v>
      </c>
    </row>
    <row r="8189" spans="1:5">
      <c r="A8189" s="76" t="s">
        <v>2630</v>
      </c>
      <c r="B8189" s="77" t="s">
        <v>839</v>
      </c>
      <c r="C8189" s="78">
        <v>7.3795</v>
      </c>
      <c r="D8189" s="78">
        <v>31.34</v>
      </c>
      <c r="E8189" s="78">
        <f t="shared" si="59"/>
        <v>231.27</v>
      </c>
    </row>
    <row r="8190" ht="25.5" spans="1:5">
      <c r="A8190" s="76" t="s">
        <v>2818</v>
      </c>
      <c r="B8190" s="77" t="s">
        <v>977</v>
      </c>
      <c r="C8190" s="78">
        <v>1.0264</v>
      </c>
      <c r="D8190" s="78">
        <v>1.23</v>
      </c>
      <c r="E8190" s="78">
        <f t="shared" si="59"/>
        <v>1.26</v>
      </c>
    </row>
    <row r="8191" ht="25.5" spans="1:5">
      <c r="A8191" s="76" t="s">
        <v>2586</v>
      </c>
      <c r="B8191" s="77" t="s">
        <v>977</v>
      </c>
      <c r="C8191" s="78">
        <v>0.2675</v>
      </c>
      <c r="D8191" s="78">
        <v>27.22</v>
      </c>
      <c r="E8191" s="78">
        <f t="shared" si="59"/>
        <v>7.28</v>
      </c>
    </row>
    <row r="8192" ht="25.5" spans="1:5">
      <c r="A8192" s="76" t="s">
        <v>2819</v>
      </c>
      <c r="B8192" s="77" t="s">
        <v>979</v>
      </c>
      <c r="C8192" s="78">
        <v>2.7986</v>
      </c>
      <c r="D8192" s="78">
        <v>0.53</v>
      </c>
      <c r="E8192" s="78">
        <f t="shared" si="59"/>
        <v>1.48</v>
      </c>
    </row>
    <row r="8193" ht="25.5" spans="1:5">
      <c r="A8193" s="76" t="s">
        <v>2587</v>
      </c>
      <c r="B8193" s="77" t="s">
        <v>979</v>
      </c>
      <c r="C8193" s="78">
        <v>0.5938</v>
      </c>
      <c r="D8193" s="78">
        <v>26.18</v>
      </c>
      <c r="E8193" s="78">
        <f t="shared" si="59"/>
        <v>15.54</v>
      </c>
    </row>
    <row r="8194" ht="25.5" spans="1:5">
      <c r="A8194" s="76" t="s">
        <v>4298</v>
      </c>
      <c r="B8194" s="77" t="s">
        <v>463</v>
      </c>
      <c r="C8194" s="78">
        <v>32.6798</v>
      </c>
      <c r="D8194" s="78">
        <v>14.72</v>
      </c>
      <c r="E8194" s="78">
        <f t="shared" si="59"/>
        <v>481.04</v>
      </c>
    </row>
    <row r="8195" ht="38.25" spans="1:5">
      <c r="A8195" s="76" t="s">
        <v>4299</v>
      </c>
      <c r="B8195" s="77" t="s">
        <v>476</v>
      </c>
      <c r="C8195" s="78">
        <v>1.103</v>
      </c>
      <c r="D8195" s="78">
        <v>600.06</v>
      </c>
      <c r="E8195" s="78">
        <f t="shared" si="59"/>
        <v>661.86</v>
      </c>
    </row>
    <row r="8196" spans="1:5">
      <c r="A8196" s="76" t="s">
        <v>122</v>
      </c>
      <c r="B8196" s="77"/>
      <c r="C8196" s="78"/>
      <c r="D8196" s="78"/>
      <c r="E8196" s="78">
        <f>SUM(E8178:E8195)</f>
        <v>2132.4</v>
      </c>
    </row>
    <row r="8197" spans="1:5">
      <c r="A8197" s="76"/>
      <c r="B8197" s="77"/>
      <c r="C8197" s="78"/>
      <c r="D8197" s="78"/>
      <c r="E8197" s="78"/>
    </row>
    <row r="8198" spans="1:5">
      <c r="A8198" s="76" t="s">
        <v>2538</v>
      </c>
      <c r="B8198" s="77"/>
      <c r="C8198" s="78"/>
      <c r="D8198" s="78"/>
      <c r="E8198" s="78">
        <f>E8196</f>
        <v>2132.4</v>
      </c>
    </row>
    <row r="8199" spans="1:5">
      <c r="A8199" s="76" t="s">
        <v>2539</v>
      </c>
      <c r="B8199" s="77"/>
      <c r="C8199" s="78"/>
      <c r="D8199" s="78">
        <v>0</v>
      </c>
      <c r="E8199" s="78">
        <f>TRUNC(D8199*E8198/100,2)</f>
        <v>0</v>
      </c>
    </row>
    <row r="8200" spans="1:5">
      <c r="A8200" s="76" t="s">
        <v>2540</v>
      </c>
      <c r="B8200" s="77"/>
      <c r="C8200" s="78"/>
      <c r="D8200" s="78"/>
      <c r="E8200" s="78">
        <f>E8198+E8199</f>
        <v>2132.4</v>
      </c>
    </row>
    <row r="8201" spans="1:5">
      <c r="A8201" s="76"/>
      <c r="B8201" s="77"/>
      <c r="C8201" s="78"/>
      <c r="D8201" s="78"/>
      <c r="E8201" s="78"/>
    </row>
    <row r="8202" spans="1:5">
      <c r="A8202" s="76" t="s">
        <v>3092</v>
      </c>
      <c r="B8202" s="77" t="s">
        <v>4300</v>
      </c>
      <c r="C8202" s="78"/>
      <c r="D8202" s="78"/>
      <c r="E8202" s="78"/>
    </row>
    <row r="8203" ht="25.5" spans="1:5">
      <c r="A8203" s="76" t="s">
        <v>4301</v>
      </c>
      <c r="B8203" s="77"/>
      <c r="C8203" s="78"/>
      <c r="D8203" s="78"/>
      <c r="E8203" s="78"/>
    </row>
    <row r="8204" spans="1:5">
      <c r="A8204" s="76" t="s">
        <v>2776</v>
      </c>
      <c r="B8204" s="77"/>
      <c r="C8204" s="78"/>
      <c r="D8204" s="78"/>
      <c r="E8204" s="78"/>
    </row>
    <row r="8205" spans="1:5">
      <c r="A8205" s="76"/>
      <c r="B8205" s="77"/>
      <c r="C8205" s="78"/>
      <c r="D8205" s="78"/>
      <c r="E8205" s="78"/>
    </row>
    <row r="8206" spans="1:5">
      <c r="A8206" s="76" t="s">
        <v>2543</v>
      </c>
      <c r="B8206" s="77" t="s">
        <v>135</v>
      </c>
      <c r="C8206" s="78" t="s">
        <v>136</v>
      </c>
      <c r="D8206" s="78" t="s">
        <v>2534</v>
      </c>
      <c r="E8206" s="78" t="s">
        <v>2535</v>
      </c>
    </row>
    <row r="8207" ht="25.5" spans="1:5">
      <c r="A8207" s="76" t="s">
        <v>2777</v>
      </c>
      <c r="B8207" s="77" t="s">
        <v>463</v>
      </c>
      <c r="C8207" s="78">
        <v>0.025</v>
      </c>
      <c r="D8207" s="78">
        <v>19.38</v>
      </c>
      <c r="E8207" s="78">
        <f>TRUNC(C8207*D8207,2)</f>
        <v>0.48</v>
      </c>
    </row>
    <row r="8208" ht="25.5" spans="1:5">
      <c r="A8208" s="76" t="s">
        <v>2778</v>
      </c>
      <c r="B8208" s="77" t="s">
        <v>494</v>
      </c>
      <c r="C8208" s="78">
        <v>2.118</v>
      </c>
      <c r="D8208" s="78">
        <v>0.22</v>
      </c>
      <c r="E8208" s="78">
        <f>TRUNC(C8208*D8208,2)</f>
        <v>0.46</v>
      </c>
    </row>
    <row r="8209" spans="1:5">
      <c r="A8209" s="76" t="s">
        <v>2779</v>
      </c>
      <c r="B8209" s="77" t="s">
        <v>839</v>
      </c>
      <c r="C8209" s="78">
        <v>0.0136</v>
      </c>
      <c r="D8209" s="78">
        <v>24.57</v>
      </c>
      <c r="E8209" s="78">
        <f>TRUNC(C8209*D8209,2)</f>
        <v>0.33</v>
      </c>
    </row>
    <row r="8210" spans="1:5">
      <c r="A8210" s="76" t="s">
        <v>2780</v>
      </c>
      <c r="B8210" s="77" t="s">
        <v>839</v>
      </c>
      <c r="C8210" s="78">
        <v>0.0836</v>
      </c>
      <c r="D8210" s="78">
        <v>31.13</v>
      </c>
      <c r="E8210" s="78">
        <f>TRUNC(C8210*D8210,2)</f>
        <v>2.6</v>
      </c>
    </row>
    <row r="8211" spans="1:5">
      <c r="A8211" s="76" t="s">
        <v>3960</v>
      </c>
      <c r="B8211" s="77" t="s">
        <v>463</v>
      </c>
      <c r="C8211" s="78">
        <v>1</v>
      </c>
      <c r="D8211" s="78">
        <v>10.85</v>
      </c>
      <c r="E8211" s="78">
        <f>TRUNC(C8211*D8211,2)</f>
        <v>10.85</v>
      </c>
    </row>
    <row r="8212" spans="1:5">
      <c r="A8212" s="76" t="s">
        <v>122</v>
      </c>
      <c r="B8212" s="77"/>
      <c r="C8212" s="78"/>
      <c r="D8212" s="78"/>
      <c r="E8212" s="78">
        <f>SUM(E8207:E8211)</f>
        <v>14.72</v>
      </c>
    </row>
    <row r="8213" spans="1:5">
      <c r="A8213" s="76"/>
      <c r="B8213" s="77"/>
      <c r="C8213" s="78"/>
      <c r="D8213" s="78"/>
      <c r="E8213" s="78"/>
    </row>
    <row r="8214" spans="1:5">
      <c r="A8214" s="76" t="s">
        <v>2538</v>
      </c>
      <c r="B8214" s="77"/>
      <c r="C8214" s="78"/>
      <c r="D8214" s="78"/>
      <c r="E8214" s="78">
        <f>E8212</f>
        <v>14.72</v>
      </c>
    </row>
    <row r="8215" spans="1:5">
      <c r="A8215" s="76" t="s">
        <v>2539</v>
      </c>
      <c r="B8215" s="77"/>
      <c r="C8215" s="78"/>
      <c r="D8215" s="78">
        <v>0</v>
      </c>
      <c r="E8215" s="78">
        <f>TRUNC(D8215*E8214/100,2)</f>
        <v>0</v>
      </c>
    </row>
    <row r="8216" spans="1:5">
      <c r="A8216" s="76" t="s">
        <v>2540</v>
      </c>
      <c r="B8216" s="77"/>
      <c r="C8216" s="78"/>
      <c r="D8216" s="78"/>
      <c r="E8216" s="78">
        <f>E8214+E8215</f>
        <v>14.72</v>
      </c>
    </row>
    <row r="8217" spans="1:5">
      <c r="A8217" s="76"/>
      <c r="B8217" s="77"/>
      <c r="C8217" s="78"/>
      <c r="D8217" s="78"/>
      <c r="E8217" s="78"/>
    </row>
    <row r="8218" spans="1:5">
      <c r="A8218" s="76" t="s">
        <v>3092</v>
      </c>
      <c r="B8218" s="77" t="s">
        <v>4302</v>
      </c>
      <c r="C8218" s="78"/>
      <c r="D8218" s="78"/>
      <c r="E8218" s="78"/>
    </row>
    <row r="8219" ht="25.5" spans="1:5">
      <c r="A8219" s="76" t="s">
        <v>4303</v>
      </c>
      <c r="B8219" s="77"/>
      <c r="C8219" s="78"/>
      <c r="D8219" s="78"/>
      <c r="E8219" s="78"/>
    </row>
    <row r="8220" spans="1:5">
      <c r="A8220" s="76" t="s">
        <v>2619</v>
      </c>
      <c r="B8220" s="77"/>
      <c r="C8220" s="78"/>
      <c r="D8220" s="78"/>
      <c r="E8220" s="78"/>
    </row>
    <row r="8221" spans="1:5">
      <c r="A8221" s="76"/>
      <c r="B8221" s="77"/>
      <c r="C8221" s="78"/>
      <c r="D8221" s="78"/>
      <c r="E8221" s="78"/>
    </row>
    <row r="8222" spans="1:5">
      <c r="A8222" s="76" t="s">
        <v>2543</v>
      </c>
      <c r="B8222" s="77" t="s">
        <v>135</v>
      </c>
      <c r="C8222" s="78" t="s">
        <v>136</v>
      </c>
      <c r="D8222" s="78" t="s">
        <v>2534</v>
      </c>
      <c r="E8222" s="78" t="s">
        <v>2535</v>
      </c>
    </row>
    <row r="8223" ht="25.5" spans="1:5">
      <c r="A8223" s="76" t="s">
        <v>2755</v>
      </c>
      <c r="B8223" s="77" t="s">
        <v>476</v>
      </c>
      <c r="C8223" s="78">
        <v>0.7119</v>
      </c>
      <c r="D8223" s="78">
        <v>205</v>
      </c>
      <c r="E8223" s="78">
        <f t="shared" ref="E8223:E8229" si="60">TRUNC(C8223*D8223,2)</f>
        <v>145.93</v>
      </c>
    </row>
    <row r="8224" spans="1:5">
      <c r="A8224" s="76" t="s">
        <v>3001</v>
      </c>
      <c r="B8224" s="77" t="s">
        <v>463</v>
      </c>
      <c r="C8224" s="78">
        <v>391.1663</v>
      </c>
      <c r="D8224" s="78">
        <v>0.65</v>
      </c>
      <c r="E8224" s="78">
        <f t="shared" si="60"/>
        <v>254.25</v>
      </c>
    </row>
    <row r="8225" ht="25.5" spans="1:5">
      <c r="A8225" s="76" t="s">
        <v>2822</v>
      </c>
      <c r="B8225" s="77" t="s">
        <v>476</v>
      </c>
      <c r="C8225" s="78">
        <v>0.5927</v>
      </c>
      <c r="D8225" s="78">
        <v>197.39</v>
      </c>
      <c r="E8225" s="78">
        <f t="shared" si="60"/>
        <v>116.99</v>
      </c>
    </row>
    <row r="8226" spans="1:5">
      <c r="A8226" s="76" t="s">
        <v>2621</v>
      </c>
      <c r="B8226" s="77" t="s">
        <v>839</v>
      </c>
      <c r="C8226" s="78">
        <v>1.9633</v>
      </c>
      <c r="D8226" s="78">
        <v>23.75</v>
      </c>
      <c r="E8226" s="78">
        <f t="shared" si="60"/>
        <v>46.62</v>
      </c>
    </row>
    <row r="8227" ht="25.5" spans="1:5">
      <c r="A8227" s="76" t="s">
        <v>3442</v>
      </c>
      <c r="B8227" s="77" t="s">
        <v>839</v>
      </c>
      <c r="C8227" s="78">
        <v>1.24</v>
      </c>
      <c r="D8227" s="78">
        <v>26</v>
      </c>
      <c r="E8227" s="78">
        <f t="shared" si="60"/>
        <v>32.24</v>
      </c>
    </row>
    <row r="8228" ht="38.25" spans="1:5">
      <c r="A8228" s="76" t="s">
        <v>3443</v>
      </c>
      <c r="B8228" s="77" t="s">
        <v>977</v>
      </c>
      <c r="C8228" s="78">
        <v>0.6382</v>
      </c>
      <c r="D8228" s="78">
        <v>4.82</v>
      </c>
      <c r="E8228" s="78">
        <f t="shared" si="60"/>
        <v>3.07</v>
      </c>
    </row>
    <row r="8229" ht="38.25" spans="1:5">
      <c r="A8229" s="76" t="s">
        <v>3444</v>
      </c>
      <c r="B8229" s="77" t="s">
        <v>979</v>
      </c>
      <c r="C8229" s="78">
        <v>0.6018</v>
      </c>
      <c r="D8229" s="78">
        <v>1.6</v>
      </c>
      <c r="E8229" s="78">
        <f t="shared" si="60"/>
        <v>0.96</v>
      </c>
    </row>
    <row r="8230" spans="1:5">
      <c r="A8230" s="76" t="s">
        <v>122</v>
      </c>
      <c r="B8230" s="77"/>
      <c r="C8230" s="78"/>
      <c r="D8230" s="78"/>
      <c r="E8230" s="78">
        <f>SUM(E8223:E8229)</f>
        <v>600.06</v>
      </c>
    </row>
    <row r="8231" spans="1:5">
      <c r="A8231" s="76"/>
      <c r="B8231" s="77"/>
      <c r="C8231" s="78"/>
      <c r="D8231" s="78"/>
      <c r="E8231" s="78"/>
    </row>
    <row r="8232" spans="1:5">
      <c r="A8232" s="76" t="s">
        <v>2538</v>
      </c>
      <c r="B8232" s="77"/>
      <c r="C8232" s="78"/>
      <c r="D8232" s="78"/>
      <c r="E8232" s="78">
        <f>E8230</f>
        <v>600.06</v>
      </c>
    </row>
    <row r="8233" spans="1:5">
      <c r="A8233" s="76" t="s">
        <v>2539</v>
      </c>
      <c r="B8233" s="77"/>
      <c r="C8233" s="78"/>
      <c r="D8233" s="78">
        <v>0</v>
      </c>
      <c r="E8233" s="78">
        <f>TRUNC(D8233*E8232/100,2)</f>
        <v>0</v>
      </c>
    </row>
    <row r="8234" spans="1:5">
      <c r="A8234" s="76" t="s">
        <v>2540</v>
      </c>
      <c r="B8234" s="77"/>
      <c r="C8234" s="78"/>
      <c r="D8234" s="78"/>
      <c r="E8234" s="78">
        <f>E8232+E8233</f>
        <v>600.06</v>
      </c>
    </row>
    <row r="8235" spans="1:5">
      <c r="A8235" s="76"/>
      <c r="B8235" s="77"/>
      <c r="C8235" s="78"/>
      <c r="D8235" s="78"/>
      <c r="E8235" s="78"/>
    </row>
    <row r="8236" spans="1:5">
      <c r="A8236" s="76" t="s">
        <v>3092</v>
      </c>
      <c r="B8236" s="77" t="s">
        <v>4304</v>
      </c>
      <c r="C8236" s="78"/>
      <c r="D8236" s="78"/>
      <c r="E8236" s="78"/>
    </row>
    <row r="8237" ht="25.5" spans="1:5">
      <c r="A8237" s="76" t="s">
        <v>4305</v>
      </c>
      <c r="B8237" s="77"/>
      <c r="C8237" s="78"/>
      <c r="D8237" s="78"/>
      <c r="E8237" s="78"/>
    </row>
    <row r="8238" spans="1:5">
      <c r="A8238" s="76" t="s">
        <v>2619</v>
      </c>
      <c r="B8238" s="77"/>
      <c r="C8238" s="78"/>
      <c r="D8238" s="78"/>
      <c r="E8238" s="78"/>
    </row>
    <row r="8239" spans="1:5">
      <c r="A8239" s="76"/>
      <c r="B8239" s="77"/>
      <c r="C8239" s="78"/>
      <c r="D8239" s="78"/>
      <c r="E8239" s="78"/>
    </row>
    <row r="8240" spans="1:5">
      <c r="A8240" s="76" t="s">
        <v>2543</v>
      </c>
      <c r="B8240" s="77" t="s">
        <v>135</v>
      </c>
      <c r="C8240" s="78" t="s">
        <v>136</v>
      </c>
      <c r="D8240" s="78" t="s">
        <v>2534</v>
      </c>
      <c r="E8240" s="78" t="s">
        <v>2535</v>
      </c>
    </row>
    <row r="8241" ht="25.5" spans="1:5">
      <c r="A8241" s="76" t="s">
        <v>2971</v>
      </c>
      <c r="B8241" s="77" t="s">
        <v>476</v>
      </c>
      <c r="C8241" s="78">
        <v>1.1</v>
      </c>
      <c r="D8241" s="78">
        <v>227.89</v>
      </c>
      <c r="E8241" s="78">
        <f t="shared" ref="E8241:E8247" si="61">TRUNC(C8241*D8241,2)</f>
        <v>250.67</v>
      </c>
    </row>
    <row r="8242" spans="1:5">
      <c r="A8242" s="76" t="s">
        <v>2621</v>
      </c>
      <c r="B8242" s="77" t="s">
        <v>839</v>
      </c>
      <c r="C8242" s="78">
        <v>0.8579</v>
      </c>
      <c r="D8242" s="78">
        <v>23.75</v>
      </c>
      <c r="E8242" s="78">
        <f t="shared" si="61"/>
        <v>20.37</v>
      </c>
    </row>
    <row r="8243" spans="1:5">
      <c r="A8243" s="76" t="s">
        <v>2630</v>
      </c>
      <c r="B8243" s="77" t="s">
        <v>839</v>
      </c>
      <c r="C8243" s="78">
        <v>0.572</v>
      </c>
      <c r="D8243" s="78">
        <v>31.34</v>
      </c>
      <c r="E8243" s="78">
        <f t="shared" si="61"/>
        <v>17.92</v>
      </c>
    </row>
    <row r="8244" ht="51" spans="1:5">
      <c r="A8244" s="76" t="s">
        <v>2720</v>
      </c>
      <c r="B8244" s="77" t="s">
        <v>977</v>
      </c>
      <c r="C8244" s="78">
        <v>0.0794</v>
      </c>
      <c r="D8244" s="78">
        <v>146.19</v>
      </c>
      <c r="E8244" s="78">
        <f t="shared" si="61"/>
        <v>11.6</v>
      </c>
    </row>
    <row r="8245" ht="25.5" spans="1:5">
      <c r="A8245" s="76" t="s">
        <v>2645</v>
      </c>
      <c r="B8245" s="77" t="s">
        <v>977</v>
      </c>
      <c r="C8245" s="78">
        <v>0.0325</v>
      </c>
      <c r="D8245" s="78">
        <v>34.3</v>
      </c>
      <c r="E8245" s="78">
        <f t="shared" si="61"/>
        <v>1.11</v>
      </c>
    </row>
    <row r="8246" ht="51" spans="1:5">
      <c r="A8246" s="76" t="s">
        <v>2721</v>
      </c>
      <c r="B8246" s="77" t="s">
        <v>979</v>
      </c>
      <c r="C8246" s="78">
        <v>0.3972</v>
      </c>
      <c r="D8246" s="78">
        <v>62.96</v>
      </c>
      <c r="E8246" s="78">
        <f t="shared" si="61"/>
        <v>25</v>
      </c>
    </row>
    <row r="8247" ht="25.5" spans="1:5">
      <c r="A8247" s="76" t="s">
        <v>2756</v>
      </c>
      <c r="B8247" s="77" t="s">
        <v>979</v>
      </c>
      <c r="C8247" s="78">
        <v>0.0302</v>
      </c>
      <c r="D8247" s="78">
        <v>27.12</v>
      </c>
      <c r="E8247" s="78">
        <f t="shared" si="61"/>
        <v>0.81</v>
      </c>
    </row>
    <row r="8248" spans="1:5">
      <c r="A8248" s="76" t="s">
        <v>122</v>
      </c>
      <c r="B8248" s="77"/>
      <c r="C8248" s="78"/>
      <c r="D8248" s="78"/>
      <c r="E8248" s="78">
        <f>SUM(E8241:E8247)</f>
        <v>327.48</v>
      </c>
    </row>
    <row r="8249" spans="1:5">
      <c r="A8249" s="76"/>
      <c r="B8249" s="77"/>
      <c r="C8249" s="78"/>
      <c r="D8249" s="78"/>
      <c r="E8249" s="78"/>
    </row>
    <row r="8250" spans="1:5">
      <c r="A8250" s="76" t="s">
        <v>2538</v>
      </c>
      <c r="B8250" s="77"/>
      <c r="C8250" s="78"/>
      <c r="D8250" s="78"/>
      <c r="E8250" s="78">
        <f>E8248</f>
        <v>327.48</v>
      </c>
    </row>
    <row r="8251" spans="1:5">
      <c r="A8251" s="76" t="s">
        <v>2539</v>
      </c>
      <c r="B8251" s="77"/>
      <c r="C8251" s="78"/>
      <c r="D8251" s="78">
        <v>0</v>
      </c>
      <c r="E8251" s="78">
        <f>TRUNC(D8251*E8250/100,2)</f>
        <v>0</v>
      </c>
    </row>
    <row r="8252" spans="1:5">
      <c r="A8252" s="76" t="s">
        <v>2540</v>
      </c>
      <c r="B8252" s="77"/>
      <c r="C8252" s="78"/>
      <c r="D8252" s="78"/>
      <c r="E8252" s="78">
        <f>E8250+E8251</f>
        <v>327.48</v>
      </c>
    </row>
    <row r="8253" spans="1:5">
      <c r="A8253" s="76"/>
      <c r="B8253" s="77"/>
      <c r="C8253" s="78"/>
      <c r="D8253" s="78"/>
      <c r="E8253" s="78"/>
    </row>
    <row r="8254" spans="1:5">
      <c r="A8254" s="76" t="s">
        <v>3092</v>
      </c>
      <c r="B8254" s="77" t="s">
        <v>4306</v>
      </c>
      <c r="C8254" s="78"/>
      <c r="D8254" s="78"/>
      <c r="E8254" s="78"/>
    </row>
    <row r="8255" ht="38.25" spans="1:5">
      <c r="A8255" s="76" t="s">
        <v>4307</v>
      </c>
      <c r="B8255" s="77"/>
      <c r="C8255" s="78"/>
      <c r="D8255" s="78"/>
      <c r="E8255" s="78"/>
    </row>
    <row r="8256" spans="1:5">
      <c r="A8256" s="76" t="s">
        <v>2619</v>
      </c>
      <c r="B8256" s="77"/>
      <c r="C8256" s="78"/>
      <c r="D8256" s="78"/>
      <c r="E8256" s="78"/>
    </row>
    <row r="8257" spans="1:5">
      <c r="A8257" s="76"/>
      <c r="B8257" s="77"/>
      <c r="C8257" s="78"/>
      <c r="D8257" s="78"/>
      <c r="E8257" s="78"/>
    </row>
    <row r="8258" spans="1:5">
      <c r="A8258" s="76" t="s">
        <v>2543</v>
      </c>
      <c r="B8258" s="77" t="s">
        <v>135</v>
      </c>
      <c r="C8258" s="78" t="s">
        <v>136</v>
      </c>
      <c r="D8258" s="78" t="s">
        <v>2534</v>
      </c>
      <c r="E8258" s="78" t="s">
        <v>2535</v>
      </c>
    </row>
    <row r="8259" ht="25.5" spans="1:5">
      <c r="A8259" s="76" t="s">
        <v>4308</v>
      </c>
      <c r="B8259" s="77" t="s">
        <v>215</v>
      </c>
      <c r="C8259" s="78">
        <v>19.44</v>
      </c>
      <c r="D8259" s="78">
        <v>7.45</v>
      </c>
      <c r="E8259" s="78">
        <f t="shared" ref="E8259:E8264" si="62">TRUNC(C8259*D8259,2)</f>
        <v>144.82</v>
      </c>
    </row>
    <row r="8260" ht="25.5" spans="1:5">
      <c r="A8260" s="76" t="s">
        <v>2755</v>
      </c>
      <c r="B8260" s="77" t="s">
        <v>476</v>
      </c>
      <c r="C8260" s="78">
        <v>1.08</v>
      </c>
      <c r="D8260" s="78">
        <v>205</v>
      </c>
      <c r="E8260" s="78">
        <f t="shared" si="62"/>
        <v>221.4</v>
      </c>
    </row>
    <row r="8261" spans="1:5">
      <c r="A8261" s="76" t="s">
        <v>3001</v>
      </c>
      <c r="B8261" s="77" t="s">
        <v>463</v>
      </c>
      <c r="C8261" s="78">
        <v>486</v>
      </c>
      <c r="D8261" s="78">
        <v>0.65</v>
      </c>
      <c r="E8261" s="78">
        <f t="shared" si="62"/>
        <v>315.9</v>
      </c>
    </row>
    <row r="8262" ht="25.5" spans="1:5">
      <c r="A8262" s="76" t="s">
        <v>3442</v>
      </c>
      <c r="B8262" s="77" t="s">
        <v>839</v>
      </c>
      <c r="C8262" s="78">
        <v>3.75</v>
      </c>
      <c r="D8262" s="78">
        <v>26</v>
      </c>
      <c r="E8262" s="78">
        <f t="shared" si="62"/>
        <v>97.5</v>
      </c>
    </row>
    <row r="8263" ht="38.25" spans="1:5">
      <c r="A8263" s="76" t="s">
        <v>3938</v>
      </c>
      <c r="B8263" s="77" t="s">
        <v>977</v>
      </c>
      <c r="C8263" s="78">
        <v>0.87</v>
      </c>
      <c r="D8263" s="78">
        <v>1.64</v>
      </c>
      <c r="E8263" s="78">
        <f t="shared" si="62"/>
        <v>1.42</v>
      </c>
    </row>
    <row r="8264" ht="38.25" spans="1:5">
      <c r="A8264" s="76" t="s">
        <v>3939</v>
      </c>
      <c r="B8264" s="77" t="s">
        <v>979</v>
      </c>
      <c r="C8264" s="78">
        <v>2.88</v>
      </c>
      <c r="D8264" s="78">
        <v>0.39</v>
      </c>
      <c r="E8264" s="78">
        <f t="shared" si="62"/>
        <v>1.12</v>
      </c>
    </row>
    <row r="8265" spans="1:5">
      <c r="A8265" s="76" t="s">
        <v>122</v>
      </c>
      <c r="B8265" s="77"/>
      <c r="C8265" s="78"/>
      <c r="D8265" s="78"/>
      <c r="E8265" s="78">
        <f>SUM(E8259:E8264)</f>
        <v>782.16</v>
      </c>
    </row>
    <row r="8266" spans="1:5">
      <c r="A8266" s="76"/>
      <c r="B8266" s="77"/>
      <c r="C8266" s="78"/>
      <c r="D8266" s="78"/>
      <c r="E8266" s="78"/>
    </row>
    <row r="8267" spans="1:5">
      <c r="A8267" s="76" t="s">
        <v>2538</v>
      </c>
      <c r="B8267" s="77"/>
      <c r="C8267" s="78"/>
      <c r="D8267" s="78"/>
      <c r="E8267" s="78">
        <f>E8265</f>
        <v>782.16</v>
      </c>
    </row>
    <row r="8268" spans="1:5">
      <c r="A8268" s="76" t="s">
        <v>2539</v>
      </c>
      <c r="B8268" s="77"/>
      <c r="C8268" s="78"/>
      <c r="D8268" s="78">
        <v>0</v>
      </c>
      <c r="E8268" s="78">
        <f>TRUNC(D8268*E8267/100,2)</f>
        <v>0</v>
      </c>
    </row>
    <row r="8269" spans="1:5">
      <c r="A8269" s="76" t="s">
        <v>2540</v>
      </c>
      <c r="B8269" s="77"/>
      <c r="C8269" s="78"/>
      <c r="D8269" s="78"/>
      <c r="E8269" s="78">
        <f>E8267+E8268</f>
        <v>782.16</v>
      </c>
    </row>
    <row r="8270" spans="1:5">
      <c r="A8270" s="76"/>
      <c r="B8270" s="77"/>
      <c r="C8270" s="78"/>
      <c r="D8270" s="78"/>
      <c r="E8270" s="78"/>
    </row>
    <row r="8271" spans="1:5">
      <c r="A8271" s="76" t="s">
        <v>3092</v>
      </c>
      <c r="B8271" s="77" t="s">
        <v>4309</v>
      </c>
      <c r="C8271" s="78"/>
      <c r="D8271" s="78"/>
      <c r="E8271" s="78"/>
    </row>
    <row r="8272" spans="1:5">
      <c r="A8272" s="76" t="s">
        <v>4310</v>
      </c>
      <c r="B8272" s="77"/>
      <c r="C8272" s="78"/>
      <c r="D8272" s="78"/>
      <c r="E8272" s="78"/>
    </row>
    <row r="8273" spans="1:5">
      <c r="A8273" s="76" t="s">
        <v>2764</v>
      </c>
      <c r="B8273" s="77"/>
      <c r="C8273" s="78"/>
      <c r="D8273" s="78"/>
      <c r="E8273" s="78"/>
    </row>
    <row r="8274" spans="1:5">
      <c r="A8274" s="76"/>
      <c r="B8274" s="77"/>
      <c r="C8274" s="78"/>
      <c r="D8274" s="78"/>
      <c r="E8274" s="78"/>
    </row>
    <row r="8275" spans="1:5">
      <c r="A8275" s="76" t="s">
        <v>279</v>
      </c>
      <c r="B8275" s="77" t="s">
        <v>135</v>
      </c>
      <c r="C8275" s="78" t="s">
        <v>136</v>
      </c>
      <c r="D8275" s="78" t="s">
        <v>2534</v>
      </c>
      <c r="E8275" s="78" t="s">
        <v>2535</v>
      </c>
    </row>
    <row r="8276" ht="25.5" spans="1:5">
      <c r="A8276" s="76" t="s">
        <v>3111</v>
      </c>
      <c r="B8276" s="77" t="s">
        <v>839</v>
      </c>
      <c r="C8276" s="78">
        <v>1</v>
      </c>
      <c r="D8276" s="78">
        <v>1.5</v>
      </c>
      <c r="E8276" s="78">
        <f>TRUNC(C8276*D8276,2)</f>
        <v>1.5</v>
      </c>
    </row>
    <row r="8277" spans="1:5">
      <c r="A8277" s="76" t="s">
        <v>122</v>
      </c>
      <c r="B8277" s="77"/>
      <c r="C8277" s="78"/>
      <c r="D8277" s="78"/>
      <c r="E8277" s="78">
        <f>SUM(E8276:E8276)</f>
        <v>1.5</v>
      </c>
    </row>
    <row r="8278" spans="1:5">
      <c r="A8278" s="76"/>
      <c r="B8278" s="77"/>
      <c r="C8278" s="78"/>
      <c r="D8278" s="78"/>
      <c r="E8278" s="78"/>
    </row>
    <row r="8279" spans="1:5">
      <c r="A8279" s="76" t="s">
        <v>280</v>
      </c>
      <c r="B8279" s="77" t="s">
        <v>135</v>
      </c>
      <c r="C8279" s="78" t="s">
        <v>136</v>
      </c>
      <c r="D8279" s="78" t="s">
        <v>2534</v>
      </c>
      <c r="E8279" s="78" t="s">
        <v>2535</v>
      </c>
    </row>
    <row r="8280" ht="25.5" spans="1:5">
      <c r="A8280" s="76" t="s">
        <v>3112</v>
      </c>
      <c r="B8280" s="77" t="s">
        <v>839</v>
      </c>
      <c r="C8280" s="78">
        <v>1</v>
      </c>
      <c r="D8280" s="78">
        <v>3.95</v>
      </c>
      <c r="E8280" s="78">
        <f>TRUNC(C8280*D8280,2)</f>
        <v>3.95</v>
      </c>
    </row>
    <row r="8281" spans="1:5">
      <c r="A8281" s="76" t="s">
        <v>4311</v>
      </c>
      <c r="B8281" s="77" t="s">
        <v>839</v>
      </c>
      <c r="C8281" s="78">
        <v>1</v>
      </c>
      <c r="D8281" s="78">
        <v>18.86</v>
      </c>
      <c r="E8281" s="78">
        <f>TRUNC(C8281*D8281,2)</f>
        <v>18.86</v>
      </c>
    </row>
    <row r="8282" ht="25.5" spans="1:5">
      <c r="A8282" s="76" t="s">
        <v>3113</v>
      </c>
      <c r="B8282" s="77" t="s">
        <v>839</v>
      </c>
      <c r="C8282" s="78">
        <v>1</v>
      </c>
      <c r="D8282" s="78">
        <v>0.08</v>
      </c>
      <c r="E8282" s="78">
        <f>TRUNC(C8282*D8282,2)</f>
        <v>0.08</v>
      </c>
    </row>
    <row r="8283" spans="1:5">
      <c r="A8283" s="76" t="s">
        <v>122</v>
      </c>
      <c r="B8283" s="77"/>
      <c r="C8283" s="78"/>
      <c r="D8283" s="78"/>
      <c r="E8283" s="78">
        <f>SUM(E8280:E8282)</f>
        <v>22.89</v>
      </c>
    </row>
    <row r="8284" spans="1:5">
      <c r="A8284" s="76" t="s">
        <v>117</v>
      </c>
      <c r="B8284" s="77"/>
      <c r="C8284" s="78"/>
      <c r="D8284" s="78"/>
      <c r="E8284" s="78" t="str">
        <f>"0"</f>
        <v>0</v>
      </c>
    </row>
    <row r="8285" spans="1:5">
      <c r="A8285" s="76" t="s">
        <v>2537</v>
      </c>
      <c r="B8285" s="77"/>
      <c r="C8285" s="78"/>
      <c r="D8285" s="78"/>
      <c r="E8285" s="78">
        <f>E8283+E8284</f>
        <v>22.89</v>
      </c>
    </row>
    <row r="8286" spans="1:5">
      <c r="A8286" s="76"/>
      <c r="B8286" s="77"/>
      <c r="C8286" s="78"/>
      <c r="D8286" s="78"/>
      <c r="E8286" s="78"/>
    </row>
    <row r="8287" spans="1:5">
      <c r="A8287" s="76" t="s">
        <v>2543</v>
      </c>
      <c r="B8287" s="77" t="s">
        <v>135</v>
      </c>
      <c r="C8287" s="78" t="s">
        <v>136</v>
      </c>
      <c r="D8287" s="78" t="s">
        <v>2534</v>
      </c>
      <c r="E8287" s="78" t="s">
        <v>2535</v>
      </c>
    </row>
    <row r="8288" ht="25.5" spans="1:5">
      <c r="A8288" s="76" t="s">
        <v>3401</v>
      </c>
      <c r="B8288" s="77" t="s">
        <v>839</v>
      </c>
      <c r="C8288" s="78">
        <v>1</v>
      </c>
      <c r="D8288" s="78">
        <v>1.31</v>
      </c>
      <c r="E8288" s="78">
        <f>TRUNC(C8288*D8288,2)</f>
        <v>1.31</v>
      </c>
    </row>
    <row r="8289" spans="1:5">
      <c r="A8289" s="76" t="s">
        <v>3116</v>
      </c>
      <c r="B8289" s="77" t="s">
        <v>839</v>
      </c>
      <c r="C8289" s="78">
        <v>1</v>
      </c>
      <c r="D8289" s="78">
        <v>1.43</v>
      </c>
      <c r="E8289" s="78">
        <f>TRUNC(C8289*D8289,2)</f>
        <v>1.43</v>
      </c>
    </row>
    <row r="8290" ht="25.5" spans="1:5">
      <c r="A8290" s="76" t="s">
        <v>3402</v>
      </c>
      <c r="B8290" s="77" t="s">
        <v>839</v>
      </c>
      <c r="C8290" s="78">
        <v>1</v>
      </c>
      <c r="D8290" s="78">
        <v>0.78</v>
      </c>
      <c r="E8290" s="78">
        <f>TRUNC(C8290*D8290,2)</f>
        <v>0.78</v>
      </c>
    </row>
    <row r="8291" ht="25.5" spans="1:5">
      <c r="A8291" s="76" t="s">
        <v>4312</v>
      </c>
      <c r="B8291" s="77" t="s">
        <v>839</v>
      </c>
      <c r="C8291" s="78">
        <v>1</v>
      </c>
      <c r="D8291" s="78">
        <v>0.09</v>
      </c>
      <c r="E8291" s="78">
        <f>TRUNC(C8291*D8291,2)</f>
        <v>0.09</v>
      </c>
    </row>
    <row r="8292" spans="1:5">
      <c r="A8292" s="76" t="s">
        <v>122</v>
      </c>
      <c r="B8292" s="77"/>
      <c r="C8292" s="78"/>
      <c r="D8292" s="78"/>
      <c r="E8292" s="78">
        <f>SUM(E8288:E8291)</f>
        <v>3.61</v>
      </c>
    </row>
    <row r="8293" spans="1:5">
      <c r="A8293" s="76"/>
      <c r="B8293" s="77"/>
      <c r="C8293" s="78"/>
      <c r="D8293" s="78"/>
      <c r="E8293" s="78"/>
    </row>
    <row r="8294" spans="1:5">
      <c r="A8294" s="76" t="s">
        <v>2538</v>
      </c>
      <c r="B8294" s="77"/>
      <c r="C8294" s="78"/>
      <c r="D8294" s="78"/>
      <c r="E8294" s="78">
        <f>E8277+E8285+E8292</f>
        <v>28</v>
      </c>
    </row>
    <row r="8295" spans="1:5">
      <c r="A8295" s="76" t="s">
        <v>2539</v>
      </c>
      <c r="B8295" s="77"/>
      <c r="C8295" s="78"/>
      <c r="D8295" s="78">
        <v>0</v>
      </c>
      <c r="E8295" s="78">
        <f>TRUNC(D8295*E8294/100,2)</f>
        <v>0</v>
      </c>
    </row>
    <row r="8296" spans="1:5">
      <c r="A8296" s="76" t="s">
        <v>2540</v>
      </c>
      <c r="B8296" s="77"/>
      <c r="C8296" s="78"/>
      <c r="D8296" s="78"/>
      <c r="E8296" s="78">
        <f>E8294+E8295</f>
        <v>28</v>
      </c>
    </row>
    <row r="8297" spans="1:5">
      <c r="A8297" s="76"/>
      <c r="B8297" s="77"/>
      <c r="C8297" s="78"/>
      <c r="D8297" s="78"/>
      <c r="E8297" s="78"/>
    </row>
    <row r="8298" spans="1:5">
      <c r="A8298" s="76" t="s">
        <v>3092</v>
      </c>
      <c r="B8298" s="77" t="s">
        <v>4313</v>
      </c>
      <c r="C8298" s="78"/>
      <c r="D8298" s="78"/>
      <c r="E8298" s="78"/>
    </row>
    <row r="8299" ht="25.5" spans="1:5">
      <c r="A8299" s="76" t="s">
        <v>4314</v>
      </c>
      <c r="B8299" s="77"/>
      <c r="C8299" s="78"/>
      <c r="D8299" s="78"/>
      <c r="E8299" s="78"/>
    </row>
    <row r="8300" spans="1:5">
      <c r="A8300" s="76" t="s">
        <v>2764</v>
      </c>
      <c r="B8300" s="77"/>
      <c r="C8300" s="78"/>
      <c r="D8300" s="78"/>
      <c r="E8300" s="78"/>
    </row>
    <row r="8301" spans="1:5">
      <c r="A8301" s="76"/>
      <c r="B8301" s="77"/>
      <c r="C8301" s="78"/>
      <c r="D8301" s="78"/>
      <c r="E8301" s="78"/>
    </row>
    <row r="8302" spans="1:5">
      <c r="A8302" s="76" t="s">
        <v>280</v>
      </c>
      <c r="B8302" s="77" t="s">
        <v>135</v>
      </c>
      <c r="C8302" s="78" t="s">
        <v>136</v>
      </c>
      <c r="D8302" s="78" t="s">
        <v>2534</v>
      </c>
      <c r="E8302" s="78" t="s">
        <v>2535</v>
      </c>
    </row>
    <row r="8303" spans="1:5">
      <c r="A8303" s="76" t="s">
        <v>4311</v>
      </c>
      <c r="B8303" s="77" t="s">
        <v>839</v>
      </c>
      <c r="C8303" s="78">
        <v>0.00509</v>
      </c>
      <c r="D8303" s="78">
        <v>18.86</v>
      </c>
      <c r="E8303" s="78">
        <f>TRUNC(C8303*D8303,2)</f>
        <v>0.09</v>
      </c>
    </row>
    <row r="8304" spans="1:5">
      <c r="A8304" s="76" t="s">
        <v>122</v>
      </c>
      <c r="B8304" s="77"/>
      <c r="C8304" s="78"/>
      <c r="D8304" s="78"/>
      <c r="E8304" s="78">
        <f>SUM(E8303:E8303)</f>
        <v>0.09</v>
      </c>
    </row>
    <row r="8305" spans="1:5">
      <c r="A8305" s="76" t="s">
        <v>117</v>
      </c>
      <c r="B8305" s="77"/>
      <c r="C8305" s="78"/>
      <c r="D8305" s="78"/>
      <c r="E8305" s="78" t="str">
        <f>"0"</f>
        <v>0</v>
      </c>
    </row>
    <row r="8306" spans="1:5">
      <c r="A8306" s="76" t="s">
        <v>2537</v>
      </c>
      <c r="B8306" s="77"/>
      <c r="C8306" s="78"/>
      <c r="D8306" s="78"/>
      <c r="E8306" s="78">
        <f>E8304+E8305</f>
        <v>0.09</v>
      </c>
    </row>
    <row r="8307" spans="1:5">
      <c r="A8307" s="76"/>
      <c r="B8307" s="77"/>
      <c r="C8307" s="78"/>
      <c r="D8307" s="78"/>
      <c r="E8307" s="78"/>
    </row>
    <row r="8308" spans="1:5">
      <c r="A8308" s="76" t="s">
        <v>2538</v>
      </c>
      <c r="B8308" s="77"/>
      <c r="C8308" s="78"/>
      <c r="D8308" s="78"/>
      <c r="E8308" s="78">
        <f>E8306</f>
        <v>0.09</v>
      </c>
    </row>
    <row r="8309" spans="1:5">
      <c r="A8309" s="76" t="s">
        <v>2539</v>
      </c>
      <c r="B8309" s="77"/>
      <c r="C8309" s="78"/>
      <c r="D8309" s="78">
        <v>0</v>
      </c>
      <c r="E8309" s="78">
        <f>TRUNC(D8309*E8308/100,2)</f>
        <v>0</v>
      </c>
    </row>
    <row r="8310" spans="1:5">
      <c r="A8310" s="76" t="s">
        <v>2540</v>
      </c>
      <c r="B8310" s="77"/>
      <c r="C8310" s="78"/>
      <c r="D8310" s="78"/>
      <c r="E8310" s="78">
        <f>E8308+E8309</f>
        <v>0.09</v>
      </c>
    </row>
    <row r="8311" spans="1:5">
      <c r="A8311" s="76"/>
      <c r="B8311" s="77"/>
      <c r="C8311" s="78"/>
      <c r="D8311" s="78"/>
      <c r="E8311" s="78"/>
    </row>
    <row r="8312" spans="1:5">
      <c r="A8312" s="76" t="s">
        <v>3092</v>
      </c>
      <c r="B8312" s="77" t="s">
        <v>4315</v>
      </c>
      <c r="C8312" s="78"/>
      <c r="D8312" s="78"/>
      <c r="E8312" s="78"/>
    </row>
    <row r="8313" spans="1:5">
      <c r="A8313" s="76" t="s">
        <v>4316</v>
      </c>
      <c r="B8313" s="77"/>
      <c r="C8313" s="78"/>
      <c r="D8313" s="78"/>
      <c r="E8313" s="78"/>
    </row>
    <row r="8314" spans="1:5">
      <c r="A8314" s="76" t="s">
        <v>3085</v>
      </c>
      <c r="B8314" s="77"/>
      <c r="C8314" s="78"/>
      <c r="D8314" s="78"/>
      <c r="E8314" s="78"/>
    </row>
    <row r="8315" spans="1:5">
      <c r="A8315" s="76"/>
      <c r="B8315" s="77"/>
      <c r="C8315" s="78"/>
      <c r="D8315" s="78"/>
      <c r="E8315" s="78"/>
    </row>
    <row r="8316" spans="1:5">
      <c r="A8316" s="76" t="s">
        <v>2543</v>
      </c>
      <c r="B8316" s="77" t="s">
        <v>135</v>
      </c>
      <c r="C8316" s="78" t="s">
        <v>136</v>
      </c>
      <c r="D8316" s="78" t="s">
        <v>2534</v>
      </c>
      <c r="E8316" s="78" t="s">
        <v>2535</v>
      </c>
    </row>
    <row r="8317" spans="1:5">
      <c r="A8317" s="76" t="s">
        <v>3645</v>
      </c>
      <c r="B8317" s="77" t="s">
        <v>839</v>
      </c>
      <c r="C8317" s="78">
        <v>1</v>
      </c>
      <c r="D8317" s="78">
        <v>29.94</v>
      </c>
      <c r="E8317" s="78">
        <f>TRUNC(C8317*D8317,2)</f>
        <v>29.94</v>
      </c>
    </row>
    <row r="8318" spans="1:5">
      <c r="A8318" s="76" t="s">
        <v>4317</v>
      </c>
      <c r="B8318" s="77" t="s">
        <v>839</v>
      </c>
      <c r="C8318" s="78">
        <v>1</v>
      </c>
      <c r="D8318" s="78">
        <v>53.09</v>
      </c>
      <c r="E8318" s="78">
        <f>TRUNC(C8318*D8318,2)</f>
        <v>53.09</v>
      </c>
    </row>
    <row r="8319" spans="1:5">
      <c r="A8319" s="76" t="s">
        <v>4318</v>
      </c>
      <c r="B8319" s="77" t="s">
        <v>839</v>
      </c>
      <c r="C8319" s="78">
        <v>1</v>
      </c>
      <c r="D8319" s="78">
        <v>23.38</v>
      </c>
      <c r="E8319" s="78">
        <f>TRUNC(C8319*D8319,2)</f>
        <v>23.38</v>
      </c>
    </row>
    <row r="8320" spans="1:5">
      <c r="A8320" s="76" t="s">
        <v>4319</v>
      </c>
      <c r="B8320" s="77" t="s">
        <v>839</v>
      </c>
      <c r="C8320" s="78">
        <v>1</v>
      </c>
      <c r="D8320" s="78">
        <v>105.43</v>
      </c>
      <c r="E8320" s="78">
        <f>TRUNC(C8320*D8320,2)</f>
        <v>105.43</v>
      </c>
    </row>
    <row r="8321" spans="1:5">
      <c r="A8321" s="76" t="s">
        <v>4320</v>
      </c>
      <c r="B8321" s="77" t="s">
        <v>839</v>
      </c>
      <c r="C8321" s="78">
        <v>1</v>
      </c>
      <c r="D8321" s="78">
        <v>94.83</v>
      </c>
      <c r="E8321" s="78">
        <f>TRUNC(C8321*D8321,2)</f>
        <v>94.83</v>
      </c>
    </row>
    <row r="8322" spans="1:5">
      <c r="A8322" s="76" t="s">
        <v>122</v>
      </c>
      <c r="B8322" s="77"/>
      <c r="C8322" s="78"/>
      <c r="D8322" s="78"/>
      <c r="E8322" s="78">
        <f>SUM(E8317:E8321)</f>
        <v>306.67</v>
      </c>
    </row>
    <row r="8323" spans="1:5">
      <c r="A8323" s="76"/>
      <c r="B8323" s="77"/>
      <c r="C8323" s="78"/>
      <c r="D8323" s="78"/>
      <c r="E8323" s="78"/>
    </row>
    <row r="8324" spans="1:5">
      <c r="A8324" s="76" t="s">
        <v>2538</v>
      </c>
      <c r="B8324" s="77"/>
      <c r="C8324" s="78"/>
      <c r="D8324" s="78"/>
      <c r="E8324" s="78">
        <f>E8322</f>
        <v>306.67</v>
      </c>
    </row>
    <row r="8325" spans="1:5">
      <c r="A8325" s="76" t="s">
        <v>2539</v>
      </c>
      <c r="B8325" s="77"/>
      <c r="C8325" s="78"/>
      <c r="D8325" s="78">
        <v>0</v>
      </c>
      <c r="E8325" s="78">
        <f>TRUNC(D8325*E8324/100,2)</f>
        <v>0</v>
      </c>
    </row>
    <row r="8326" spans="1:5">
      <c r="A8326" s="76" t="s">
        <v>2540</v>
      </c>
      <c r="B8326" s="77"/>
      <c r="C8326" s="78"/>
      <c r="D8326" s="78"/>
      <c r="E8326" s="78">
        <f>E8324+E8325</f>
        <v>306.67</v>
      </c>
    </row>
    <row r="8327" spans="1:5">
      <c r="A8327" s="76"/>
      <c r="B8327" s="77"/>
      <c r="C8327" s="78"/>
      <c r="D8327" s="78"/>
      <c r="E8327" s="78"/>
    </row>
    <row r="8328" spans="1:5">
      <c r="A8328" s="76" t="s">
        <v>3092</v>
      </c>
      <c r="B8328" s="77" t="s">
        <v>4321</v>
      </c>
      <c r="C8328" s="78"/>
      <c r="D8328" s="78"/>
      <c r="E8328" s="78"/>
    </row>
    <row r="8329" spans="1:5">
      <c r="A8329" s="76" t="s">
        <v>4322</v>
      </c>
      <c r="B8329" s="77"/>
      <c r="C8329" s="78"/>
      <c r="D8329" s="78"/>
      <c r="E8329" s="78"/>
    </row>
    <row r="8330" spans="1:5">
      <c r="A8330" s="76" t="s">
        <v>2764</v>
      </c>
      <c r="B8330" s="77"/>
      <c r="C8330" s="78"/>
      <c r="D8330" s="78"/>
      <c r="E8330" s="78"/>
    </row>
    <row r="8331" spans="1:5">
      <c r="A8331" s="76"/>
      <c r="B8331" s="77"/>
      <c r="C8331" s="78"/>
      <c r="D8331" s="78"/>
      <c r="E8331" s="78"/>
    </row>
    <row r="8332" spans="1:5">
      <c r="A8332" s="76" t="s">
        <v>279</v>
      </c>
      <c r="B8332" s="77" t="s">
        <v>135</v>
      </c>
      <c r="C8332" s="78" t="s">
        <v>136</v>
      </c>
      <c r="D8332" s="78" t="s">
        <v>2534</v>
      </c>
      <c r="E8332" s="78" t="s">
        <v>2535</v>
      </c>
    </row>
    <row r="8333" spans="1:5">
      <c r="A8333" s="76" t="s">
        <v>4323</v>
      </c>
      <c r="B8333" s="77" t="s">
        <v>494</v>
      </c>
      <c r="C8333" s="78">
        <v>3.11e-5</v>
      </c>
      <c r="D8333" s="78">
        <v>1707216.73</v>
      </c>
      <c r="E8333" s="78">
        <f>TRUNC(C8333*D8333,2)</f>
        <v>53.09</v>
      </c>
    </row>
    <row r="8334" spans="1:5">
      <c r="A8334" s="76" t="s">
        <v>122</v>
      </c>
      <c r="B8334" s="77"/>
      <c r="C8334" s="78"/>
      <c r="D8334" s="78"/>
      <c r="E8334" s="78">
        <f>SUM(E8333:E8333)</f>
        <v>53.09</v>
      </c>
    </row>
    <row r="8335" spans="1:5">
      <c r="A8335" s="76"/>
      <c r="B8335" s="77"/>
      <c r="C8335" s="78"/>
      <c r="D8335" s="78"/>
      <c r="E8335" s="78"/>
    </row>
    <row r="8336" spans="1:5">
      <c r="A8336" s="76" t="s">
        <v>2538</v>
      </c>
      <c r="B8336" s="77"/>
      <c r="C8336" s="78"/>
      <c r="D8336" s="78"/>
      <c r="E8336" s="78">
        <f>E8334</f>
        <v>53.09</v>
      </c>
    </row>
    <row r="8337" spans="1:5">
      <c r="A8337" s="76" t="s">
        <v>2539</v>
      </c>
      <c r="B8337" s="77"/>
      <c r="C8337" s="78"/>
      <c r="D8337" s="78">
        <v>0</v>
      </c>
      <c r="E8337" s="78">
        <f>TRUNC(D8337*E8336/100,2)</f>
        <v>0</v>
      </c>
    </row>
    <row r="8338" spans="1:5">
      <c r="A8338" s="76" t="s">
        <v>2540</v>
      </c>
      <c r="B8338" s="77"/>
      <c r="C8338" s="78"/>
      <c r="D8338" s="78"/>
      <c r="E8338" s="78">
        <f>E8336+E8337</f>
        <v>53.09</v>
      </c>
    </row>
    <row r="8339" spans="1:5">
      <c r="A8339" s="76"/>
      <c r="B8339" s="77"/>
      <c r="C8339" s="78"/>
      <c r="D8339" s="78"/>
      <c r="E8339" s="78"/>
    </row>
    <row r="8340" spans="1:5">
      <c r="A8340" s="76" t="s">
        <v>3092</v>
      </c>
      <c r="B8340" s="77" t="s">
        <v>4324</v>
      </c>
      <c r="C8340" s="78"/>
      <c r="D8340" s="78"/>
      <c r="E8340" s="78"/>
    </row>
    <row r="8341" spans="1:5">
      <c r="A8341" s="76" t="s">
        <v>4325</v>
      </c>
      <c r="B8341" s="77"/>
      <c r="C8341" s="78"/>
      <c r="D8341" s="78"/>
      <c r="E8341" s="78"/>
    </row>
    <row r="8342" spans="1:5">
      <c r="A8342" s="76" t="s">
        <v>2764</v>
      </c>
      <c r="B8342" s="77"/>
      <c r="C8342" s="78"/>
      <c r="D8342" s="78"/>
      <c r="E8342" s="78"/>
    </row>
    <row r="8343" spans="1:5">
      <c r="A8343" s="76"/>
      <c r="B8343" s="77"/>
      <c r="C8343" s="78"/>
      <c r="D8343" s="78"/>
      <c r="E8343" s="78"/>
    </row>
    <row r="8344" spans="1:5">
      <c r="A8344" s="76" t="s">
        <v>279</v>
      </c>
      <c r="B8344" s="77" t="s">
        <v>135</v>
      </c>
      <c r="C8344" s="78" t="s">
        <v>136</v>
      </c>
      <c r="D8344" s="78" t="s">
        <v>2534</v>
      </c>
      <c r="E8344" s="78" t="s">
        <v>2535</v>
      </c>
    </row>
    <row r="8345" spans="1:5">
      <c r="A8345" s="76" t="s">
        <v>4323</v>
      </c>
      <c r="B8345" s="77" t="s">
        <v>494</v>
      </c>
      <c r="C8345" s="78">
        <v>1.37e-5</v>
      </c>
      <c r="D8345" s="78">
        <v>1707216.73</v>
      </c>
      <c r="E8345" s="78">
        <f>TRUNC(C8345*D8345,2)</f>
        <v>23.38</v>
      </c>
    </row>
    <row r="8346" spans="1:5">
      <c r="A8346" s="76" t="s">
        <v>122</v>
      </c>
      <c r="B8346" s="77"/>
      <c r="C8346" s="78"/>
      <c r="D8346" s="78"/>
      <c r="E8346" s="78">
        <f>SUM(E8345:E8345)</f>
        <v>23.38</v>
      </c>
    </row>
    <row r="8347" spans="1:5">
      <c r="A8347" s="76"/>
      <c r="B8347" s="77"/>
      <c r="C8347" s="78"/>
      <c r="D8347" s="78"/>
      <c r="E8347" s="78"/>
    </row>
    <row r="8348" spans="1:5">
      <c r="A8348" s="76" t="s">
        <v>2538</v>
      </c>
      <c r="B8348" s="77"/>
      <c r="C8348" s="78"/>
      <c r="D8348" s="78"/>
      <c r="E8348" s="78">
        <f>E8346</f>
        <v>23.38</v>
      </c>
    </row>
    <row r="8349" spans="1:5">
      <c r="A8349" s="76" t="s">
        <v>2539</v>
      </c>
      <c r="B8349" s="77"/>
      <c r="C8349" s="78"/>
      <c r="D8349" s="78">
        <v>0</v>
      </c>
      <c r="E8349" s="78">
        <f>TRUNC(D8349*E8348/100,2)</f>
        <v>0</v>
      </c>
    </row>
    <row r="8350" spans="1:5">
      <c r="A8350" s="76" t="s">
        <v>2540</v>
      </c>
      <c r="B8350" s="77"/>
      <c r="C8350" s="78"/>
      <c r="D8350" s="78"/>
      <c r="E8350" s="78">
        <f>E8348+E8349</f>
        <v>23.38</v>
      </c>
    </row>
    <row r="8351" spans="1:5">
      <c r="A8351" s="76"/>
      <c r="B8351" s="77"/>
      <c r="C8351" s="78"/>
      <c r="D8351" s="78"/>
      <c r="E8351" s="78"/>
    </row>
    <row r="8352" spans="1:5">
      <c r="A8352" s="76" t="s">
        <v>3092</v>
      </c>
      <c r="B8352" s="77" t="s">
        <v>4326</v>
      </c>
      <c r="C8352" s="78"/>
      <c r="D8352" s="78"/>
      <c r="E8352" s="78"/>
    </row>
    <row r="8353" spans="1:5">
      <c r="A8353" s="76" t="s">
        <v>4327</v>
      </c>
      <c r="B8353" s="77"/>
      <c r="C8353" s="78"/>
      <c r="D8353" s="78"/>
      <c r="E8353" s="78"/>
    </row>
    <row r="8354" spans="1:5">
      <c r="A8354" s="76" t="s">
        <v>2764</v>
      </c>
      <c r="B8354" s="77"/>
      <c r="C8354" s="78"/>
      <c r="D8354" s="78"/>
      <c r="E8354" s="78"/>
    </row>
    <row r="8355" spans="1:5">
      <c r="A8355" s="76"/>
      <c r="B8355" s="77"/>
      <c r="C8355" s="78"/>
      <c r="D8355" s="78"/>
      <c r="E8355" s="78"/>
    </row>
    <row r="8356" spans="1:5">
      <c r="A8356" s="76" t="s">
        <v>2543</v>
      </c>
      <c r="B8356" s="77" t="s">
        <v>135</v>
      </c>
      <c r="C8356" s="78" t="s">
        <v>136</v>
      </c>
      <c r="D8356" s="78" t="s">
        <v>2534</v>
      </c>
      <c r="E8356" s="78" t="s">
        <v>2535</v>
      </c>
    </row>
    <row r="8357" spans="1:5">
      <c r="A8357" s="76" t="s">
        <v>3202</v>
      </c>
      <c r="B8357" s="77" t="s">
        <v>215</v>
      </c>
      <c r="C8357" s="78">
        <v>17.78</v>
      </c>
      <c r="D8357" s="78">
        <v>5.93</v>
      </c>
      <c r="E8357" s="78">
        <f>TRUNC(C8357*D8357,2)</f>
        <v>105.43</v>
      </c>
    </row>
    <row r="8358" spans="1:5">
      <c r="A8358" s="76" t="s">
        <v>122</v>
      </c>
      <c r="B8358" s="77"/>
      <c r="C8358" s="78"/>
      <c r="D8358" s="78"/>
      <c r="E8358" s="78">
        <f>SUM(E8357:E8357)</f>
        <v>105.43</v>
      </c>
    </row>
    <row r="8359" spans="1:5">
      <c r="A8359" s="76"/>
      <c r="B8359" s="77"/>
      <c r="C8359" s="78"/>
      <c r="D8359" s="78"/>
      <c r="E8359" s="78"/>
    </row>
    <row r="8360" spans="1:5">
      <c r="A8360" s="76" t="s">
        <v>2538</v>
      </c>
      <c r="B8360" s="77"/>
      <c r="C8360" s="78"/>
      <c r="D8360" s="78"/>
      <c r="E8360" s="78">
        <f>E8358</f>
        <v>105.43</v>
      </c>
    </row>
    <row r="8361" spans="1:5">
      <c r="A8361" s="76" t="s">
        <v>2539</v>
      </c>
      <c r="B8361" s="77"/>
      <c r="C8361" s="78"/>
      <c r="D8361" s="78">
        <v>0</v>
      </c>
      <c r="E8361" s="78">
        <f>TRUNC(D8361*E8360/100,2)</f>
        <v>0</v>
      </c>
    </row>
    <row r="8362" spans="1:5">
      <c r="A8362" s="76" t="s">
        <v>2540</v>
      </c>
      <c r="B8362" s="77"/>
      <c r="C8362" s="78"/>
      <c r="D8362" s="78"/>
      <c r="E8362" s="78">
        <f>E8360+E8361</f>
        <v>105.43</v>
      </c>
    </row>
    <row r="8363" spans="1:5">
      <c r="A8363" s="76"/>
      <c r="B8363" s="77"/>
      <c r="C8363" s="78"/>
      <c r="D8363" s="78"/>
      <c r="E8363" s="78"/>
    </row>
    <row r="8364" spans="1:5">
      <c r="A8364" s="76" t="s">
        <v>3092</v>
      </c>
      <c r="B8364" s="77" t="s">
        <v>4328</v>
      </c>
      <c r="C8364" s="78"/>
      <c r="D8364" s="78"/>
      <c r="E8364" s="78"/>
    </row>
    <row r="8365" spans="1:5">
      <c r="A8365" s="76" t="s">
        <v>4329</v>
      </c>
      <c r="B8365" s="77"/>
      <c r="C8365" s="78"/>
      <c r="D8365" s="78"/>
      <c r="E8365" s="78"/>
    </row>
    <row r="8366" spans="1:5">
      <c r="A8366" s="76" t="s">
        <v>2764</v>
      </c>
      <c r="B8366" s="77"/>
      <c r="C8366" s="78"/>
      <c r="D8366" s="78"/>
      <c r="E8366" s="78"/>
    </row>
    <row r="8367" spans="1:5">
      <c r="A8367" s="76"/>
      <c r="B8367" s="77"/>
      <c r="C8367" s="78"/>
      <c r="D8367" s="78"/>
      <c r="E8367" s="78"/>
    </row>
    <row r="8368" spans="1:5">
      <c r="A8368" s="76" t="s">
        <v>279</v>
      </c>
      <c r="B8368" s="77" t="s">
        <v>135</v>
      </c>
      <c r="C8368" s="78" t="s">
        <v>136</v>
      </c>
      <c r="D8368" s="78" t="s">
        <v>2534</v>
      </c>
      <c r="E8368" s="78" t="s">
        <v>2535</v>
      </c>
    </row>
    <row r="8369" spans="1:5">
      <c r="A8369" s="76" t="s">
        <v>4323</v>
      </c>
      <c r="B8369" s="77" t="s">
        <v>494</v>
      </c>
      <c r="C8369" s="78">
        <v>5.555e-5</v>
      </c>
      <c r="D8369" s="78">
        <v>1707216.73</v>
      </c>
      <c r="E8369" s="78">
        <f>TRUNC(C8369*D8369,2)</f>
        <v>94.83</v>
      </c>
    </row>
    <row r="8370" spans="1:5">
      <c r="A8370" s="76" t="s">
        <v>122</v>
      </c>
      <c r="B8370" s="77"/>
      <c r="C8370" s="78"/>
      <c r="D8370" s="78"/>
      <c r="E8370" s="78">
        <f>SUM(E8369:E8369)</f>
        <v>94.83</v>
      </c>
    </row>
    <row r="8371" spans="1:5">
      <c r="A8371" s="76"/>
      <c r="B8371" s="77"/>
      <c r="C8371" s="78"/>
      <c r="D8371" s="78"/>
      <c r="E8371" s="78"/>
    </row>
    <row r="8372" spans="1:5">
      <c r="A8372" s="76" t="s">
        <v>2538</v>
      </c>
      <c r="B8372" s="77"/>
      <c r="C8372" s="78"/>
      <c r="D8372" s="78"/>
      <c r="E8372" s="78">
        <f>E8370</f>
        <v>94.83</v>
      </c>
    </row>
    <row r="8373" spans="1:5">
      <c r="A8373" s="76" t="s">
        <v>2539</v>
      </c>
      <c r="B8373" s="77"/>
      <c r="C8373" s="78"/>
      <c r="D8373" s="78">
        <v>0</v>
      </c>
      <c r="E8373" s="78">
        <f>TRUNC(D8373*E8372/100,2)</f>
        <v>0</v>
      </c>
    </row>
    <row r="8374" spans="1:5">
      <c r="A8374" s="76" t="s">
        <v>2540</v>
      </c>
      <c r="B8374" s="77"/>
      <c r="C8374" s="78"/>
      <c r="D8374" s="78"/>
      <c r="E8374" s="78">
        <f>E8372+E8373</f>
        <v>94.83</v>
      </c>
    </row>
    <row r="8375" spans="1:5">
      <c r="A8375" s="76"/>
      <c r="B8375" s="77"/>
      <c r="C8375" s="78"/>
      <c r="D8375" s="78"/>
      <c r="E8375" s="78"/>
    </row>
    <row r="8376" spans="1:5">
      <c r="A8376" s="76" t="s">
        <v>3092</v>
      </c>
      <c r="B8376" s="77" t="s">
        <v>4330</v>
      </c>
      <c r="C8376" s="78"/>
      <c r="D8376" s="78"/>
      <c r="E8376" s="78"/>
    </row>
    <row r="8377" ht="25.5" spans="1:5">
      <c r="A8377" s="76" t="s">
        <v>4331</v>
      </c>
      <c r="B8377" s="77"/>
      <c r="C8377" s="78"/>
      <c r="D8377" s="78"/>
      <c r="E8377" s="78"/>
    </row>
    <row r="8378" spans="1:5">
      <c r="A8378" s="76" t="s">
        <v>2552</v>
      </c>
      <c r="B8378" s="77"/>
      <c r="C8378" s="78"/>
      <c r="D8378" s="78"/>
      <c r="E8378" s="78"/>
    </row>
    <row r="8379" spans="1:5">
      <c r="A8379" s="76"/>
      <c r="B8379" s="77"/>
      <c r="C8379" s="78"/>
      <c r="D8379" s="78"/>
      <c r="E8379" s="78"/>
    </row>
    <row r="8380" spans="1:5">
      <c r="A8380" s="76" t="s">
        <v>2543</v>
      </c>
      <c r="B8380" s="77" t="s">
        <v>135</v>
      </c>
      <c r="C8380" s="78" t="s">
        <v>136</v>
      </c>
      <c r="D8380" s="78" t="s">
        <v>2534</v>
      </c>
      <c r="E8380" s="78" t="s">
        <v>2535</v>
      </c>
    </row>
    <row r="8381" ht="25.5" spans="1:5">
      <c r="A8381" s="76" t="s">
        <v>4332</v>
      </c>
      <c r="B8381" s="77" t="s">
        <v>466</v>
      </c>
      <c r="C8381" s="78">
        <v>1.03</v>
      </c>
      <c r="D8381" s="78">
        <v>113.37</v>
      </c>
      <c r="E8381" s="78">
        <f>TRUNC(C8381*D8381,2)</f>
        <v>116.77</v>
      </c>
    </row>
    <row r="8382" ht="25.5" spans="1:5">
      <c r="A8382" s="76" t="s">
        <v>4333</v>
      </c>
      <c r="B8382" s="77" t="s">
        <v>476</v>
      </c>
      <c r="C8382" s="78">
        <v>0.056</v>
      </c>
      <c r="D8382" s="78">
        <v>851.47</v>
      </c>
      <c r="E8382" s="78">
        <f>TRUNC(C8382*D8382,2)</f>
        <v>47.68</v>
      </c>
    </row>
    <row r="8383" ht="38.25" spans="1:5">
      <c r="A8383" s="76" t="s">
        <v>2797</v>
      </c>
      <c r="B8383" s="77" t="s">
        <v>463</v>
      </c>
      <c r="C8383" s="78">
        <v>1.49</v>
      </c>
      <c r="D8383" s="78">
        <v>18.37</v>
      </c>
      <c r="E8383" s="78">
        <f>TRUNC(C8383*D8383,2)</f>
        <v>27.37</v>
      </c>
    </row>
    <row r="8384" ht="38.25" spans="1:5">
      <c r="A8384" s="76" t="s">
        <v>3395</v>
      </c>
      <c r="B8384" s="77" t="s">
        <v>463</v>
      </c>
      <c r="C8384" s="78">
        <v>2.85</v>
      </c>
      <c r="D8384" s="78">
        <v>15.01</v>
      </c>
      <c r="E8384" s="78">
        <f>TRUNC(C8384*D8384,2)</f>
        <v>42.77</v>
      </c>
    </row>
    <row r="8385" ht="25.5" spans="1:5">
      <c r="A8385" s="76" t="s">
        <v>2800</v>
      </c>
      <c r="B8385" s="77" t="s">
        <v>412</v>
      </c>
      <c r="C8385" s="78">
        <v>0.00156</v>
      </c>
      <c r="D8385" s="78">
        <v>1172.63</v>
      </c>
      <c r="E8385" s="78">
        <f>TRUNC(C8385*D8385,2)</f>
        <v>1.82</v>
      </c>
    </row>
    <row r="8386" spans="1:5">
      <c r="A8386" s="76" t="s">
        <v>122</v>
      </c>
      <c r="B8386" s="77"/>
      <c r="C8386" s="78"/>
      <c r="D8386" s="78"/>
      <c r="E8386" s="78">
        <f>SUM(E8381:E8385)</f>
        <v>236.41</v>
      </c>
    </row>
    <row r="8387" spans="1:5">
      <c r="A8387" s="76"/>
      <c r="B8387" s="77"/>
      <c r="C8387" s="78"/>
      <c r="D8387" s="78"/>
      <c r="E8387" s="78"/>
    </row>
    <row r="8388" spans="1:5">
      <c r="A8388" s="76" t="s">
        <v>2538</v>
      </c>
      <c r="B8388" s="77"/>
      <c r="C8388" s="78"/>
      <c r="D8388" s="78"/>
      <c r="E8388" s="78">
        <f>E8386</f>
        <v>236.41</v>
      </c>
    </row>
    <row r="8389" spans="1:5">
      <c r="A8389" s="76" t="s">
        <v>2539</v>
      </c>
      <c r="B8389" s="77"/>
      <c r="C8389" s="78"/>
      <c r="D8389" s="78">
        <v>0</v>
      </c>
      <c r="E8389" s="78">
        <f>TRUNC(D8389*E8388/100,2)</f>
        <v>0</v>
      </c>
    </row>
    <row r="8390" spans="1:5">
      <c r="A8390" s="76" t="s">
        <v>2540</v>
      </c>
      <c r="B8390" s="77"/>
      <c r="C8390" s="78"/>
      <c r="D8390" s="78"/>
      <c r="E8390" s="78">
        <f>E8388+E8389</f>
        <v>236.41</v>
      </c>
    </row>
    <row r="8391" spans="1:5">
      <c r="A8391" s="76"/>
      <c r="B8391" s="77"/>
      <c r="C8391" s="78"/>
      <c r="D8391" s="78"/>
      <c r="E8391" s="78"/>
    </row>
    <row r="8392" spans="1:5">
      <c r="A8392" s="76" t="s">
        <v>3092</v>
      </c>
      <c r="B8392" s="77">
        <v>8004008025011</v>
      </c>
      <c r="C8392" s="78"/>
      <c r="D8392" s="78"/>
      <c r="E8392" s="78"/>
    </row>
    <row r="8393" ht="25.5" spans="1:5">
      <c r="A8393" s="76" t="s">
        <v>4334</v>
      </c>
      <c r="B8393" s="77"/>
      <c r="C8393" s="78"/>
      <c r="D8393" s="78"/>
      <c r="E8393" s="78"/>
    </row>
    <row r="8394" spans="1:5">
      <c r="A8394" s="76" t="s">
        <v>2563</v>
      </c>
      <c r="B8394" s="77"/>
      <c r="C8394" s="78"/>
      <c r="D8394" s="78"/>
      <c r="E8394" s="78"/>
    </row>
    <row r="8395" spans="1:5">
      <c r="A8395" s="76"/>
      <c r="B8395" s="77"/>
      <c r="C8395" s="78"/>
      <c r="D8395" s="78"/>
      <c r="E8395" s="78"/>
    </row>
    <row r="8396" spans="1:5">
      <c r="A8396" s="76" t="s">
        <v>2543</v>
      </c>
      <c r="B8396" s="77" t="s">
        <v>135</v>
      </c>
      <c r="C8396" s="78" t="s">
        <v>136</v>
      </c>
      <c r="D8396" s="78" t="s">
        <v>2534</v>
      </c>
      <c r="E8396" s="78" t="s">
        <v>2535</v>
      </c>
    </row>
    <row r="8397" ht="25.5" spans="1:5">
      <c r="A8397" s="76" t="s">
        <v>2813</v>
      </c>
      <c r="B8397" s="77" t="s">
        <v>466</v>
      </c>
      <c r="C8397" s="78">
        <v>0.10743802</v>
      </c>
      <c r="D8397" s="78">
        <v>23.97</v>
      </c>
      <c r="E8397" s="78">
        <f t="shared" ref="E8397:E8404" si="63">TRUNC(C8397*D8397,2)</f>
        <v>2.57</v>
      </c>
    </row>
    <row r="8398" ht="25.5" spans="1:5">
      <c r="A8398" s="76" t="s">
        <v>2814</v>
      </c>
      <c r="B8398" s="77" t="s">
        <v>215</v>
      </c>
      <c r="C8398" s="78">
        <v>0.1</v>
      </c>
      <c r="D8398" s="78">
        <v>7.16</v>
      </c>
      <c r="E8398" s="78">
        <f t="shared" si="63"/>
        <v>0.71</v>
      </c>
    </row>
    <row r="8399" ht="25.5" spans="1:5">
      <c r="A8399" s="76" t="s">
        <v>2582</v>
      </c>
      <c r="B8399" s="77" t="s">
        <v>112</v>
      </c>
      <c r="C8399" s="78">
        <v>1.2</v>
      </c>
      <c r="D8399" s="78">
        <v>7.78</v>
      </c>
      <c r="E8399" s="78">
        <f t="shared" si="63"/>
        <v>9.33</v>
      </c>
    </row>
    <row r="8400" spans="1:5">
      <c r="A8400" s="76" t="s">
        <v>2583</v>
      </c>
      <c r="B8400" s="77" t="s">
        <v>463</v>
      </c>
      <c r="C8400" s="78">
        <v>0.25</v>
      </c>
      <c r="D8400" s="78">
        <v>18.4</v>
      </c>
      <c r="E8400" s="78">
        <f t="shared" si="63"/>
        <v>4.6</v>
      </c>
    </row>
    <row r="8401" ht="25.5" spans="1:5">
      <c r="A8401" s="76" t="s">
        <v>2633</v>
      </c>
      <c r="B8401" s="77" t="s">
        <v>112</v>
      </c>
      <c r="C8401" s="78">
        <v>1.53</v>
      </c>
      <c r="D8401" s="78">
        <v>3.94</v>
      </c>
      <c r="E8401" s="78">
        <f t="shared" si="63"/>
        <v>6.02</v>
      </c>
    </row>
    <row r="8402" ht="25.5" spans="1:5">
      <c r="A8402" s="76" t="s">
        <v>2815</v>
      </c>
      <c r="B8402" s="77" t="s">
        <v>112</v>
      </c>
      <c r="C8402" s="78">
        <v>1.2</v>
      </c>
      <c r="D8402" s="78">
        <v>12.9</v>
      </c>
      <c r="E8402" s="78">
        <f t="shared" si="63"/>
        <v>15.48</v>
      </c>
    </row>
    <row r="8403" spans="1:5">
      <c r="A8403" s="76" t="s">
        <v>2576</v>
      </c>
      <c r="B8403" s="77" t="s">
        <v>839</v>
      </c>
      <c r="C8403" s="78">
        <v>1.35</v>
      </c>
      <c r="D8403" s="78">
        <v>24.4</v>
      </c>
      <c r="E8403" s="78">
        <f t="shared" si="63"/>
        <v>32.94</v>
      </c>
    </row>
    <row r="8404" spans="1:5">
      <c r="A8404" s="76" t="s">
        <v>2577</v>
      </c>
      <c r="B8404" s="77" t="s">
        <v>839</v>
      </c>
      <c r="C8404" s="78">
        <v>1.35</v>
      </c>
      <c r="D8404" s="78">
        <v>30.91</v>
      </c>
      <c r="E8404" s="78">
        <f t="shared" si="63"/>
        <v>41.72</v>
      </c>
    </row>
    <row r="8405" spans="1:5">
      <c r="A8405" s="76" t="s">
        <v>122</v>
      </c>
      <c r="B8405" s="77"/>
      <c r="C8405" s="78"/>
      <c r="D8405" s="78"/>
      <c r="E8405" s="78">
        <f>SUM(E8397:E8404)</f>
        <v>113.37</v>
      </c>
    </row>
    <row r="8406" spans="1:5">
      <c r="A8406" s="76"/>
      <c r="B8406" s="77"/>
      <c r="C8406" s="78"/>
      <c r="D8406" s="78"/>
      <c r="E8406" s="78"/>
    </row>
    <row r="8407" spans="1:5">
      <c r="A8407" s="76" t="s">
        <v>2538</v>
      </c>
      <c r="B8407" s="77"/>
      <c r="C8407" s="78"/>
      <c r="D8407" s="78"/>
      <c r="E8407" s="78">
        <f>E8405</f>
        <v>113.37</v>
      </c>
    </row>
    <row r="8408" spans="1:5">
      <c r="A8408" s="76" t="s">
        <v>2539</v>
      </c>
      <c r="B8408" s="77"/>
      <c r="C8408" s="78"/>
      <c r="D8408" s="78">
        <v>0</v>
      </c>
      <c r="E8408" s="78">
        <f>TRUNC(D8408*E8407/100,2)</f>
        <v>0</v>
      </c>
    </row>
    <row r="8409" spans="1:5">
      <c r="A8409" s="76" t="s">
        <v>2540</v>
      </c>
      <c r="B8409" s="77"/>
      <c r="C8409" s="78"/>
      <c r="D8409" s="78"/>
      <c r="E8409" s="78">
        <f>E8407+E8408</f>
        <v>113.37</v>
      </c>
    </row>
    <row r="8410" spans="1:5">
      <c r="A8410" s="76"/>
      <c r="B8410" s="77"/>
      <c r="C8410" s="78"/>
      <c r="D8410" s="78"/>
      <c r="E8410" s="78"/>
    </row>
    <row r="8411" spans="1:5">
      <c r="A8411" s="76" t="s">
        <v>3092</v>
      </c>
      <c r="B8411" s="77">
        <v>8004008040004</v>
      </c>
      <c r="C8411" s="78"/>
      <c r="D8411" s="78"/>
      <c r="E8411" s="78"/>
    </row>
    <row r="8412" ht="25.5" spans="1:5">
      <c r="A8412" s="76" t="s">
        <v>4335</v>
      </c>
      <c r="B8412" s="77"/>
      <c r="C8412" s="78"/>
      <c r="D8412" s="78"/>
      <c r="E8412" s="78"/>
    </row>
    <row r="8413" spans="1:5">
      <c r="A8413" s="76" t="s">
        <v>2619</v>
      </c>
      <c r="B8413" s="77"/>
      <c r="C8413" s="78"/>
      <c r="D8413" s="78"/>
      <c r="E8413" s="78"/>
    </row>
    <row r="8414" spans="1:5">
      <c r="A8414" s="76"/>
      <c r="B8414" s="77"/>
      <c r="C8414" s="78"/>
      <c r="D8414" s="78"/>
      <c r="E8414" s="78"/>
    </row>
    <row r="8415" spans="1:5">
      <c r="A8415" s="76" t="s">
        <v>2543</v>
      </c>
      <c r="B8415" s="77" t="s">
        <v>135</v>
      </c>
      <c r="C8415" s="78" t="s">
        <v>136</v>
      </c>
      <c r="D8415" s="78" t="s">
        <v>2534</v>
      </c>
      <c r="E8415" s="78" t="s">
        <v>2535</v>
      </c>
    </row>
    <row r="8416" ht="25.5" spans="1:5">
      <c r="A8416" s="76" t="s">
        <v>2829</v>
      </c>
      <c r="B8416" s="77" t="s">
        <v>476</v>
      </c>
      <c r="C8416" s="78">
        <v>0.904</v>
      </c>
      <c r="D8416" s="78">
        <v>207.68</v>
      </c>
      <c r="E8416" s="78">
        <f t="shared" ref="E8416:E8424" si="64">TRUNC(C8416*D8416,2)</f>
        <v>187.74</v>
      </c>
    </row>
    <row r="8417" spans="1:5">
      <c r="A8417" s="76" t="s">
        <v>3001</v>
      </c>
      <c r="B8417" s="77" t="s">
        <v>463</v>
      </c>
      <c r="C8417" s="78">
        <v>304</v>
      </c>
      <c r="D8417" s="78">
        <v>0.65</v>
      </c>
      <c r="E8417" s="78">
        <f t="shared" si="64"/>
        <v>197.6</v>
      </c>
    </row>
    <row r="8418" ht="25.5" spans="1:5">
      <c r="A8418" s="76" t="s">
        <v>2822</v>
      </c>
      <c r="B8418" s="77" t="s">
        <v>476</v>
      </c>
      <c r="C8418" s="78">
        <v>0.209</v>
      </c>
      <c r="D8418" s="78">
        <v>197.39</v>
      </c>
      <c r="E8418" s="78">
        <f t="shared" si="64"/>
        <v>41.25</v>
      </c>
    </row>
    <row r="8419" ht="25.5" spans="1:5">
      <c r="A8419" s="76" t="s">
        <v>2740</v>
      </c>
      <c r="B8419" s="77" t="s">
        <v>476</v>
      </c>
      <c r="C8419" s="78">
        <v>0.627</v>
      </c>
      <c r="D8419" s="78">
        <v>198.43</v>
      </c>
      <c r="E8419" s="78">
        <f t="shared" si="64"/>
        <v>124.41</v>
      </c>
    </row>
    <row r="8420" spans="1:5">
      <c r="A8420" s="76" t="s">
        <v>2621</v>
      </c>
      <c r="B8420" s="77" t="s">
        <v>839</v>
      </c>
      <c r="C8420" s="78">
        <v>9.6</v>
      </c>
      <c r="D8420" s="78">
        <v>23.75</v>
      </c>
      <c r="E8420" s="78">
        <f t="shared" si="64"/>
        <v>228</v>
      </c>
    </row>
    <row r="8421" spans="1:5">
      <c r="A8421" s="76" t="s">
        <v>2630</v>
      </c>
      <c r="B8421" s="77" t="s">
        <v>839</v>
      </c>
      <c r="C8421" s="78">
        <v>2</v>
      </c>
      <c r="D8421" s="78">
        <v>31.34</v>
      </c>
      <c r="E8421" s="78">
        <f t="shared" si="64"/>
        <v>62.68</v>
      </c>
    </row>
    <row r="8422" ht="25.5" spans="1:5">
      <c r="A8422" s="76" t="s">
        <v>3442</v>
      </c>
      <c r="B8422" s="77" t="s">
        <v>839</v>
      </c>
      <c r="C8422" s="78">
        <v>0.35</v>
      </c>
      <c r="D8422" s="78">
        <v>26</v>
      </c>
      <c r="E8422" s="78">
        <f t="shared" si="64"/>
        <v>9.1</v>
      </c>
    </row>
    <row r="8423" ht="38.25" spans="1:5">
      <c r="A8423" s="76" t="s">
        <v>3938</v>
      </c>
      <c r="B8423" s="77" t="s">
        <v>977</v>
      </c>
      <c r="C8423" s="78">
        <v>0.35</v>
      </c>
      <c r="D8423" s="78">
        <v>1.64</v>
      </c>
      <c r="E8423" s="78">
        <f t="shared" si="64"/>
        <v>0.57</v>
      </c>
    </row>
    <row r="8424" ht="25.5" spans="1:5">
      <c r="A8424" s="76" t="s">
        <v>2818</v>
      </c>
      <c r="B8424" s="77" t="s">
        <v>977</v>
      </c>
      <c r="C8424" s="78">
        <v>0.1</v>
      </c>
      <c r="D8424" s="78">
        <v>1.23</v>
      </c>
      <c r="E8424" s="78">
        <f t="shared" si="64"/>
        <v>0.12</v>
      </c>
    </row>
    <row r="8425" spans="1:5">
      <c r="A8425" s="76" t="s">
        <v>122</v>
      </c>
      <c r="B8425" s="77"/>
      <c r="C8425" s="78"/>
      <c r="D8425" s="78"/>
      <c r="E8425" s="78">
        <f>SUM(E8416:E8424)</f>
        <v>851.47</v>
      </c>
    </row>
    <row r="8426" spans="1:5">
      <c r="A8426" s="76"/>
      <c r="B8426" s="77"/>
      <c r="C8426" s="78"/>
      <c r="D8426" s="78"/>
      <c r="E8426" s="78"/>
    </row>
    <row r="8427" spans="1:5">
      <c r="A8427" s="76" t="s">
        <v>2538</v>
      </c>
      <c r="B8427" s="77"/>
      <c r="C8427" s="78"/>
      <c r="D8427" s="78"/>
      <c r="E8427" s="78">
        <f>E8425</f>
        <v>851.47</v>
      </c>
    </row>
    <row r="8428" spans="1:5">
      <c r="A8428" s="76" t="s">
        <v>2539</v>
      </c>
      <c r="B8428" s="77"/>
      <c r="C8428" s="78"/>
      <c r="D8428" s="78">
        <v>0</v>
      </c>
      <c r="E8428" s="78">
        <f>TRUNC(D8428*E8427/100,2)</f>
        <v>0</v>
      </c>
    </row>
    <row r="8429" spans="1:5">
      <c r="A8429" s="76" t="s">
        <v>2540</v>
      </c>
      <c r="B8429" s="77"/>
      <c r="C8429" s="78"/>
      <c r="D8429" s="78"/>
      <c r="E8429" s="78">
        <f>E8427+E8428</f>
        <v>851.47</v>
      </c>
    </row>
    <row r="8430" spans="1:5">
      <c r="A8430" s="76"/>
      <c r="B8430" s="77"/>
      <c r="C8430" s="78"/>
      <c r="D8430" s="78"/>
      <c r="E8430" s="78"/>
    </row>
    <row r="8431" spans="1:5">
      <c r="A8431" s="76" t="s">
        <v>3092</v>
      </c>
      <c r="B8431" s="77" t="s">
        <v>4336</v>
      </c>
      <c r="C8431" s="78"/>
      <c r="D8431" s="78"/>
      <c r="E8431" s="78"/>
    </row>
    <row r="8432" ht="25.5" spans="1:5">
      <c r="A8432" s="76" t="s">
        <v>4337</v>
      </c>
      <c r="B8432" s="77"/>
      <c r="C8432" s="78"/>
      <c r="D8432" s="78"/>
      <c r="E8432" s="78"/>
    </row>
    <row r="8433" spans="1:5">
      <c r="A8433" s="76" t="s">
        <v>2552</v>
      </c>
      <c r="B8433" s="77"/>
      <c r="C8433" s="78"/>
      <c r="D8433" s="78"/>
      <c r="E8433" s="78"/>
    </row>
    <row r="8434" spans="1:5">
      <c r="A8434" s="76"/>
      <c r="B8434" s="77"/>
      <c r="C8434" s="78"/>
      <c r="D8434" s="78"/>
      <c r="E8434" s="78"/>
    </row>
    <row r="8435" spans="1:5">
      <c r="A8435" s="76" t="s">
        <v>2543</v>
      </c>
      <c r="B8435" s="77" t="s">
        <v>135</v>
      </c>
      <c r="C8435" s="78" t="s">
        <v>136</v>
      </c>
      <c r="D8435" s="78" t="s">
        <v>2534</v>
      </c>
      <c r="E8435" s="78" t="s">
        <v>2535</v>
      </c>
    </row>
    <row r="8436" ht="38.25" spans="1:5">
      <c r="A8436" s="76" t="s">
        <v>4338</v>
      </c>
      <c r="B8436" s="77" t="s">
        <v>466</v>
      </c>
      <c r="C8436" s="78">
        <v>0.224</v>
      </c>
      <c r="D8436" s="78">
        <v>59.34</v>
      </c>
      <c r="E8436" s="78">
        <f>TRUNC(C8436*D8436,2)</f>
        <v>13.29</v>
      </c>
    </row>
    <row r="8437" ht="25.5" spans="1:5">
      <c r="A8437" s="76" t="s">
        <v>4333</v>
      </c>
      <c r="B8437" s="77" t="s">
        <v>476</v>
      </c>
      <c r="C8437" s="78">
        <v>0.017</v>
      </c>
      <c r="D8437" s="78">
        <v>851.47</v>
      </c>
      <c r="E8437" s="78">
        <f>TRUNC(C8437*D8437,2)</f>
        <v>14.47</v>
      </c>
    </row>
    <row r="8438" ht="38.25" spans="1:5">
      <c r="A8438" s="76" t="s">
        <v>2797</v>
      </c>
      <c r="B8438" s="77" t="s">
        <v>463</v>
      </c>
      <c r="C8438" s="78">
        <v>1.08</v>
      </c>
      <c r="D8438" s="78">
        <v>18.37</v>
      </c>
      <c r="E8438" s="78">
        <f>TRUNC(C8438*D8438,2)</f>
        <v>19.83</v>
      </c>
    </row>
    <row r="8439" ht="25.5" spans="1:5">
      <c r="A8439" s="76" t="s">
        <v>2800</v>
      </c>
      <c r="B8439" s="77" t="s">
        <v>412</v>
      </c>
      <c r="C8439" s="78">
        <v>0.00051</v>
      </c>
      <c r="D8439" s="78">
        <v>1172.63</v>
      </c>
      <c r="E8439" s="78">
        <f>TRUNC(C8439*D8439,2)</f>
        <v>0.59</v>
      </c>
    </row>
    <row r="8440" spans="1:5">
      <c r="A8440" s="76" t="s">
        <v>122</v>
      </c>
      <c r="B8440" s="77"/>
      <c r="C8440" s="78"/>
      <c r="D8440" s="78"/>
      <c r="E8440" s="78">
        <f>SUM(E8436:E8439)</f>
        <v>48.18</v>
      </c>
    </row>
    <row r="8441" spans="1:5">
      <c r="A8441" s="76"/>
      <c r="B8441" s="77"/>
      <c r="C8441" s="78"/>
      <c r="D8441" s="78"/>
      <c r="E8441" s="78"/>
    </row>
    <row r="8442" spans="1:5">
      <c r="A8442" s="76" t="s">
        <v>2538</v>
      </c>
      <c r="B8442" s="77"/>
      <c r="C8442" s="78"/>
      <c r="D8442" s="78"/>
      <c r="E8442" s="78">
        <f>E8440</f>
        <v>48.18</v>
      </c>
    </row>
    <row r="8443" spans="1:5">
      <c r="A8443" s="76" t="s">
        <v>2539</v>
      </c>
      <c r="B8443" s="77"/>
      <c r="C8443" s="78"/>
      <c r="D8443" s="78">
        <v>0</v>
      </c>
      <c r="E8443" s="78">
        <f>TRUNC(D8443*E8442/100,2)</f>
        <v>0</v>
      </c>
    </row>
    <row r="8444" spans="1:5">
      <c r="A8444" s="76" t="s">
        <v>2540</v>
      </c>
      <c r="B8444" s="77"/>
      <c r="C8444" s="78"/>
      <c r="D8444" s="78"/>
      <c r="E8444" s="78">
        <f>E8442+E8443</f>
        <v>48.18</v>
      </c>
    </row>
    <row r="8445" spans="1:5">
      <c r="A8445" s="76"/>
      <c r="B8445" s="77"/>
      <c r="C8445" s="78"/>
      <c r="D8445" s="78"/>
      <c r="E8445" s="78"/>
    </row>
    <row r="8446" spans="1:5">
      <c r="A8446" s="76" t="s">
        <v>3092</v>
      </c>
      <c r="B8446" s="77">
        <v>8004008025013</v>
      </c>
      <c r="C8446" s="78"/>
      <c r="D8446" s="78"/>
      <c r="E8446" s="78"/>
    </row>
    <row r="8447" ht="38.25" spans="1:5">
      <c r="A8447" s="76" t="s">
        <v>4339</v>
      </c>
      <c r="B8447" s="77"/>
      <c r="C8447" s="78"/>
      <c r="D8447" s="78"/>
      <c r="E8447" s="78"/>
    </row>
    <row r="8448" spans="1:5">
      <c r="A8448" s="76" t="s">
        <v>2563</v>
      </c>
      <c r="B8448" s="77"/>
      <c r="C8448" s="78"/>
      <c r="D8448" s="78"/>
      <c r="E8448" s="78"/>
    </row>
    <row r="8449" spans="1:5">
      <c r="A8449" s="76"/>
      <c r="B8449" s="77"/>
      <c r="C8449" s="78"/>
      <c r="D8449" s="78"/>
      <c r="E8449" s="78"/>
    </row>
    <row r="8450" spans="1:5">
      <c r="A8450" s="76" t="s">
        <v>2543</v>
      </c>
      <c r="B8450" s="77" t="s">
        <v>135</v>
      </c>
      <c r="C8450" s="78" t="s">
        <v>136</v>
      </c>
      <c r="D8450" s="78" t="s">
        <v>2534</v>
      </c>
      <c r="E8450" s="78" t="s">
        <v>2535</v>
      </c>
    </row>
    <row r="8451" ht="25.5" spans="1:5">
      <c r="A8451" s="76" t="s">
        <v>2813</v>
      </c>
      <c r="B8451" s="77" t="s">
        <v>466</v>
      </c>
      <c r="C8451" s="78">
        <v>0.04132231</v>
      </c>
      <c r="D8451" s="78">
        <v>23.97</v>
      </c>
      <c r="E8451" s="78">
        <f t="shared" ref="E8451:E8458" si="65">TRUNC(C8451*D8451,2)</f>
        <v>0.99</v>
      </c>
    </row>
    <row r="8452" ht="25.5" spans="1:5">
      <c r="A8452" s="76" t="s">
        <v>2814</v>
      </c>
      <c r="B8452" s="77" t="s">
        <v>215</v>
      </c>
      <c r="C8452" s="78">
        <v>0.05</v>
      </c>
      <c r="D8452" s="78">
        <v>7.16</v>
      </c>
      <c r="E8452" s="78">
        <f t="shared" si="65"/>
        <v>0.35</v>
      </c>
    </row>
    <row r="8453" ht="25.5" spans="1:5">
      <c r="A8453" s="76" t="s">
        <v>2582</v>
      </c>
      <c r="B8453" s="77" t="s">
        <v>112</v>
      </c>
      <c r="C8453" s="78">
        <v>0.4</v>
      </c>
      <c r="D8453" s="78">
        <v>7.78</v>
      </c>
      <c r="E8453" s="78">
        <f t="shared" si="65"/>
        <v>3.11</v>
      </c>
    </row>
    <row r="8454" spans="1:5">
      <c r="A8454" s="76" t="s">
        <v>2583</v>
      </c>
      <c r="B8454" s="77" t="s">
        <v>463</v>
      </c>
      <c r="C8454" s="78">
        <v>0.2</v>
      </c>
      <c r="D8454" s="78">
        <v>18.4</v>
      </c>
      <c r="E8454" s="78">
        <f t="shared" si="65"/>
        <v>3.68</v>
      </c>
    </row>
    <row r="8455" ht="25.5" spans="1:5">
      <c r="A8455" s="76" t="s">
        <v>2633</v>
      </c>
      <c r="B8455" s="77" t="s">
        <v>112</v>
      </c>
      <c r="C8455" s="78">
        <v>0.46</v>
      </c>
      <c r="D8455" s="78">
        <v>3.94</v>
      </c>
      <c r="E8455" s="78">
        <f t="shared" si="65"/>
        <v>1.81</v>
      </c>
    </row>
    <row r="8456" ht="25.5" spans="1:5">
      <c r="A8456" s="76" t="s">
        <v>2815</v>
      </c>
      <c r="B8456" s="77" t="s">
        <v>112</v>
      </c>
      <c r="C8456" s="78">
        <v>0.4</v>
      </c>
      <c r="D8456" s="78">
        <v>12.9</v>
      </c>
      <c r="E8456" s="78">
        <f t="shared" si="65"/>
        <v>5.16</v>
      </c>
    </row>
    <row r="8457" spans="1:5">
      <c r="A8457" s="76" t="s">
        <v>2576</v>
      </c>
      <c r="B8457" s="77" t="s">
        <v>839</v>
      </c>
      <c r="C8457" s="78">
        <v>0.8</v>
      </c>
      <c r="D8457" s="78">
        <v>24.4</v>
      </c>
      <c r="E8457" s="78">
        <f t="shared" si="65"/>
        <v>19.52</v>
      </c>
    </row>
    <row r="8458" spans="1:5">
      <c r="A8458" s="76" t="s">
        <v>2577</v>
      </c>
      <c r="B8458" s="77" t="s">
        <v>839</v>
      </c>
      <c r="C8458" s="78">
        <v>0.8</v>
      </c>
      <c r="D8458" s="78">
        <v>30.91</v>
      </c>
      <c r="E8458" s="78">
        <f t="shared" si="65"/>
        <v>24.72</v>
      </c>
    </row>
    <row r="8459" spans="1:5">
      <c r="A8459" s="76" t="s">
        <v>122</v>
      </c>
      <c r="B8459" s="77"/>
      <c r="C8459" s="78"/>
      <c r="D8459" s="78"/>
      <c r="E8459" s="78">
        <f>SUM(E8451:E8458)</f>
        <v>59.34</v>
      </c>
    </row>
    <row r="8460" spans="1:5">
      <c r="A8460" s="76"/>
      <c r="B8460" s="77"/>
      <c r="C8460" s="78"/>
      <c r="D8460" s="78"/>
      <c r="E8460" s="78"/>
    </row>
    <row r="8461" spans="1:5">
      <c r="A8461" s="76" t="s">
        <v>2538</v>
      </c>
      <c r="B8461" s="77"/>
      <c r="C8461" s="78"/>
      <c r="D8461" s="78"/>
      <c r="E8461" s="78">
        <f>E8459</f>
        <v>59.34</v>
      </c>
    </row>
    <row r="8462" spans="1:5">
      <c r="A8462" s="76" t="s">
        <v>2539</v>
      </c>
      <c r="B8462" s="77"/>
      <c r="C8462" s="78"/>
      <c r="D8462" s="78">
        <v>0</v>
      </c>
      <c r="E8462" s="78">
        <f>TRUNC(D8462*E8461/100,2)</f>
        <v>0</v>
      </c>
    </row>
    <row r="8463" spans="1:5">
      <c r="A8463" s="76" t="s">
        <v>2540</v>
      </c>
      <c r="B8463" s="77"/>
      <c r="C8463" s="78"/>
      <c r="D8463" s="78"/>
      <c r="E8463" s="78">
        <f>E8461+E8462</f>
        <v>59.34</v>
      </c>
    </row>
    <row r="8464" spans="1:5">
      <c r="A8464" s="76"/>
      <c r="B8464" s="77"/>
      <c r="C8464" s="78"/>
      <c r="D8464" s="78"/>
      <c r="E8464" s="78"/>
    </row>
    <row r="8465" spans="1:5">
      <c r="A8465" s="76" t="s">
        <v>3092</v>
      </c>
      <c r="B8465" s="77" t="s">
        <v>4340</v>
      </c>
      <c r="C8465" s="78"/>
      <c r="D8465" s="78"/>
      <c r="E8465" s="78"/>
    </row>
    <row r="8466" ht="25.5" spans="1:5">
      <c r="A8466" s="76" t="s">
        <v>4341</v>
      </c>
      <c r="B8466" s="77"/>
      <c r="C8466" s="78"/>
      <c r="D8466" s="78"/>
      <c r="E8466" s="78"/>
    </row>
    <row r="8467" spans="1:5">
      <c r="A8467" s="76" t="s">
        <v>2591</v>
      </c>
      <c r="B8467" s="77"/>
      <c r="C8467" s="78"/>
      <c r="D8467" s="78"/>
      <c r="E8467" s="78"/>
    </row>
    <row r="8468" spans="1:5">
      <c r="A8468" s="76"/>
      <c r="B8468" s="77"/>
      <c r="C8468" s="78"/>
      <c r="D8468" s="78"/>
      <c r="E8468" s="78"/>
    </row>
    <row r="8469" spans="1:5">
      <c r="A8469" s="76" t="s">
        <v>2543</v>
      </c>
      <c r="B8469" s="77" t="s">
        <v>135</v>
      </c>
      <c r="C8469" s="78" t="s">
        <v>136</v>
      </c>
      <c r="D8469" s="78" t="s">
        <v>2534</v>
      </c>
      <c r="E8469" s="78" t="s">
        <v>2535</v>
      </c>
    </row>
    <row r="8470" ht="25.5" spans="1:5">
      <c r="A8470" s="76" t="s">
        <v>4342</v>
      </c>
      <c r="B8470" s="77" t="s">
        <v>476</v>
      </c>
      <c r="C8470" s="78">
        <v>0.0427</v>
      </c>
      <c r="D8470" s="78">
        <v>751.5</v>
      </c>
      <c r="E8470" s="78">
        <f>TRUNC(C8470*D8470,2)</f>
        <v>32.08</v>
      </c>
    </row>
    <row r="8471" ht="38.25" spans="1:5">
      <c r="A8471" s="76" t="s">
        <v>4343</v>
      </c>
      <c r="B8471" s="77" t="s">
        <v>466</v>
      </c>
      <c r="C8471" s="78">
        <v>0.6</v>
      </c>
      <c r="D8471" s="78">
        <v>126.44</v>
      </c>
      <c r="E8471" s="78">
        <f>TRUNC(C8471*D8471,2)</f>
        <v>75.86</v>
      </c>
    </row>
    <row r="8472" ht="25.5" spans="1:5">
      <c r="A8472" s="76" t="s">
        <v>2800</v>
      </c>
      <c r="B8472" s="77" t="s">
        <v>412</v>
      </c>
      <c r="C8472" s="78">
        <v>0.0012816</v>
      </c>
      <c r="D8472" s="78">
        <v>1172.63</v>
      </c>
      <c r="E8472" s="78">
        <f>TRUNC(C8472*D8472,2)</f>
        <v>1.5</v>
      </c>
    </row>
    <row r="8473" ht="25.5" spans="1:5">
      <c r="A8473" s="76" t="s">
        <v>4344</v>
      </c>
      <c r="B8473" s="77" t="s">
        <v>476</v>
      </c>
      <c r="C8473" s="78">
        <v>0.007</v>
      </c>
      <c r="D8473" s="78">
        <v>286.74</v>
      </c>
      <c r="E8473" s="78">
        <f>TRUNC(C8473*D8473,2)</f>
        <v>2</v>
      </c>
    </row>
    <row r="8474" ht="25.5" spans="1:5">
      <c r="A8474" s="76" t="s">
        <v>2801</v>
      </c>
      <c r="B8474" s="77" t="s">
        <v>466</v>
      </c>
      <c r="C8474" s="78">
        <v>0.242</v>
      </c>
      <c r="D8474" s="78">
        <v>7.03</v>
      </c>
      <c r="E8474" s="78">
        <f>TRUNC(C8474*D8474,2)</f>
        <v>1.7</v>
      </c>
    </row>
    <row r="8475" spans="1:5">
      <c r="A8475" s="76" t="s">
        <v>122</v>
      </c>
      <c r="B8475" s="77"/>
      <c r="C8475" s="78"/>
      <c r="D8475" s="78"/>
      <c r="E8475" s="78">
        <f>SUM(E8470:E8474)</f>
        <v>113.14</v>
      </c>
    </row>
    <row r="8476" spans="1:5">
      <c r="A8476" s="76"/>
      <c r="B8476" s="77"/>
      <c r="C8476" s="78"/>
      <c r="D8476" s="78"/>
      <c r="E8476" s="78"/>
    </row>
    <row r="8477" spans="1:5">
      <c r="A8477" s="76" t="s">
        <v>2538</v>
      </c>
      <c r="B8477" s="77"/>
      <c r="C8477" s="78"/>
      <c r="D8477" s="78"/>
      <c r="E8477" s="78">
        <f>E8475</f>
        <v>113.14</v>
      </c>
    </row>
    <row r="8478" spans="1:5">
      <c r="A8478" s="76" t="s">
        <v>2539</v>
      </c>
      <c r="B8478" s="77"/>
      <c r="C8478" s="78"/>
      <c r="D8478" s="78">
        <v>0</v>
      </c>
      <c r="E8478" s="78">
        <f>TRUNC(D8478*E8477/100,2)</f>
        <v>0</v>
      </c>
    </row>
    <row r="8479" spans="1:5">
      <c r="A8479" s="76" t="s">
        <v>2540</v>
      </c>
      <c r="B8479" s="77"/>
      <c r="C8479" s="78"/>
      <c r="D8479" s="78"/>
      <c r="E8479" s="78">
        <f>E8477+E8478</f>
        <v>113.14</v>
      </c>
    </row>
    <row r="8480" spans="1:5">
      <c r="A8480" s="76"/>
      <c r="B8480" s="77"/>
      <c r="C8480" s="78"/>
      <c r="D8480" s="78"/>
      <c r="E8480" s="78"/>
    </row>
    <row r="8481" spans="1:5">
      <c r="A8481" s="76" t="s">
        <v>3092</v>
      </c>
      <c r="B8481" s="77">
        <v>8004008035011</v>
      </c>
      <c r="C8481" s="78"/>
      <c r="D8481" s="78"/>
      <c r="E8481" s="78"/>
    </row>
    <row r="8482" ht="25.5" spans="1:5">
      <c r="A8482" s="76" t="s">
        <v>4345</v>
      </c>
      <c r="B8482" s="77"/>
      <c r="C8482" s="78"/>
      <c r="D8482" s="78"/>
      <c r="E8482" s="78"/>
    </row>
    <row r="8483" spans="1:5">
      <c r="A8483" s="76" t="s">
        <v>2619</v>
      </c>
      <c r="B8483" s="77"/>
      <c r="C8483" s="78"/>
      <c r="D8483" s="78"/>
      <c r="E8483" s="78"/>
    </row>
    <row r="8484" spans="1:5">
      <c r="A8484" s="76"/>
      <c r="B8484" s="77"/>
      <c r="C8484" s="78"/>
      <c r="D8484" s="78"/>
      <c r="E8484" s="78"/>
    </row>
    <row r="8485" spans="1:5">
      <c r="A8485" s="76" t="s">
        <v>2543</v>
      </c>
      <c r="B8485" s="77" t="s">
        <v>135</v>
      </c>
      <c r="C8485" s="78" t="s">
        <v>136</v>
      </c>
      <c r="D8485" s="78" t="s">
        <v>2534</v>
      </c>
      <c r="E8485" s="78" t="s">
        <v>2535</v>
      </c>
    </row>
    <row r="8486" ht="25.5" spans="1:5">
      <c r="A8486" s="76" t="s">
        <v>2829</v>
      </c>
      <c r="B8486" s="77" t="s">
        <v>476</v>
      </c>
      <c r="C8486" s="78">
        <v>0.677</v>
      </c>
      <c r="D8486" s="78">
        <v>207.68</v>
      </c>
      <c r="E8486" s="78">
        <f t="shared" ref="E8486:E8494" si="66">TRUNC(C8486*D8486,2)</f>
        <v>140.59</v>
      </c>
    </row>
    <row r="8487" spans="1:5">
      <c r="A8487" s="76" t="s">
        <v>3001</v>
      </c>
      <c r="B8487" s="77" t="s">
        <v>463</v>
      </c>
      <c r="C8487" s="78">
        <v>210</v>
      </c>
      <c r="D8487" s="78">
        <v>0.65</v>
      </c>
      <c r="E8487" s="78">
        <f t="shared" si="66"/>
        <v>136.5</v>
      </c>
    </row>
    <row r="8488" ht="25.5" spans="1:5">
      <c r="A8488" s="76" t="s">
        <v>2822</v>
      </c>
      <c r="B8488" s="77" t="s">
        <v>476</v>
      </c>
      <c r="C8488" s="78">
        <v>0.263</v>
      </c>
      <c r="D8488" s="78">
        <v>197.39</v>
      </c>
      <c r="E8488" s="78">
        <f t="shared" si="66"/>
        <v>51.91</v>
      </c>
    </row>
    <row r="8489" ht="25.5" spans="1:5">
      <c r="A8489" s="76" t="s">
        <v>2740</v>
      </c>
      <c r="B8489" s="77" t="s">
        <v>476</v>
      </c>
      <c r="C8489" s="78">
        <v>0.615</v>
      </c>
      <c r="D8489" s="78">
        <v>198.43</v>
      </c>
      <c r="E8489" s="78">
        <f t="shared" si="66"/>
        <v>122.03</v>
      </c>
    </row>
    <row r="8490" spans="1:5">
      <c r="A8490" s="76" t="s">
        <v>2621</v>
      </c>
      <c r="B8490" s="77" t="s">
        <v>839</v>
      </c>
      <c r="C8490" s="78">
        <v>9.6</v>
      </c>
      <c r="D8490" s="78">
        <v>23.75</v>
      </c>
      <c r="E8490" s="78">
        <f t="shared" si="66"/>
        <v>228</v>
      </c>
    </row>
    <row r="8491" spans="1:5">
      <c r="A8491" s="76" t="s">
        <v>2630</v>
      </c>
      <c r="B8491" s="77" t="s">
        <v>839</v>
      </c>
      <c r="C8491" s="78">
        <v>2</v>
      </c>
      <c r="D8491" s="78">
        <v>31.34</v>
      </c>
      <c r="E8491" s="78">
        <f t="shared" si="66"/>
        <v>62.68</v>
      </c>
    </row>
    <row r="8492" ht="25.5" spans="1:5">
      <c r="A8492" s="76" t="s">
        <v>3442</v>
      </c>
      <c r="B8492" s="77" t="s">
        <v>839</v>
      </c>
      <c r="C8492" s="78">
        <v>0.35</v>
      </c>
      <c r="D8492" s="78">
        <v>26</v>
      </c>
      <c r="E8492" s="78">
        <f t="shared" si="66"/>
        <v>9.1</v>
      </c>
    </row>
    <row r="8493" ht="38.25" spans="1:5">
      <c r="A8493" s="76" t="s">
        <v>3938</v>
      </c>
      <c r="B8493" s="77" t="s">
        <v>977</v>
      </c>
      <c r="C8493" s="78">
        <v>0.35</v>
      </c>
      <c r="D8493" s="78">
        <v>1.64</v>
      </c>
      <c r="E8493" s="78">
        <f t="shared" si="66"/>
        <v>0.57</v>
      </c>
    </row>
    <row r="8494" ht="25.5" spans="1:5">
      <c r="A8494" s="76" t="s">
        <v>2818</v>
      </c>
      <c r="B8494" s="77" t="s">
        <v>977</v>
      </c>
      <c r="C8494" s="78">
        <v>0.1</v>
      </c>
      <c r="D8494" s="78">
        <v>1.23</v>
      </c>
      <c r="E8494" s="78">
        <f t="shared" si="66"/>
        <v>0.12</v>
      </c>
    </row>
    <row r="8495" spans="1:5">
      <c r="A8495" s="76" t="s">
        <v>122</v>
      </c>
      <c r="B8495" s="77"/>
      <c r="C8495" s="78"/>
      <c r="D8495" s="78"/>
      <c r="E8495" s="78">
        <f>SUM(E8486:E8494)</f>
        <v>751.5</v>
      </c>
    </row>
    <row r="8496" spans="1:5">
      <c r="A8496" s="76"/>
      <c r="B8496" s="77"/>
      <c r="C8496" s="78"/>
      <c r="D8496" s="78"/>
      <c r="E8496" s="78"/>
    </row>
    <row r="8497" spans="1:5">
      <c r="A8497" s="76" t="s">
        <v>2538</v>
      </c>
      <c r="B8497" s="77"/>
      <c r="C8497" s="78"/>
      <c r="D8497" s="78"/>
      <c r="E8497" s="78">
        <f>E8495</f>
        <v>751.5</v>
      </c>
    </row>
    <row r="8498" spans="1:5">
      <c r="A8498" s="76" t="s">
        <v>2539</v>
      </c>
      <c r="B8498" s="77"/>
      <c r="C8498" s="78"/>
      <c r="D8498" s="78">
        <v>0</v>
      </c>
      <c r="E8498" s="78">
        <f>TRUNC(D8498*E8497/100,2)</f>
        <v>0</v>
      </c>
    </row>
    <row r="8499" spans="1:5">
      <c r="A8499" s="76" t="s">
        <v>2540</v>
      </c>
      <c r="B8499" s="77"/>
      <c r="C8499" s="78"/>
      <c r="D8499" s="78"/>
      <c r="E8499" s="78">
        <f>E8497+E8498</f>
        <v>751.5</v>
      </c>
    </row>
    <row r="8500" spans="1:5">
      <c r="A8500" s="76"/>
      <c r="B8500" s="77"/>
      <c r="C8500" s="78"/>
      <c r="D8500" s="78"/>
      <c r="E8500" s="78"/>
    </row>
    <row r="8501" spans="1:5">
      <c r="A8501" s="76" t="s">
        <v>3092</v>
      </c>
      <c r="B8501" s="77" t="s">
        <v>4346</v>
      </c>
      <c r="C8501" s="78"/>
      <c r="D8501" s="78"/>
      <c r="E8501" s="78"/>
    </row>
    <row r="8502" ht="25.5" spans="1:5">
      <c r="A8502" s="76" t="s">
        <v>4347</v>
      </c>
      <c r="B8502" s="77"/>
      <c r="C8502" s="78"/>
      <c r="D8502" s="78"/>
      <c r="E8502" s="78"/>
    </row>
    <row r="8503" spans="1:5">
      <c r="A8503" s="76" t="s">
        <v>2563</v>
      </c>
      <c r="B8503" s="77"/>
      <c r="C8503" s="78"/>
      <c r="D8503" s="78"/>
      <c r="E8503" s="78"/>
    </row>
    <row r="8504" spans="1:5">
      <c r="A8504" s="76"/>
      <c r="B8504" s="77"/>
      <c r="C8504" s="78"/>
      <c r="D8504" s="78"/>
      <c r="E8504" s="78"/>
    </row>
    <row r="8505" spans="1:5">
      <c r="A8505" s="76" t="s">
        <v>2543</v>
      </c>
      <c r="B8505" s="77" t="s">
        <v>135</v>
      </c>
      <c r="C8505" s="78" t="s">
        <v>136</v>
      </c>
      <c r="D8505" s="78" t="s">
        <v>2534</v>
      </c>
      <c r="E8505" s="78" t="s">
        <v>2535</v>
      </c>
    </row>
    <row r="8506" ht="25.5" spans="1:5">
      <c r="A8506" s="76" t="s">
        <v>2832</v>
      </c>
      <c r="B8506" s="77" t="s">
        <v>466</v>
      </c>
      <c r="C8506" s="78">
        <v>0.593</v>
      </c>
      <c r="D8506" s="78">
        <v>38.04</v>
      </c>
      <c r="E8506" s="78">
        <f t="shared" ref="E8506:E8516" si="67">TRUNC(C8506*D8506,2)</f>
        <v>22.55</v>
      </c>
    </row>
    <row r="8507" ht="25.5" spans="1:5">
      <c r="A8507" s="76" t="s">
        <v>2814</v>
      </c>
      <c r="B8507" s="77" t="s">
        <v>215</v>
      </c>
      <c r="C8507" s="78">
        <v>0.00955</v>
      </c>
      <c r="D8507" s="78">
        <v>7.16</v>
      </c>
      <c r="E8507" s="78">
        <f t="shared" si="67"/>
        <v>0.06</v>
      </c>
    </row>
    <row r="8508" ht="25.5" spans="1:5">
      <c r="A8508" s="76" t="s">
        <v>2582</v>
      </c>
      <c r="B8508" s="77" t="s">
        <v>112</v>
      </c>
      <c r="C8508" s="78">
        <v>2.294</v>
      </c>
      <c r="D8508" s="78">
        <v>7.78</v>
      </c>
      <c r="E8508" s="78">
        <f t="shared" si="67"/>
        <v>17.84</v>
      </c>
    </row>
    <row r="8509" spans="1:5">
      <c r="A8509" s="76" t="s">
        <v>2833</v>
      </c>
      <c r="B8509" s="77" t="s">
        <v>463</v>
      </c>
      <c r="C8509" s="78">
        <v>0.017</v>
      </c>
      <c r="D8509" s="78">
        <v>20.72</v>
      </c>
      <c r="E8509" s="78">
        <f t="shared" si="67"/>
        <v>0.35</v>
      </c>
    </row>
    <row r="8510" spans="1:5">
      <c r="A8510" s="76" t="s">
        <v>4297</v>
      </c>
      <c r="B8510" s="77" t="s">
        <v>463</v>
      </c>
      <c r="C8510" s="78">
        <v>0.015</v>
      </c>
      <c r="D8510" s="78">
        <v>19.08</v>
      </c>
      <c r="E8510" s="78">
        <f t="shared" si="67"/>
        <v>0.28</v>
      </c>
    </row>
    <row r="8511" spans="1:5">
      <c r="A8511" s="76" t="s">
        <v>4348</v>
      </c>
      <c r="B8511" s="77" t="s">
        <v>463</v>
      </c>
      <c r="C8511" s="78">
        <v>0.015</v>
      </c>
      <c r="D8511" s="78">
        <v>23.1</v>
      </c>
      <c r="E8511" s="78">
        <f t="shared" si="67"/>
        <v>0.34</v>
      </c>
    </row>
    <row r="8512" ht="25.5" spans="1:5">
      <c r="A8512" s="76" t="s">
        <v>2834</v>
      </c>
      <c r="B8512" s="77" t="s">
        <v>112</v>
      </c>
      <c r="C8512" s="78">
        <v>1.359</v>
      </c>
      <c r="D8512" s="78">
        <v>2.72</v>
      </c>
      <c r="E8512" s="78">
        <f t="shared" si="67"/>
        <v>3.69</v>
      </c>
    </row>
    <row r="8513" spans="1:5">
      <c r="A8513" s="76" t="s">
        <v>2576</v>
      </c>
      <c r="B8513" s="77" t="s">
        <v>839</v>
      </c>
      <c r="C8513" s="78">
        <v>0.773</v>
      </c>
      <c r="D8513" s="78">
        <v>24.4</v>
      </c>
      <c r="E8513" s="78">
        <f t="shared" si="67"/>
        <v>18.86</v>
      </c>
    </row>
    <row r="8514" spans="1:5">
      <c r="A8514" s="76" t="s">
        <v>2577</v>
      </c>
      <c r="B8514" s="77" t="s">
        <v>839</v>
      </c>
      <c r="C8514" s="78">
        <v>1.909</v>
      </c>
      <c r="D8514" s="78">
        <v>30.91</v>
      </c>
      <c r="E8514" s="78">
        <f t="shared" si="67"/>
        <v>59</v>
      </c>
    </row>
    <row r="8515" ht="25.5" spans="1:5">
      <c r="A8515" s="76" t="s">
        <v>2586</v>
      </c>
      <c r="B8515" s="77" t="s">
        <v>977</v>
      </c>
      <c r="C8515" s="78">
        <v>0.026</v>
      </c>
      <c r="D8515" s="78">
        <v>27.22</v>
      </c>
      <c r="E8515" s="78">
        <f t="shared" si="67"/>
        <v>0.7</v>
      </c>
    </row>
    <row r="8516" ht="25.5" spans="1:5">
      <c r="A8516" s="76" t="s">
        <v>2587</v>
      </c>
      <c r="B8516" s="77" t="s">
        <v>979</v>
      </c>
      <c r="C8516" s="78">
        <v>0.106</v>
      </c>
      <c r="D8516" s="78">
        <v>26.18</v>
      </c>
      <c r="E8516" s="78">
        <f t="shared" si="67"/>
        <v>2.77</v>
      </c>
    </row>
    <row r="8517" spans="1:5">
      <c r="A8517" s="76" t="s">
        <v>122</v>
      </c>
      <c r="B8517" s="77"/>
      <c r="C8517" s="78"/>
      <c r="D8517" s="78"/>
      <c r="E8517" s="78">
        <f>SUM(E8506:E8516)</f>
        <v>126.44</v>
      </c>
    </row>
    <row r="8518" spans="1:5">
      <c r="A8518" s="76"/>
      <c r="B8518" s="77"/>
      <c r="C8518" s="78"/>
      <c r="D8518" s="78"/>
      <c r="E8518" s="78"/>
    </row>
    <row r="8519" spans="1:5">
      <c r="A8519" s="76" t="s">
        <v>2538</v>
      </c>
      <c r="B8519" s="77"/>
      <c r="C8519" s="78"/>
      <c r="D8519" s="78"/>
      <c r="E8519" s="78">
        <f>E8517</f>
        <v>126.44</v>
      </c>
    </row>
    <row r="8520" spans="1:5">
      <c r="A8520" s="76" t="s">
        <v>2539</v>
      </c>
      <c r="B8520" s="77"/>
      <c r="C8520" s="78"/>
      <c r="D8520" s="78">
        <v>0</v>
      </c>
      <c r="E8520" s="78">
        <f>TRUNC(D8520*E8519/100,2)</f>
        <v>0</v>
      </c>
    </row>
    <row r="8521" spans="1:5">
      <c r="A8521" s="76" t="s">
        <v>2540</v>
      </c>
      <c r="B8521" s="77"/>
      <c r="C8521" s="78"/>
      <c r="D8521" s="78"/>
      <c r="E8521" s="78">
        <f>E8519+E8520</f>
        <v>126.44</v>
      </c>
    </row>
    <row r="8522" spans="1:5">
      <c r="A8522" s="76"/>
      <c r="B8522" s="77"/>
      <c r="C8522" s="78"/>
      <c r="D8522" s="78"/>
      <c r="E8522" s="78"/>
    </row>
    <row r="8523" spans="1:5">
      <c r="A8523" s="76" t="s">
        <v>3092</v>
      </c>
      <c r="B8523" s="77" t="s">
        <v>4349</v>
      </c>
      <c r="C8523" s="78"/>
      <c r="D8523" s="78"/>
      <c r="E8523" s="78"/>
    </row>
    <row r="8524" ht="25.5" spans="1:5">
      <c r="A8524" s="76" t="s">
        <v>4350</v>
      </c>
      <c r="B8524" s="77"/>
      <c r="C8524" s="78"/>
      <c r="D8524" s="78"/>
      <c r="E8524" s="78"/>
    </row>
    <row r="8525" spans="1:5">
      <c r="A8525" s="76" t="s">
        <v>2619</v>
      </c>
      <c r="B8525" s="77"/>
      <c r="C8525" s="78"/>
      <c r="D8525" s="78"/>
      <c r="E8525" s="78"/>
    </row>
    <row r="8526" spans="1:5">
      <c r="A8526" s="76"/>
      <c r="B8526" s="77"/>
      <c r="C8526" s="78"/>
      <c r="D8526" s="78"/>
      <c r="E8526" s="78"/>
    </row>
    <row r="8527" spans="1:5">
      <c r="A8527" s="76" t="s">
        <v>2543</v>
      </c>
      <c r="B8527" s="77" t="s">
        <v>135</v>
      </c>
      <c r="C8527" s="78" t="s">
        <v>136</v>
      </c>
      <c r="D8527" s="78" t="s">
        <v>2534</v>
      </c>
      <c r="E8527" s="78" t="s">
        <v>2535</v>
      </c>
    </row>
    <row r="8528" ht="25.5" spans="1:5">
      <c r="A8528" s="76" t="s">
        <v>4351</v>
      </c>
      <c r="B8528" s="77" t="s">
        <v>476</v>
      </c>
      <c r="C8528" s="78">
        <v>1.19</v>
      </c>
      <c r="D8528" s="78">
        <v>186.45</v>
      </c>
      <c r="E8528" s="78">
        <f>TRUNC(C8528*D8528,2)</f>
        <v>221.87</v>
      </c>
    </row>
    <row r="8529" spans="1:5">
      <c r="A8529" s="76" t="s">
        <v>2621</v>
      </c>
      <c r="B8529" s="77" t="s">
        <v>839</v>
      </c>
      <c r="C8529" s="78">
        <v>0.634</v>
      </c>
      <c r="D8529" s="78">
        <v>23.75</v>
      </c>
      <c r="E8529" s="78">
        <f>TRUNC(C8529*D8529,2)</f>
        <v>15.05</v>
      </c>
    </row>
    <row r="8530" spans="1:5">
      <c r="A8530" s="76" t="s">
        <v>2630</v>
      </c>
      <c r="B8530" s="77" t="s">
        <v>839</v>
      </c>
      <c r="C8530" s="78">
        <v>1.579</v>
      </c>
      <c r="D8530" s="78">
        <v>31.34</v>
      </c>
      <c r="E8530" s="78">
        <f>TRUNC(C8530*D8530,2)</f>
        <v>49.48</v>
      </c>
    </row>
    <row r="8531" ht="38.25" spans="1:5">
      <c r="A8531" s="76" t="s">
        <v>2823</v>
      </c>
      <c r="B8531" s="77" t="s">
        <v>977</v>
      </c>
      <c r="C8531" s="78">
        <v>0.032</v>
      </c>
      <c r="D8531" s="78">
        <v>10.01</v>
      </c>
      <c r="E8531" s="78">
        <f>TRUNC(C8531*D8531,2)</f>
        <v>0.32</v>
      </c>
    </row>
    <row r="8532" ht="38.25" spans="1:5">
      <c r="A8532" s="76" t="s">
        <v>2824</v>
      </c>
      <c r="B8532" s="77" t="s">
        <v>979</v>
      </c>
      <c r="C8532" s="78">
        <v>0.03</v>
      </c>
      <c r="D8532" s="78">
        <v>0.72</v>
      </c>
      <c r="E8532" s="78">
        <f>TRUNC(C8532*D8532,2)</f>
        <v>0.02</v>
      </c>
    </row>
    <row r="8533" spans="1:5">
      <c r="A8533" s="76" t="s">
        <v>122</v>
      </c>
      <c r="B8533" s="77"/>
      <c r="C8533" s="78"/>
      <c r="D8533" s="78"/>
      <c r="E8533" s="78">
        <f>SUM(E8528:E8532)</f>
        <v>286.74</v>
      </c>
    </row>
    <row r="8534" spans="1:5">
      <c r="A8534" s="76"/>
      <c r="B8534" s="77"/>
      <c r="C8534" s="78"/>
      <c r="D8534" s="78"/>
      <c r="E8534" s="78"/>
    </row>
    <row r="8535" spans="1:5">
      <c r="A8535" s="76" t="s">
        <v>2538</v>
      </c>
      <c r="B8535" s="77"/>
      <c r="C8535" s="78"/>
      <c r="D8535" s="78"/>
      <c r="E8535" s="78">
        <f>E8533</f>
        <v>286.74</v>
      </c>
    </row>
    <row r="8536" spans="1:5">
      <c r="A8536" s="76" t="s">
        <v>2539</v>
      </c>
      <c r="B8536" s="77"/>
      <c r="C8536" s="78"/>
      <c r="D8536" s="78">
        <v>0</v>
      </c>
      <c r="E8536" s="78">
        <f>TRUNC(D8536*E8535/100,2)</f>
        <v>0</v>
      </c>
    </row>
    <row r="8537" spans="1:5">
      <c r="A8537" s="76" t="s">
        <v>2540</v>
      </c>
      <c r="B8537" s="77"/>
      <c r="C8537" s="78"/>
      <c r="D8537" s="78"/>
      <c r="E8537" s="78">
        <f>E8535+E8536</f>
        <v>286.74</v>
      </c>
    </row>
    <row r="8538" spans="1:5">
      <c r="A8538" s="76"/>
      <c r="B8538" s="77"/>
      <c r="C8538" s="78"/>
      <c r="D8538" s="78"/>
      <c r="E8538" s="78"/>
    </row>
    <row r="8539" spans="1:5">
      <c r="A8539" s="76" t="s">
        <v>3092</v>
      </c>
      <c r="B8539" s="77" t="s">
        <v>4352</v>
      </c>
      <c r="C8539" s="78"/>
      <c r="D8539" s="78"/>
      <c r="E8539" s="78"/>
    </row>
    <row r="8540" ht="25.5" spans="1:5">
      <c r="A8540" s="76" t="s">
        <v>4353</v>
      </c>
      <c r="B8540" s="77"/>
      <c r="C8540" s="78"/>
      <c r="D8540" s="78"/>
      <c r="E8540" s="78"/>
    </row>
    <row r="8541" spans="1:5">
      <c r="A8541" s="76" t="s">
        <v>2619</v>
      </c>
      <c r="B8541" s="77"/>
      <c r="C8541" s="78"/>
      <c r="D8541" s="78"/>
      <c r="E8541" s="78"/>
    </row>
    <row r="8542" spans="1:5">
      <c r="A8542" s="76"/>
      <c r="B8542" s="77"/>
      <c r="C8542" s="78"/>
      <c r="D8542" s="78"/>
      <c r="E8542" s="78"/>
    </row>
    <row r="8543" spans="1:5">
      <c r="A8543" s="76" t="s">
        <v>2543</v>
      </c>
      <c r="B8543" s="77" t="s">
        <v>135</v>
      </c>
      <c r="C8543" s="78" t="s">
        <v>136</v>
      </c>
      <c r="D8543" s="78" t="s">
        <v>2534</v>
      </c>
      <c r="E8543" s="78" t="s">
        <v>2535</v>
      </c>
    </row>
    <row r="8544" ht="25.5" spans="1:5">
      <c r="A8544" s="76" t="s">
        <v>2755</v>
      </c>
      <c r="B8544" s="77" t="s">
        <v>476</v>
      </c>
      <c r="C8544" s="78">
        <v>1.25</v>
      </c>
      <c r="D8544" s="78">
        <v>205</v>
      </c>
      <c r="E8544" s="78">
        <f>TRUNC(C8544*D8544,2)</f>
        <v>256.25</v>
      </c>
    </row>
    <row r="8545" spans="1:5">
      <c r="A8545" s="76" t="s">
        <v>3001</v>
      </c>
      <c r="B8545" s="77" t="s">
        <v>463</v>
      </c>
      <c r="C8545" s="78">
        <v>563.59</v>
      </c>
      <c r="D8545" s="78">
        <v>0.65</v>
      </c>
      <c r="E8545" s="78">
        <f>TRUNC(C8545*D8545,2)</f>
        <v>366.33</v>
      </c>
    </row>
    <row r="8546" spans="1:5">
      <c r="A8546" s="76" t="s">
        <v>2621</v>
      </c>
      <c r="B8546" s="77" t="s">
        <v>839</v>
      </c>
      <c r="C8546" s="78">
        <v>11.65</v>
      </c>
      <c r="D8546" s="78">
        <v>23.75</v>
      </c>
      <c r="E8546" s="78">
        <f>TRUNC(C8546*D8546,2)</f>
        <v>276.68</v>
      </c>
    </row>
    <row r="8547" spans="1:5">
      <c r="A8547" s="76" t="s">
        <v>122</v>
      </c>
      <c r="B8547" s="77"/>
      <c r="C8547" s="78"/>
      <c r="D8547" s="78"/>
      <c r="E8547" s="78">
        <f>SUM(E8544:E8546)</f>
        <v>899.26</v>
      </c>
    </row>
    <row r="8548" spans="1:5">
      <c r="A8548" s="76"/>
      <c r="B8548" s="77"/>
      <c r="C8548" s="78"/>
      <c r="D8548" s="78"/>
      <c r="E8548" s="78"/>
    </row>
    <row r="8549" spans="1:5">
      <c r="A8549" s="76" t="s">
        <v>2538</v>
      </c>
      <c r="B8549" s="77"/>
      <c r="C8549" s="78"/>
      <c r="D8549" s="78"/>
      <c r="E8549" s="78">
        <f>E8547</f>
        <v>899.26</v>
      </c>
    </row>
    <row r="8550" spans="1:5">
      <c r="A8550" s="76" t="s">
        <v>2539</v>
      </c>
      <c r="B8550" s="77"/>
      <c r="C8550" s="78"/>
      <c r="D8550" s="78">
        <v>0</v>
      </c>
      <c r="E8550" s="78">
        <f>TRUNC(D8550*E8549/100,2)</f>
        <v>0</v>
      </c>
    </row>
    <row r="8551" spans="1:5">
      <c r="A8551" s="76" t="s">
        <v>2540</v>
      </c>
      <c r="B8551" s="77"/>
      <c r="C8551" s="78"/>
      <c r="D8551" s="78"/>
      <c r="E8551" s="78">
        <f>E8549+E8550</f>
        <v>899.26</v>
      </c>
    </row>
    <row r="8552" spans="1:5">
      <c r="A8552" s="76"/>
      <c r="B8552" s="77"/>
      <c r="C8552" s="78"/>
      <c r="D8552" s="78"/>
      <c r="E8552" s="78"/>
    </row>
    <row r="8553" spans="1:5">
      <c r="A8553" s="76" t="s">
        <v>3092</v>
      </c>
      <c r="B8553" s="77" t="s">
        <v>4354</v>
      </c>
      <c r="C8553" s="78"/>
      <c r="D8553" s="78"/>
      <c r="E8553" s="78"/>
    </row>
    <row r="8554" ht="25.5" spans="1:5">
      <c r="A8554" s="76" t="s">
        <v>4355</v>
      </c>
      <c r="B8554" s="77"/>
      <c r="C8554" s="78"/>
      <c r="D8554" s="78"/>
      <c r="E8554" s="78"/>
    </row>
    <row r="8555" spans="1:5">
      <c r="A8555" s="76" t="s">
        <v>2655</v>
      </c>
      <c r="B8555" s="77"/>
      <c r="C8555" s="78"/>
      <c r="D8555" s="78"/>
      <c r="E8555" s="78"/>
    </row>
    <row r="8556" spans="1:5">
      <c r="A8556" s="76"/>
      <c r="B8556" s="77"/>
      <c r="C8556" s="78"/>
      <c r="D8556" s="78"/>
      <c r="E8556" s="78"/>
    </row>
    <row r="8557" spans="1:5">
      <c r="A8557" s="76" t="s">
        <v>2543</v>
      </c>
      <c r="B8557" s="77" t="s">
        <v>135</v>
      </c>
      <c r="C8557" s="78" t="s">
        <v>136</v>
      </c>
      <c r="D8557" s="78" t="s">
        <v>2534</v>
      </c>
      <c r="E8557" s="78" t="s">
        <v>2535</v>
      </c>
    </row>
    <row r="8558" spans="1:5">
      <c r="A8558" s="76" t="s">
        <v>2621</v>
      </c>
      <c r="B8558" s="77" t="s">
        <v>839</v>
      </c>
      <c r="C8558" s="78">
        <v>0.09358914</v>
      </c>
      <c r="D8558" s="78">
        <v>23.75</v>
      </c>
      <c r="E8558" s="78">
        <f>TRUNC(C8558*D8558,2)</f>
        <v>2.22</v>
      </c>
    </row>
    <row r="8559" spans="1:5">
      <c r="A8559" s="76" t="s">
        <v>3174</v>
      </c>
      <c r="B8559" s="77" t="s">
        <v>977</v>
      </c>
      <c r="C8559" s="78">
        <v>0.04960224</v>
      </c>
      <c r="D8559" s="78">
        <v>259.97</v>
      </c>
      <c r="E8559" s="78">
        <f>TRUNC(C8559*D8559,2)</f>
        <v>12.89</v>
      </c>
    </row>
    <row r="8560" ht="25.5" spans="1:5">
      <c r="A8560" s="76" t="s">
        <v>4356</v>
      </c>
      <c r="B8560" s="77" t="s">
        <v>977</v>
      </c>
      <c r="C8560" s="78">
        <v>0.04679457</v>
      </c>
      <c r="D8560" s="78">
        <v>310.74</v>
      </c>
      <c r="E8560" s="78">
        <f>TRUNC(C8560*D8560,2)</f>
        <v>14.54</v>
      </c>
    </row>
    <row r="8561" spans="1:5">
      <c r="A8561" s="76" t="s">
        <v>4357</v>
      </c>
      <c r="B8561" s="77" t="s">
        <v>979</v>
      </c>
      <c r="C8561" s="78">
        <v>0.04398689</v>
      </c>
      <c r="D8561" s="78">
        <v>63.94</v>
      </c>
      <c r="E8561" s="78">
        <f>TRUNC(C8561*D8561,2)</f>
        <v>2.81</v>
      </c>
    </row>
    <row r="8562" spans="1:5">
      <c r="A8562" s="76" t="s">
        <v>122</v>
      </c>
      <c r="B8562" s="77"/>
      <c r="C8562" s="78"/>
      <c r="D8562" s="78"/>
      <c r="E8562" s="78">
        <f>SUM(E8558:E8561)</f>
        <v>32.46</v>
      </c>
    </row>
    <row r="8563" spans="1:5">
      <c r="A8563" s="76"/>
      <c r="B8563" s="77"/>
      <c r="C8563" s="78"/>
      <c r="D8563" s="78"/>
      <c r="E8563" s="78"/>
    </row>
    <row r="8564" spans="1:5">
      <c r="A8564" s="76" t="s">
        <v>2538</v>
      </c>
      <c r="B8564" s="77"/>
      <c r="C8564" s="78"/>
      <c r="D8564" s="78"/>
      <c r="E8564" s="78">
        <f>E8562</f>
        <v>32.46</v>
      </c>
    </row>
    <row r="8565" spans="1:5">
      <c r="A8565" s="76" t="s">
        <v>2539</v>
      </c>
      <c r="B8565" s="77"/>
      <c r="C8565" s="78"/>
      <c r="D8565" s="78">
        <v>0</v>
      </c>
      <c r="E8565" s="78">
        <f>TRUNC(D8565*E8564/100,2)</f>
        <v>0</v>
      </c>
    </row>
    <row r="8566" spans="1:5">
      <c r="A8566" s="76" t="s">
        <v>2540</v>
      </c>
      <c r="B8566" s="77"/>
      <c r="C8566" s="78"/>
      <c r="D8566" s="78"/>
      <c r="E8566" s="78">
        <f>E8564+E8565</f>
        <v>32.46</v>
      </c>
    </row>
    <row r="8567" spans="1:5">
      <c r="A8567" s="76"/>
      <c r="B8567" s="77"/>
      <c r="C8567" s="78"/>
      <c r="D8567" s="78"/>
      <c r="E8567" s="78"/>
    </row>
    <row r="8568" spans="1:5">
      <c r="A8568" s="76" t="s">
        <v>3092</v>
      </c>
      <c r="B8568" s="77" t="s">
        <v>4358</v>
      </c>
      <c r="C8568" s="78"/>
      <c r="D8568" s="78"/>
      <c r="E8568" s="78"/>
    </row>
    <row r="8569" spans="1:5">
      <c r="A8569" s="76" t="s">
        <v>4359</v>
      </c>
      <c r="B8569" s="77"/>
      <c r="C8569" s="78"/>
      <c r="D8569" s="78"/>
      <c r="E8569" s="78"/>
    </row>
    <row r="8570" spans="1:5">
      <c r="A8570" s="76" t="s">
        <v>3085</v>
      </c>
      <c r="B8570" s="77"/>
      <c r="C8570" s="78"/>
      <c r="D8570" s="78"/>
      <c r="E8570" s="78"/>
    </row>
    <row r="8571" spans="1:5">
      <c r="A8571" s="76"/>
      <c r="B8571" s="77"/>
      <c r="C8571" s="78"/>
      <c r="D8571" s="78"/>
      <c r="E8571" s="78"/>
    </row>
    <row r="8572" spans="1:5">
      <c r="A8572" s="76" t="s">
        <v>2543</v>
      </c>
      <c r="B8572" s="77" t="s">
        <v>135</v>
      </c>
      <c r="C8572" s="78" t="s">
        <v>136</v>
      </c>
      <c r="D8572" s="78" t="s">
        <v>2534</v>
      </c>
      <c r="E8572" s="78" t="s">
        <v>2535</v>
      </c>
    </row>
    <row r="8573" ht="25.5" spans="1:5">
      <c r="A8573" s="76" t="s">
        <v>3870</v>
      </c>
      <c r="B8573" s="77" t="s">
        <v>839</v>
      </c>
      <c r="C8573" s="78">
        <v>1</v>
      </c>
      <c r="D8573" s="78">
        <v>35.13</v>
      </c>
      <c r="E8573" s="78">
        <f t="shared" ref="E8573:E8585" si="68">TRUNC(C8573*D8573,2)</f>
        <v>35.13</v>
      </c>
    </row>
    <row r="8574" ht="25.5" spans="1:5">
      <c r="A8574" s="76" t="s">
        <v>3273</v>
      </c>
      <c r="B8574" s="77" t="s">
        <v>839</v>
      </c>
      <c r="C8574" s="78">
        <v>1</v>
      </c>
      <c r="D8574" s="78">
        <v>26.06</v>
      </c>
      <c r="E8574" s="78">
        <f t="shared" si="68"/>
        <v>26.06</v>
      </c>
    </row>
    <row r="8575" ht="25.5" spans="1:5">
      <c r="A8575" s="76" t="s">
        <v>4360</v>
      </c>
      <c r="B8575" s="77" t="s">
        <v>839</v>
      </c>
      <c r="C8575" s="78">
        <v>1</v>
      </c>
      <c r="D8575" s="78">
        <v>17.92</v>
      </c>
      <c r="E8575" s="78">
        <f t="shared" si="68"/>
        <v>17.92</v>
      </c>
    </row>
    <row r="8576" ht="25.5" spans="1:5">
      <c r="A8576" s="76" t="s">
        <v>4361</v>
      </c>
      <c r="B8576" s="77" t="s">
        <v>839</v>
      </c>
      <c r="C8576" s="78">
        <v>1</v>
      </c>
      <c r="D8576" s="78">
        <v>153.23</v>
      </c>
      <c r="E8576" s="78">
        <f t="shared" si="68"/>
        <v>153.23</v>
      </c>
    </row>
    <row r="8577" ht="25.5" spans="1:5">
      <c r="A8577" s="76" t="s">
        <v>4362</v>
      </c>
      <c r="B8577" s="77" t="s">
        <v>839</v>
      </c>
      <c r="C8577" s="78">
        <v>1</v>
      </c>
      <c r="D8577" s="78">
        <v>2.97</v>
      </c>
      <c r="E8577" s="78">
        <f t="shared" si="68"/>
        <v>2.97</v>
      </c>
    </row>
    <row r="8578" ht="25.5" spans="1:5">
      <c r="A8578" s="76" t="s">
        <v>4363</v>
      </c>
      <c r="B8578" s="77" t="s">
        <v>839</v>
      </c>
      <c r="C8578" s="78">
        <v>1</v>
      </c>
      <c r="D8578" s="78">
        <v>7.36</v>
      </c>
      <c r="E8578" s="78">
        <f t="shared" si="68"/>
        <v>7.36</v>
      </c>
    </row>
    <row r="8579" ht="25.5" spans="1:5">
      <c r="A8579" s="76" t="s">
        <v>4364</v>
      </c>
      <c r="B8579" s="77" t="s">
        <v>839</v>
      </c>
      <c r="C8579" s="78">
        <v>1</v>
      </c>
      <c r="D8579" s="78">
        <v>33.61</v>
      </c>
      <c r="E8579" s="78">
        <f t="shared" si="68"/>
        <v>33.61</v>
      </c>
    </row>
    <row r="8580" spans="1:5">
      <c r="A8580" s="76" t="s">
        <v>4365</v>
      </c>
      <c r="B8580" s="77" t="s">
        <v>839</v>
      </c>
      <c r="C8580" s="78">
        <v>1</v>
      </c>
      <c r="D8580" s="78">
        <v>1.56</v>
      </c>
      <c r="E8580" s="78">
        <f t="shared" si="68"/>
        <v>1.56</v>
      </c>
    </row>
    <row r="8581" spans="1:5">
      <c r="A8581" s="76" t="s">
        <v>4366</v>
      </c>
      <c r="B8581" s="77" t="s">
        <v>839</v>
      </c>
      <c r="C8581" s="78">
        <v>1</v>
      </c>
      <c r="D8581" s="78">
        <v>0.4</v>
      </c>
      <c r="E8581" s="78">
        <f t="shared" si="68"/>
        <v>0.4</v>
      </c>
    </row>
    <row r="8582" spans="1:5">
      <c r="A8582" s="76" t="s">
        <v>4367</v>
      </c>
      <c r="B8582" s="77" t="s">
        <v>839</v>
      </c>
      <c r="C8582" s="78">
        <v>1</v>
      </c>
      <c r="D8582" s="78">
        <v>1.96</v>
      </c>
      <c r="E8582" s="78">
        <f t="shared" si="68"/>
        <v>1.96</v>
      </c>
    </row>
    <row r="8583" ht="25.5" spans="1:5">
      <c r="A8583" s="76" t="s">
        <v>4368</v>
      </c>
      <c r="B8583" s="77" t="s">
        <v>839</v>
      </c>
      <c r="C8583" s="78">
        <v>1</v>
      </c>
      <c r="D8583" s="78">
        <v>12.16</v>
      </c>
      <c r="E8583" s="78">
        <f t="shared" si="68"/>
        <v>12.16</v>
      </c>
    </row>
    <row r="8584" ht="25.5" spans="1:5">
      <c r="A8584" s="76" t="s">
        <v>4369</v>
      </c>
      <c r="B8584" s="77" t="s">
        <v>839</v>
      </c>
      <c r="C8584" s="78">
        <v>1</v>
      </c>
      <c r="D8584" s="78">
        <v>3.18</v>
      </c>
      <c r="E8584" s="78">
        <f t="shared" si="68"/>
        <v>3.18</v>
      </c>
    </row>
    <row r="8585" ht="25.5" spans="1:5">
      <c r="A8585" s="76" t="s">
        <v>4370</v>
      </c>
      <c r="B8585" s="77" t="s">
        <v>839</v>
      </c>
      <c r="C8585" s="78">
        <v>1</v>
      </c>
      <c r="D8585" s="78">
        <v>15.2</v>
      </c>
      <c r="E8585" s="78">
        <f t="shared" si="68"/>
        <v>15.2</v>
      </c>
    </row>
    <row r="8586" spans="1:5">
      <c r="A8586" s="76" t="s">
        <v>122</v>
      </c>
      <c r="B8586" s="77"/>
      <c r="C8586" s="78"/>
      <c r="D8586" s="78"/>
      <c r="E8586" s="78">
        <f>SUM(E8573:E8585)</f>
        <v>310.74</v>
      </c>
    </row>
    <row r="8587" spans="1:5">
      <c r="A8587" s="76"/>
      <c r="B8587" s="77"/>
      <c r="C8587" s="78"/>
      <c r="D8587" s="78"/>
      <c r="E8587" s="78"/>
    </row>
    <row r="8588" spans="1:5">
      <c r="A8588" s="76" t="s">
        <v>2538</v>
      </c>
      <c r="B8588" s="77"/>
      <c r="C8588" s="78"/>
      <c r="D8588" s="78"/>
      <c r="E8588" s="78">
        <f>E8586</f>
        <v>310.74</v>
      </c>
    </row>
    <row r="8589" spans="1:5">
      <c r="A8589" s="76" t="s">
        <v>2539</v>
      </c>
      <c r="B8589" s="77"/>
      <c r="C8589" s="78"/>
      <c r="D8589" s="78">
        <v>0</v>
      </c>
      <c r="E8589" s="78">
        <f>TRUNC(D8589*E8588/100,2)</f>
        <v>0</v>
      </c>
    </row>
    <row r="8590" spans="1:5">
      <c r="A8590" s="76" t="s">
        <v>2540</v>
      </c>
      <c r="B8590" s="77"/>
      <c r="C8590" s="78"/>
      <c r="D8590" s="78"/>
      <c r="E8590" s="78">
        <f>E8588+E8589</f>
        <v>310.74</v>
      </c>
    </row>
    <row r="8591" spans="1:5">
      <c r="A8591" s="76"/>
      <c r="B8591" s="77"/>
      <c r="C8591" s="78"/>
      <c r="D8591" s="78"/>
      <c r="E8591" s="78"/>
    </row>
    <row r="8592" spans="1:5">
      <c r="A8592" s="76" t="s">
        <v>3092</v>
      </c>
      <c r="B8592" s="77" t="s">
        <v>4371</v>
      </c>
      <c r="C8592" s="78"/>
      <c r="D8592" s="78"/>
      <c r="E8592" s="78"/>
    </row>
    <row r="8593" ht="25.5" spans="1:5">
      <c r="A8593" s="76" t="s">
        <v>4372</v>
      </c>
      <c r="B8593" s="77"/>
      <c r="C8593" s="78"/>
      <c r="D8593" s="78"/>
      <c r="E8593" s="78"/>
    </row>
    <row r="8594" spans="1:5">
      <c r="A8594" s="76" t="s">
        <v>2764</v>
      </c>
      <c r="B8594" s="77"/>
      <c r="C8594" s="78"/>
      <c r="D8594" s="78"/>
      <c r="E8594" s="78"/>
    </row>
    <row r="8595" spans="1:5">
      <c r="A8595" s="76"/>
      <c r="B8595" s="77"/>
      <c r="C8595" s="78"/>
      <c r="D8595" s="78"/>
      <c r="E8595" s="78"/>
    </row>
    <row r="8596" spans="1:5">
      <c r="A8596" s="76" t="s">
        <v>279</v>
      </c>
      <c r="B8596" s="77" t="s">
        <v>135</v>
      </c>
      <c r="C8596" s="78" t="s">
        <v>136</v>
      </c>
      <c r="D8596" s="78" t="s">
        <v>2534</v>
      </c>
      <c r="E8596" s="78" t="s">
        <v>2535</v>
      </c>
    </row>
    <row r="8597" ht="25.5" spans="1:5">
      <c r="A8597" s="76" t="s">
        <v>4373</v>
      </c>
      <c r="B8597" s="77" t="s">
        <v>494</v>
      </c>
      <c r="C8597" s="78">
        <v>3.427e-5</v>
      </c>
      <c r="D8597" s="78">
        <v>523066.43</v>
      </c>
      <c r="E8597" s="78">
        <f>TRUNC(C8597*D8597,2)</f>
        <v>17.92</v>
      </c>
    </row>
    <row r="8598" spans="1:5">
      <c r="A8598" s="76" t="s">
        <v>122</v>
      </c>
      <c r="B8598" s="77"/>
      <c r="C8598" s="78"/>
      <c r="D8598" s="78"/>
      <c r="E8598" s="78">
        <f>SUM(E8597:E8597)</f>
        <v>17.92</v>
      </c>
    </row>
    <row r="8599" spans="1:5">
      <c r="A8599" s="76"/>
      <c r="B8599" s="77"/>
      <c r="C8599" s="78"/>
      <c r="D8599" s="78"/>
      <c r="E8599" s="78"/>
    </row>
    <row r="8600" spans="1:5">
      <c r="A8600" s="76" t="s">
        <v>2538</v>
      </c>
      <c r="B8600" s="77"/>
      <c r="C8600" s="78"/>
      <c r="D8600" s="78"/>
      <c r="E8600" s="78">
        <f>E8598</f>
        <v>17.92</v>
      </c>
    </row>
    <row r="8601" spans="1:5">
      <c r="A8601" s="76" t="s">
        <v>2539</v>
      </c>
      <c r="B8601" s="77"/>
      <c r="C8601" s="78"/>
      <c r="D8601" s="78">
        <v>0</v>
      </c>
      <c r="E8601" s="78">
        <f>TRUNC(D8601*E8600/100,2)</f>
        <v>0</v>
      </c>
    </row>
    <row r="8602" spans="1:5">
      <c r="A8602" s="76" t="s">
        <v>2540</v>
      </c>
      <c r="B8602" s="77"/>
      <c r="C8602" s="78"/>
      <c r="D8602" s="78"/>
      <c r="E8602" s="78">
        <f>E8600+E8601</f>
        <v>17.92</v>
      </c>
    </row>
    <row r="8603" spans="1:5">
      <c r="A8603" s="76"/>
      <c r="B8603" s="77"/>
      <c r="C8603" s="78"/>
      <c r="D8603" s="78"/>
      <c r="E8603" s="78"/>
    </row>
    <row r="8604" spans="1:5">
      <c r="A8604" s="76" t="s">
        <v>3092</v>
      </c>
      <c r="B8604" s="77" t="s">
        <v>4374</v>
      </c>
      <c r="C8604" s="78"/>
      <c r="D8604" s="78"/>
      <c r="E8604" s="78"/>
    </row>
    <row r="8605" ht="25.5" spans="1:5">
      <c r="A8605" s="76" t="s">
        <v>4375</v>
      </c>
      <c r="B8605" s="77"/>
      <c r="C8605" s="78"/>
      <c r="D8605" s="78"/>
      <c r="E8605" s="78"/>
    </row>
    <row r="8606" spans="1:5">
      <c r="A8606" s="76" t="s">
        <v>2764</v>
      </c>
      <c r="B8606" s="77"/>
      <c r="C8606" s="78"/>
      <c r="D8606" s="78"/>
      <c r="E8606" s="78"/>
    </row>
    <row r="8607" spans="1:5">
      <c r="A8607" s="76"/>
      <c r="B8607" s="77"/>
      <c r="C8607" s="78"/>
      <c r="D8607" s="78"/>
      <c r="E8607" s="78"/>
    </row>
    <row r="8608" spans="1:5">
      <c r="A8608" s="76" t="s">
        <v>2543</v>
      </c>
      <c r="B8608" s="77" t="s">
        <v>135</v>
      </c>
      <c r="C8608" s="78" t="s">
        <v>136</v>
      </c>
      <c r="D8608" s="78" t="s">
        <v>2534</v>
      </c>
      <c r="E8608" s="78" t="s">
        <v>2535</v>
      </c>
    </row>
    <row r="8609" spans="1:5">
      <c r="A8609" s="76" t="s">
        <v>3202</v>
      </c>
      <c r="B8609" s="77" t="s">
        <v>215</v>
      </c>
      <c r="C8609" s="78">
        <v>25.84</v>
      </c>
      <c r="D8609" s="78">
        <v>5.93</v>
      </c>
      <c r="E8609" s="78">
        <f>TRUNC(C8609*D8609,2)</f>
        <v>153.23</v>
      </c>
    </row>
    <row r="8610" spans="1:5">
      <c r="A8610" s="76" t="s">
        <v>122</v>
      </c>
      <c r="B8610" s="77"/>
      <c r="C8610" s="78"/>
      <c r="D8610" s="78"/>
      <c r="E8610" s="78">
        <f>SUM(E8609:E8609)</f>
        <v>153.23</v>
      </c>
    </row>
    <row r="8611" spans="1:5">
      <c r="A8611" s="76"/>
      <c r="B8611" s="77"/>
      <c r="C8611" s="78"/>
      <c r="D8611" s="78"/>
      <c r="E8611" s="78"/>
    </row>
    <row r="8612" spans="1:5">
      <c r="A8612" s="76" t="s">
        <v>2538</v>
      </c>
      <c r="B8612" s="77"/>
      <c r="C8612" s="78"/>
      <c r="D8612" s="78"/>
      <c r="E8612" s="78">
        <f>E8610</f>
        <v>153.23</v>
      </c>
    </row>
    <row r="8613" spans="1:5">
      <c r="A8613" s="76" t="s">
        <v>2539</v>
      </c>
      <c r="B8613" s="77"/>
      <c r="C8613" s="78"/>
      <c r="D8613" s="78">
        <v>0</v>
      </c>
      <c r="E8613" s="78">
        <f>TRUNC(D8613*E8612/100,2)</f>
        <v>0</v>
      </c>
    </row>
    <row r="8614" spans="1:5">
      <c r="A8614" s="76" t="s">
        <v>2540</v>
      </c>
      <c r="B8614" s="77"/>
      <c r="C8614" s="78"/>
      <c r="D8614" s="78"/>
      <c r="E8614" s="78">
        <f>E8612+E8613</f>
        <v>153.23</v>
      </c>
    </row>
    <row r="8615" spans="1:5">
      <c r="A8615" s="76"/>
      <c r="B8615" s="77"/>
      <c r="C8615" s="78"/>
      <c r="D8615" s="78"/>
      <c r="E8615" s="78"/>
    </row>
    <row r="8616" spans="1:5">
      <c r="A8616" s="76" t="s">
        <v>3092</v>
      </c>
      <c r="B8616" s="77" t="s">
        <v>4376</v>
      </c>
      <c r="C8616" s="78"/>
      <c r="D8616" s="78"/>
      <c r="E8616" s="78"/>
    </row>
    <row r="8617" ht="25.5" spans="1:5">
      <c r="A8617" s="76" t="s">
        <v>4377</v>
      </c>
      <c r="B8617" s="77"/>
      <c r="C8617" s="78"/>
      <c r="D8617" s="78"/>
      <c r="E8617" s="78"/>
    </row>
    <row r="8618" spans="1:5">
      <c r="A8618" s="76" t="s">
        <v>2764</v>
      </c>
      <c r="B8618" s="77"/>
      <c r="C8618" s="78"/>
      <c r="D8618" s="78"/>
      <c r="E8618" s="78"/>
    </row>
    <row r="8619" spans="1:5">
      <c r="A8619" s="76"/>
      <c r="B8619" s="77"/>
      <c r="C8619" s="78"/>
      <c r="D8619" s="78"/>
      <c r="E8619" s="78"/>
    </row>
    <row r="8620" spans="1:5">
      <c r="A8620" s="76" t="s">
        <v>279</v>
      </c>
      <c r="B8620" s="77" t="s">
        <v>135</v>
      </c>
      <c r="C8620" s="78" t="s">
        <v>136</v>
      </c>
      <c r="D8620" s="78" t="s">
        <v>2534</v>
      </c>
      <c r="E8620" s="78" t="s">
        <v>2535</v>
      </c>
    </row>
    <row r="8621" ht="25.5" spans="1:5">
      <c r="A8621" s="76" t="s">
        <v>4373</v>
      </c>
      <c r="B8621" s="77" t="s">
        <v>494</v>
      </c>
      <c r="C8621" s="78">
        <v>5.69e-6</v>
      </c>
      <c r="D8621" s="78">
        <v>523066.43</v>
      </c>
      <c r="E8621" s="78">
        <f>TRUNC(C8621*D8621,2)</f>
        <v>2.97</v>
      </c>
    </row>
    <row r="8622" spans="1:5">
      <c r="A8622" s="76" t="s">
        <v>122</v>
      </c>
      <c r="B8622" s="77"/>
      <c r="C8622" s="78"/>
      <c r="D8622" s="78"/>
      <c r="E8622" s="78">
        <f>SUM(E8621:E8621)</f>
        <v>2.97</v>
      </c>
    </row>
    <row r="8623" spans="1:5">
      <c r="A8623" s="76"/>
      <c r="B8623" s="77"/>
      <c r="C8623" s="78"/>
      <c r="D8623" s="78"/>
      <c r="E8623" s="78"/>
    </row>
    <row r="8624" spans="1:5">
      <c r="A8624" s="76" t="s">
        <v>2538</v>
      </c>
      <c r="B8624" s="77"/>
      <c r="C8624" s="78"/>
      <c r="D8624" s="78"/>
      <c r="E8624" s="78">
        <f>E8622</f>
        <v>2.97</v>
      </c>
    </row>
    <row r="8625" spans="1:5">
      <c r="A8625" s="76" t="s">
        <v>2539</v>
      </c>
      <c r="B8625" s="77"/>
      <c r="C8625" s="78"/>
      <c r="D8625" s="78">
        <v>0</v>
      </c>
      <c r="E8625" s="78">
        <f>TRUNC(D8625*E8624/100,2)</f>
        <v>0</v>
      </c>
    </row>
    <row r="8626" spans="1:5">
      <c r="A8626" s="76" t="s">
        <v>2540</v>
      </c>
      <c r="B8626" s="77"/>
      <c r="C8626" s="78"/>
      <c r="D8626" s="78"/>
      <c r="E8626" s="78">
        <f>E8624+E8625</f>
        <v>2.97</v>
      </c>
    </row>
    <row r="8627" spans="1:5">
      <c r="A8627" s="76"/>
      <c r="B8627" s="77"/>
      <c r="C8627" s="78"/>
      <c r="D8627" s="78"/>
      <c r="E8627" s="78"/>
    </row>
    <row r="8628" spans="1:5">
      <c r="A8628" s="76" t="s">
        <v>3092</v>
      </c>
      <c r="B8628" s="77" t="s">
        <v>4378</v>
      </c>
      <c r="C8628" s="78"/>
      <c r="D8628" s="78"/>
      <c r="E8628" s="78"/>
    </row>
    <row r="8629" ht="25.5" spans="1:5">
      <c r="A8629" s="76" t="s">
        <v>4379</v>
      </c>
      <c r="B8629" s="77"/>
      <c r="C8629" s="78"/>
      <c r="D8629" s="78"/>
      <c r="E8629" s="78"/>
    </row>
    <row r="8630" spans="1:5">
      <c r="A8630" s="76" t="s">
        <v>2764</v>
      </c>
      <c r="B8630" s="77"/>
      <c r="C8630" s="78"/>
      <c r="D8630" s="78"/>
      <c r="E8630" s="78"/>
    </row>
    <row r="8631" spans="1:5">
      <c r="A8631" s="76"/>
      <c r="B8631" s="77"/>
      <c r="C8631" s="78"/>
      <c r="D8631" s="78"/>
      <c r="E8631" s="78"/>
    </row>
    <row r="8632" spans="1:5">
      <c r="A8632" s="76" t="s">
        <v>279</v>
      </c>
      <c r="B8632" s="77" t="s">
        <v>135</v>
      </c>
      <c r="C8632" s="78" t="s">
        <v>136</v>
      </c>
      <c r="D8632" s="78" t="s">
        <v>2534</v>
      </c>
      <c r="E8632" s="78" t="s">
        <v>2535</v>
      </c>
    </row>
    <row r="8633" ht="25.5" spans="1:5">
      <c r="A8633" s="76" t="s">
        <v>4373</v>
      </c>
      <c r="B8633" s="77" t="s">
        <v>494</v>
      </c>
      <c r="C8633" s="78">
        <v>1.408e-5</v>
      </c>
      <c r="D8633" s="78">
        <v>523066.43</v>
      </c>
      <c r="E8633" s="78">
        <f>TRUNC(C8633*D8633,2)</f>
        <v>7.36</v>
      </c>
    </row>
    <row r="8634" spans="1:5">
      <c r="A8634" s="76" t="s">
        <v>122</v>
      </c>
      <c r="B8634" s="77"/>
      <c r="C8634" s="78"/>
      <c r="D8634" s="78"/>
      <c r="E8634" s="78">
        <f>SUM(E8633:E8633)</f>
        <v>7.36</v>
      </c>
    </row>
    <row r="8635" spans="1:5">
      <c r="A8635" s="76"/>
      <c r="B8635" s="77"/>
      <c r="C8635" s="78"/>
      <c r="D8635" s="78"/>
      <c r="E8635" s="78"/>
    </row>
    <row r="8636" spans="1:5">
      <c r="A8636" s="76" t="s">
        <v>2538</v>
      </c>
      <c r="B8636" s="77"/>
      <c r="C8636" s="78"/>
      <c r="D8636" s="78"/>
      <c r="E8636" s="78">
        <f>E8634</f>
        <v>7.36</v>
      </c>
    </row>
    <row r="8637" spans="1:5">
      <c r="A8637" s="76" t="s">
        <v>2539</v>
      </c>
      <c r="B8637" s="77"/>
      <c r="C8637" s="78"/>
      <c r="D8637" s="78">
        <v>0</v>
      </c>
      <c r="E8637" s="78">
        <f>TRUNC(D8637*E8636/100,2)</f>
        <v>0</v>
      </c>
    </row>
    <row r="8638" spans="1:5">
      <c r="A8638" s="76" t="s">
        <v>2540</v>
      </c>
      <c r="B8638" s="77"/>
      <c r="C8638" s="78"/>
      <c r="D8638" s="78"/>
      <c r="E8638" s="78">
        <f>E8636+E8637</f>
        <v>7.36</v>
      </c>
    </row>
    <row r="8639" spans="1:5">
      <c r="A8639" s="76"/>
      <c r="B8639" s="77"/>
      <c r="C8639" s="78"/>
      <c r="D8639" s="78"/>
      <c r="E8639" s="78"/>
    </row>
    <row r="8640" spans="1:5">
      <c r="A8640" s="76" t="s">
        <v>3092</v>
      </c>
      <c r="B8640" s="77" t="s">
        <v>4380</v>
      </c>
      <c r="C8640" s="78"/>
      <c r="D8640" s="78"/>
      <c r="E8640" s="78"/>
    </row>
    <row r="8641" ht="25.5" spans="1:5">
      <c r="A8641" s="76" t="s">
        <v>4381</v>
      </c>
      <c r="B8641" s="77"/>
      <c r="C8641" s="78"/>
      <c r="D8641" s="78"/>
      <c r="E8641" s="78"/>
    </row>
    <row r="8642" spans="1:5">
      <c r="A8642" s="76" t="s">
        <v>2764</v>
      </c>
      <c r="B8642" s="77"/>
      <c r="C8642" s="78"/>
      <c r="D8642" s="78"/>
      <c r="E8642" s="78"/>
    </row>
    <row r="8643" spans="1:5">
      <c r="A8643" s="76"/>
      <c r="B8643" s="77"/>
      <c r="C8643" s="78"/>
      <c r="D8643" s="78"/>
      <c r="E8643" s="78"/>
    </row>
    <row r="8644" spans="1:5">
      <c r="A8644" s="76" t="s">
        <v>279</v>
      </c>
      <c r="B8644" s="77" t="s">
        <v>135</v>
      </c>
      <c r="C8644" s="78" t="s">
        <v>136</v>
      </c>
      <c r="D8644" s="78" t="s">
        <v>2534</v>
      </c>
      <c r="E8644" s="78" t="s">
        <v>2535</v>
      </c>
    </row>
    <row r="8645" ht="25.5" spans="1:5">
      <c r="A8645" s="76" t="s">
        <v>4373</v>
      </c>
      <c r="B8645" s="77" t="s">
        <v>494</v>
      </c>
      <c r="C8645" s="78">
        <v>6.427e-5</v>
      </c>
      <c r="D8645" s="78">
        <v>523066.43</v>
      </c>
      <c r="E8645" s="78">
        <f>TRUNC(C8645*D8645,2)</f>
        <v>33.61</v>
      </c>
    </row>
    <row r="8646" spans="1:5">
      <c r="A8646" s="76" t="s">
        <v>122</v>
      </c>
      <c r="B8646" s="77"/>
      <c r="C8646" s="78"/>
      <c r="D8646" s="78"/>
      <c r="E8646" s="78">
        <f>SUM(E8645:E8645)</f>
        <v>33.61</v>
      </c>
    </row>
    <row r="8647" spans="1:5">
      <c r="A8647" s="76"/>
      <c r="B8647" s="77"/>
      <c r="C8647" s="78"/>
      <c r="D8647" s="78"/>
      <c r="E8647" s="78"/>
    </row>
    <row r="8648" spans="1:5">
      <c r="A8648" s="76" t="s">
        <v>2538</v>
      </c>
      <c r="B8648" s="77"/>
      <c r="C8648" s="78"/>
      <c r="D8648" s="78"/>
      <c r="E8648" s="78">
        <f>E8646</f>
        <v>33.61</v>
      </c>
    </row>
    <row r="8649" spans="1:5">
      <c r="A8649" s="76" t="s">
        <v>2539</v>
      </c>
      <c r="B8649" s="77"/>
      <c r="C8649" s="78"/>
      <c r="D8649" s="78">
        <v>0</v>
      </c>
      <c r="E8649" s="78">
        <f>TRUNC(D8649*E8648/100,2)</f>
        <v>0</v>
      </c>
    </row>
    <row r="8650" spans="1:5">
      <c r="A8650" s="76" t="s">
        <v>2540</v>
      </c>
      <c r="B8650" s="77"/>
      <c r="C8650" s="78"/>
      <c r="D8650" s="78"/>
      <c r="E8650" s="78">
        <f>E8648+E8649</f>
        <v>33.61</v>
      </c>
    </row>
    <row r="8651" spans="1:5">
      <c r="A8651" s="76"/>
      <c r="B8651" s="77"/>
      <c r="C8651" s="78"/>
      <c r="D8651" s="78"/>
      <c r="E8651" s="78"/>
    </row>
    <row r="8652" spans="1:5">
      <c r="A8652" s="76" t="s">
        <v>3092</v>
      </c>
      <c r="B8652" s="77" t="s">
        <v>4382</v>
      </c>
      <c r="C8652" s="78"/>
      <c r="D8652" s="78"/>
      <c r="E8652" s="78"/>
    </row>
    <row r="8653" spans="1:5">
      <c r="A8653" s="76" t="s">
        <v>4383</v>
      </c>
      <c r="B8653" s="77"/>
      <c r="C8653" s="78"/>
      <c r="D8653" s="78"/>
      <c r="E8653" s="78"/>
    </row>
    <row r="8654" spans="1:5">
      <c r="A8654" s="76" t="s">
        <v>2764</v>
      </c>
      <c r="B8654" s="77"/>
      <c r="C8654" s="78"/>
      <c r="D8654" s="78"/>
      <c r="E8654" s="78"/>
    </row>
    <row r="8655" spans="1:5">
      <c r="A8655" s="76"/>
      <c r="B8655" s="77"/>
      <c r="C8655" s="78"/>
      <c r="D8655" s="78"/>
      <c r="E8655" s="78"/>
    </row>
    <row r="8656" spans="1:5">
      <c r="A8656" s="76" t="s">
        <v>2543</v>
      </c>
      <c r="B8656" s="77" t="s">
        <v>135</v>
      </c>
      <c r="C8656" s="78" t="s">
        <v>136</v>
      </c>
      <c r="D8656" s="78" t="s">
        <v>2534</v>
      </c>
      <c r="E8656" s="78" t="s">
        <v>2535</v>
      </c>
    </row>
    <row r="8657" spans="1:5">
      <c r="A8657" s="76" t="s">
        <v>4384</v>
      </c>
      <c r="B8657" s="77" t="s">
        <v>494</v>
      </c>
      <c r="C8657" s="78">
        <v>5.492e-5</v>
      </c>
      <c r="D8657" s="78">
        <v>28585</v>
      </c>
      <c r="E8657" s="78">
        <f>TRUNC(C8657*D8657,2)</f>
        <v>1.56</v>
      </c>
    </row>
    <row r="8658" spans="1:5">
      <c r="A8658" s="76" t="s">
        <v>122</v>
      </c>
      <c r="B8658" s="77"/>
      <c r="C8658" s="78"/>
      <c r="D8658" s="78"/>
      <c r="E8658" s="78">
        <f>SUM(E8657:E8657)</f>
        <v>1.56</v>
      </c>
    </row>
    <row r="8659" spans="1:5">
      <c r="A8659" s="76"/>
      <c r="B8659" s="77"/>
      <c r="C8659" s="78"/>
      <c r="D8659" s="78"/>
      <c r="E8659" s="78"/>
    </row>
    <row r="8660" spans="1:5">
      <c r="A8660" s="76" t="s">
        <v>2538</v>
      </c>
      <c r="B8660" s="77"/>
      <c r="C8660" s="78"/>
      <c r="D8660" s="78"/>
      <c r="E8660" s="78">
        <f>E8658</f>
        <v>1.56</v>
      </c>
    </row>
    <row r="8661" spans="1:5">
      <c r="A8661" s="76" t="s">
        <v>2539</v>
      </c>
      <c r="B8661" s="77"/>
      <c r="C8661" s="78"/>
      <c r="D8661" s="78">
        <v>0</v>
      </c>
      <c r="E8661" s="78">
        <f>TRUNC(D8661*E8660/100,2)</f>
        <v>0</v>
      </c>
    </row>
    <row r="8662" spans="1:5">
      <c r="A8662" s="76" t="s">
        <v>2540</v>
      </c>
      <c r="B8662" s="77"/>
      <c r="C8662" s="78"/>
      <c r="D8662" s="78"/>
      <c r="E8662" s="78">
        <f>E8660+E8661</f>
        <v>1.56</v>
      </c>
    </row>
    <row r="8663" spans="1:5">
      <c r="A8663" s="76"/>
      <c r="B8663" s="77"/>
      <c r="C8663" s="78"/>
      <c r="D8663" s="78"/>
      <c r="E8663" s="78"/>
    </row>
    <row r="8664" spans="1:5">
      <c r="A8664" s="76" t="s">
        <v>3092</v>
      </c>
      <c r="B8664" s="77" t="s">
        <v>4385</v>
      </c>
      <c r="C8664" s="78"/>
      <c r="D8664" s="78"/>
      <c r="E8664" s="78"/>
    </row>
    <row r="8665" spans="1:5">
      <c r="A8665" s="76" t="s">
        <v>4386</v>
      </c>
      <c r="B8665" s="77"/>
      <c r="C8665" s="78"/>
      <c r="D8665" s="78"/>
      <c r="E8665" s="78"/>
    </row>
    <row r="8666" spans="1:5">
      <c r="A8666" s="76" t="s">
        <v>2764</v>
      </c>
      <c r="B8666" s="77"/>
      <c r="C8666" s="78"/>
      <c r="D8666" s="78"/>
      <c r="E8666" s="78"/>
    </row>
    <row r="8667" spans="1:5">
      <c r="A8667" s="76"/>
      <c r="B8667" s="77"/>
      <c r="C8667" s="78"/>
      <c r="D8667" s="78"/>
      <c r="E8667" s="78"/>
    </row>
    <row r="8668" spans="1:5">
      <c r="A8668" s="76" t="s">
        <v>2543</v>
      </c>
      <c r="B8668" s="77" t="s">
        <v>135</v>
      </c>
      <c r="C8668" s="78" t="s">
        <v>136</v>
      </c>
      <c r="D8668" s="78" t="s">
        <v>2534</v>
      </c>
      <c r="E8668" s="78" t="s">
        <v>2535</v>
      </c>
    </row>
    <row r="8669" spans="1:5">
      <c r="A8669" s="76" t="s">
        <v>4384</v>
      </c>
      <c r="B8669" s="77" t="s">
        <v>494</v>
      </c>
      <c r="C8669" s="78">
        <v>1.434e-5</v>
      </c>
      <c r="D8669" s="78">
        <v>28585</v>
      </c>
      <c r="E8669" s="78">
        <f>TRUNC(C8669*D8669,2)</f>
        <v>0.4</v>
      </c>
    </row>
    <row r="8670" spans="1:5">
      <c r="A8670" s="76" t="s">
        <v>122</v>
      </c>
      <c r="B8670" s="77"/>
      <c r="C8670" s="78"/>
      <c r="D8670" s="78"/>
      <c r="E8670" s="78">
        <f>SUM(E8669:E8669)</f>
        <v>0.4</v>
      </c>
    </row>
    <row r="8671" spans="1:5">
      <c r="A8671" s="76"/>
      <c r="B8671" s="77"/>
      <c r="C8671" s="78"/>
      <c r="D8671" s="78"/>
      <c r="E8671" s="78"/>
    </row>
    <row r="8672" spans="1:5">
      <c r="A8672" s="76" t="s">
        <v>2538</v>
      </c>
      <c r="B8672" s="77"/>
      <c r="C8672" s="78"/>
      <c r="D8672" s="78"/>
      <c r="E8672" s="78">
        <f>E8670</f>
        <v>0.4</v>
      </c>
    </row>
    <row r="8673" spans="1:5">
      <c r="A8673" s="76" t="s">
        <v>2539</v>
      </c>
      <c r="B8673" s="77"/>
      <c r="C8673" s="78"/>
      <c r="D8673" s="78">
        <v>0</v>
      </c>
      <c r="E8673" s="78">
        <f>TRUNC(D8673*E8672/100,2)</f>
        <v>0</v>
      </c>
    </row>
    <row r="8674" spans="1:5">
      <c r="A8674" s="76" t="s">
        <v>2540</v>
      </c>
      <c r="B8674" s="77"/>
      <c r="C8674" s="78"/>
      <c r="D8674" s="78"/>
      <c r="E8674" s="78">
        <f>E8672+E8673</f>
        <v>0.4</v>
      </c>
    </row>
    <row r="8675" spans="1:5">
      <c r="A8675" s="76"/>
      <c r="B8675" s="77"/>
      <c r="C8675" s="78"/>
      <c r="D8675" s="78"/>
      <c r="E8675" s="78"/>
    </row>
    <row r="8676" spans="1:5">
      <c r="A8676" s="76" t="s">
        <v>3092</v>
      </c>
      <c r="B8676" s="77" t="s">
        <v>4387</v>
      </c>
      <c r="C8676" s="78"/>
      <c r="D8676" s="78"/>
      <c r="E8676" s="78"/>
    </row>
    <row r="8677" spans="1:5">
      <c r="A8677" s="76" t="s">
        <v>4388</v>
      </c>
      <c r="B8677" s="77"/>
      <c r="C8677" s="78"/>
      <c r="D8677" s="78"/>
      <c r="E8677" s="78"/>
    </row>
    <row r="8678" spans="1:5">
      <c r="A8678" s="76" t="s">
        <v>2764</v>
      </c>
      <c r="B8678" s="77"/>
      <c r="C8678" s="78"/>
      <c r="D8678" s="78"/>
      <c r="E8678" s="78"/>
    </row>
    <row r="8679" spans="1:5">
      <c r="A8679" s="76"/>
      <c r="B8679" s="77"/>
      <c r="C8679" s="78"/>
      <c r="D8679" s="78"/>
      <c r="E8679" s="78"/>
    </row>
    <row r="8680" spans="1:5">
      <c r="A8680" s="76" t="s">
        <v>2543</v>
      </c>
      <c r="B8680" s="77" t="s">
        <v>135</v>
      </c>
      <c r="C8680" s="78" t="s">
        <v>136</v>
      </c>
      <c r="D8680" s="78" t="s">
        <v>2534</v>
      </c>
      <c r="E8680" s="78" t="s">
        <v>2535</v>
      </c>
    </row>
    <row r="8681" spans="1:5">
      <c r="A8681" s="76" t="s">
        <v>4384</v>
      </c>
      <c r="B8681" s="77" t="s">
        <v>494</v>
      </c>
      <c r="C8681" s="78">
        <v>6.891e-5</v>
      </c>
      <c r="D8681" s="78">
        <v>28585</v>
      </c>
      <c r="E8681" s="78">
        <f>TRUNC(C8681*D8681,2)</f>
        <v>1.96</v>
      </c>
    </row>
    <row r="8682" spans="1:5">
      <c r="A8682" s="76" t="s">
        <v>122</v>
      </c>
      <c r="B8682" s="77"/>
      <c r="C8682" s="78"/>
      <c r="D8682" s="78"/>
      <c r="E8682" s="78">
        <f>SUM(E8681:E8681)</f>
        <v>1.96</v>
      </c>
    </row>
    <row r="8683" spans="1:5">
      <c r="A8683" s="76"/>
      <c r="B8683" s="77"/>
      <c r="C8683" s="78"/>
      <c r="D8683" s="78"/>
      <c r="E8683" s="78"/>
    </row>
    <row r="8684" spans="1:5">
      <c r="A8684" s="76" t="s">
        <v>2538</v>
      </c>
      <c r="B8684" s="77"/>
      <c r="C8684" s="78"/>
      <c r="D8684" s="78"/>
      <c r="E8684" s="78">
        <f>E8682</f>
        <v>1.96</v>
      </c>
    </row>
    <row r="8685" spans="1:5">
      <c r="A8685" s="76" t="s">
        <v>2539</v>
      </c>
      <c r="B8685" s="77"/>
      <c r="C8685" s="78"/>
      <c r="D8685" s="78">
        <v>0</v>
      </c>
      <c r="E8685" s="78">
        <f>TRUNC(D8685*E8684/100,2)</f>
        <v>0</v>
      </c>
    </row>
    <row r="8686" spans="1:5">
      <c r="A8686" s="76" t="s">
        <v>2540</v>
      </c>
      <c r="B8686" s="77"/>
      <c r="C8686" s="78"/>
      <c r="D8686" s="78"/>
      <c r="E8686" s="78">
        <f>E8684+E8685</f>
        <v>1.96</v>
      </c>
    </row>
    <row r="8687" spans="1:5">
      <c r="A8687" s="76"/>
      <c r="B8687" s="77"/>
      <c r="C8687" s="78"/>
      <c r="D8687" s="78"/>
      <c r="E8687" s="78"/>
    </row>
    <row r="8688" spans="1:5">
      <c r="A8688" s="76" t="s">
        <v>3092</v>
      </c>
      <c r="B8688" s="77" t="s">
        <v>4389</v>
      </c>
      <c r="C8688" s="78"/>
      <c r="D8688" s="78"/>
      <c r="E8688" s="78"/>
    </row>
    <row r="8689" spans="1:5">
      <c r="A8689" s="76" t="s">
        <v>4390</v>
      </c>
      <c r="B8689" s="77"/>
      <c r="C8689" s="78"/>
      <c r="D8689" s="78"/>
      <c r="E8689" s="78"/>
    </row>
    <row r="8690" spans="1:5">
      <c r="A8690" s="76" t="s">
        <v>2764</v>
      </c>
      <c r="B8690" s="77"/>
      <c r="C8690" s="78"/>
      <c r="D8690" s="78"/>
      <c r="E8690" s="78"/>
    </row>
    <row r="8691" spans="1:5">
      <c r="A8691" s="76"/>
      <c r="B8691" s="77"/>
      <c r="C8691" s="78"/>
      <c r="D8691" s="78"/>
      <c r="E8691" s="78"/>
    </row>
    <row r="8692" spans="1:5">
      <c r="A8692" s="76" t="s">
        <v>279</v>
      </c>
      <c r="B8692" s="77" t="s">
        <v>135</v>
      </c>
      <c r="C8692" s="78" t="s">
        <v>136</v>
      </c>
      <c r="D8692" s="78" t="s">
        <v>2534</v>
      </c>
      <c r="E8692" s="78" t="s">
        <v>2535</v>
      </c>
    </row>
    <row r="8693" ht="25.5" spans="1:5">
      <c r="A8693" s="76" t="s">
        <v>4391</v>
      </c>
      <c r="B8693" s="77" t="s">
        <v>494</v>
      </c>
      <c r="C8693" s="78">
        <v>5.515e-5</v>
      </c>
      <c r="D8693" s="78">
        <v>220660</v>
      </c>
      <c r="E8693" s="78">
        <f>TRUNC(C8693*D8693,2)</f>
        <v>12.16</v>
      </c>
    </row>
    <row r="8694" spans="1:5">
      <c r="A8694" s="76" t="s">
        <v>122</v>
      </c>
      <c r="B8694" s="77"/>
      <c r="C8694" s="78"/>
      <c r="D8694" s="78"/>
      <c r="E8694" s="78">
        <f>SUM(E8693:E8693)</f>
        <v>12.16</v>
      </c>
    </row>
    <row r="8695" spans="1:5">
      <c r="A8695" s="76"/>
      <c r="B8695" s="77"/>
      <c r="C8695" s="78"/>
      <c r="D8695" s="78"/>
      <c r="E8695" s="78"/>
    </row>
    <row r="8696" spans="1:5">
      <c r="A8696" s="76" t="s">
        <v>2538</v>
      </c>
      <c r="B8696" s="77"/>
      <c r="C8696" s="78"/>
      <c r="D8696" s="78"/>
      <c r="E8696" s="78">
        <f>E8694</f>
        <v>12.16</v>
      </c>
    </row>
    <row r="8697" spans="1:5">
      <c r="A8697" s="76" t="s">
        <v>2539</v>
      </c>
      <c r="B8697" s="77"/>
      <c r="C8697" s="78"/>
      <c r="D8697" s="78">
        <v>0</v>
      </c>
      <c r="E8697" s="78">
        <f>TRUNC(D8697*E8696/100,2)</f>
        <v>0</v>
      </c>
    </row>
    <row r="8698" spans="1:5">
      <c r="A8698" s="76" t="s">
        <v>2540</v>
      </c>
      <c r="B8698" s="77"/>
      <c r="C8698" s="78"/>
      <c r="D8698" s="78"/>
      <c r="E8698" s="78">
        <f>E8696+E8697</f>
        <v>12.16</v>
      </c>
    </row>
    <row r="8699" spans="1:5">
      <c r="A8699" s="76"/>
      <c r="B8699" s="77"/>
      <c r="C8699" s="78"/>
      <c r="D8699" s="78"/>
      <c r="E8699" s="78"/>
    </row>
    <row r="8700" spans="1:5">
      <c r="A8700" s="76" t="s">
        <v>3092</v>
      </c>
      <c r="B8700" s="77" t="s">
        <v>4392</v>
      </c>
      <c r="C8700" s="78"/>
      <c r="D8700" s="78"/>
      <c r="E8700" s="78"/>
    </row>
    <row r="8701" spans="1:5">
      <c r="A8701" s="76" t="s">
        <v>4393</v>
      </c>
      <c r="B8701" s="77"/>
      <c r="C8701" s="78"/>
      <c r="D8701" s="78"/>
      <c r="E8701" s="78"/>
    </row>
    <row r="8702" spans="1:5">
      <c r="A8702" s="76" t="s">
        <v>2764</v>
      </c>
      <c r="B8702" s="77"/>
      <c r="C8702" s="78"/>
      <c r="D8702" s="78"/>
      <c r="E8702" s="78"/>
    </row>
    <row r="8703" spans="1:5">
      <c r="A8703" s="76"/>
      <c r="B8703" s="77"/>
      <c r="C8703" s="78"/>
      <c r="D8703" s="78"/>
      <c r="E8703" s="78"/>
    </row>
    <row r="8704" spans="1:5">
      <c r="A8704" s="76" t="s">
        <v>279</v>
      </c>
      <c r="B8704" s="77" t="s">
        <v>135</v>
      </c>
      <c r="C8704" s="78" t="s">
        <v>136</v>
      </c>
      <c r="D8704" s="78" t="s">
        <v>2534</v>
      </c>
      <c r="E8704" s="78" t="s">
        <v>2535</v>
      </c>
    </row>
    <row r="8705" ht="25.5" spans="1:5">
      <c r="A8705" s="76" t="s">
        <v>4391</v>
      </c>
      <c r="B8705" s="77" t="s">
        <v>494</v>
      </c>
      <c r="C8705" s="78">
        <v>1.445e-5</v>
      </c>
      <c r="D8705" s="78">
        <v>220660</v>
      </c>
      <c r="E8705" s="78">
        <f>TRUNC(C8705*D8705,2)</f>
        <v>3.18</v>
      </c>
    </row>
    <row r="8706" spans="1:5">
      <c r="A8706" s="76" t="s">
        <v>122</v>
      </c>
      <c r="B8706" s="77"/>
      <c r="C8706" s="78"/>
      <c r="D8706" s="78"/>
      <c r="E8706" s="78">
        <f>SUM(E8705:E8705)</f>
        <v>3.18</v>
      </c>
    </row>
    <row r="8707" spans="1:5">
      <c r="A8707" s="76"/>
      <c r="B8707" s="77"/>
      <c r="C8707" s="78"/>
      <c r="D8707" s="78"/>
      <c r="E8707" s="78"/>
    </row>
    <row r="8708" spans="1:5">
      <c r="A8708" s="76" t="s">
        <v>2538</v>
      </c>
      <c r="B8708" s="77"/>
      <c r="C8708" s="78"/>
      <c r="D8708" s="78"/>
      <c r="E8708" s="78">
        <f>E8706</f>
        <v>3.18</v>
      </c>
    </row>
    <row r="8709" spans="1:5">
      <c r="A8709" s="76" t="s">
        <v>2539</v>
      </c>
      <c r="B8709" s="77"/>
      <c r="C8709" s="78"/>
      <c r="D8709" s="78">
        <v>0</v>
      </c>
      <c r="E8709" s="78">
        <f>TRUNC(D8709*E8708/100,2)</f>
        <v>0</v>
      </c>
    </row>
    <row r="8710" spans="1:5">
      <c r="A8710" s="76" t="s">
        <v>2540</v>
      </c>
      <c r="B8710" s="77"/>
      <c r="C8710" s="78"/>
      <c r="D8710" s="78"/>
      <c r="E8710" s="78">
        <f>E8708+E8709</f>
        <v>3.18</v>
      </c>
    </row>
    <row r="8711" spans="1:5">
      <c r="A8711" s="76"/>
      <c r="B8711" s="77"/>
      <c r="C8711" s="78"/>
      <c r="D8711" s="78"/>
      <c r="E8711" s="78"/>
    </row>
    <row r="8712" spans="1:5">
      <c r="A8712" s="76" t="s">
        <v>3092</v>
      </c>
      <c r="B8712" s="77" t="s">
        <v>4394</v>
      </c>
      <c r="C8712" s="78"/>
      <c r="D8712" s="78"/>
      <c r="E8712" s="78"/>
    </row>
    <row r="8713" spans="1:5">
      <c r="A8713" s="76" t="s">
        <v>4395</v>
      </c>
      <c r="B8713" s="77"/>
      <c r="C8713" s="78"/>
      <c r="D8713" s="78"/>
      <c r="E8713" s="78"/>
    </row>
    <row r="8714" spans="1:5">
      <c r="A8714" s="76" t="s">
        <v>2764</v>
      </c>
      <c r="B8714" s="77"/>
      <c r="C8714" s="78"/>
      <c r="D8714" s="78"/>
      <c r="E8714" s="78"/>
    </row>
    <row r="8715" spans="1:5">
      <c r="A8715" s="76"/>
      <c r="B8715" s="77"/>
      <c r="C8715" s="78"/>
      <c r="D8715" s="78"/>
      <c r="E8715" s="78"/>
    </row>
    <row r="8716" spans="1:5">
      <c r="A8716" s="76" t="s">
        <v>279</v>
      </c>
      <c r="B8716" s="77" t="s">
        <v>135</v>
      </c>
      <c r="C8716" s="78" t="s">
        <v>136</v>
      </c>
      <c r="D8716" s="78" t="s">
        <v>2534</v>
      </c>
      <c r="E8716" s="78" t="s">
        <v>2535</v>
      </c>
    </row>
    <row r="8717" ht="25.5" spans="1:5">
      <c r="A8717" s="76" t="s">
        <v>4391</v>
      </c>
      <c r="B8717" s="77" t="s">
        <v>494</v>
      </c>
      <c r="C8717" s="78">
        <v>6.892e-5</v>
      </c>
      <c r="D8717" s="78">
        <v>220660</v>
      </c>
      <c r="E8717" s="78">
        <f>TRUNC(C8717*D8717,2)</f>
        <v>15.2</v>
      </c>
    </row>
    <row r="8718" spans="1:5">
      <c r="A8718" s="76" t="s">
        <v>122</v>
      </c>
      <c r="B8718" s="77"/>
      <c r="C8718" s="78"/>
      <c r="D8718" s="78"/>
      <c r="E8718" s="78">
        <f>SUM(E8717:E8717)</f>
        <v>15.2</v>
      </c>
    </row>
    <row r="8719" spans="1:5">
      <c r="A8719" s="76"/>
      <c r="B8719" s="77"/>
      <c r="C8719" s="78"/>
      <c r="D8719" s="78"/>
      <c r="E8719" s="78"/>
    </row>
    <row r="8720" spans="1:5">
      <c r="A8720" s="76" t="s">
        <v>2538</v>
      </c>
      <c r="B8720" s="77"/>
      <c r="C8720" s="78"/>
      <c r="D8720" s="78"/>
      <c r="E8720" s="78">
        <f>E8718</f>
        <v>15.2</v>
      </c>
    </row>
    <row r="8721" spans="1:5">
      <c r="A8721" s="76" t="s">
        <v>2539</v>
      </c>
      <c r="B8721" s="77"/>
      <c r="C8721" s="78"/>
      <c r="D8721" s="78">
        <v>0</v>
      </c>
      <c r="E8721" s="78">
        <f>TRUNC(D8721*E8720/100,2)</f>
        <v>0</v>
      </c>
    </row>
    <row r="8722" spans="1:5">
      <c r="A8722" s="76" t="s">
        <v>2540</v>
      </c>
      <c r="B8722" s="77"/>
      <c r="C8722" s="78"/>
      <c r="D8722" s="78"/>
      <c r="E8722" s="78">
        <f>E8720+E8721</f>
        <v>15.2</v>
      </c>
    </row>
    <row r="8723" spans="1:5">
      <c r="A8723" s="76"/>
      <c r="B8723" s="77"/>
      <c r="C8723" s="78"/>
      <c r="D8723" s="78"/>
      <c r="E8723" s="78"/>
    </row>
    <row r="8724" spans="1:5">
      <c r="A8724" s="76" t="s">
        <v>3092</v>
      </c>
      <c r="B8724" s="77" t="s">
        <v>4396</v>
      </c>
      <c r="C8724" s="78"/>
      <c r="D8724" s="78"/>
      <c r="E8724" s="78"/>
    </row>
    <row r="8725" spans="1:5">
      <c r="A8725" s="76" t="s">
        <v>3182</v>
      </c>
      <c r="B8725" s="77"/>
      <c r="C8725" s="78"/>
      <c r="D8725" s="78"/>
      <c r="E8725" s="78"/>
    </row>
    <row r="8726" spans="1:5">
      <c r="A8726" s="76" t="s">
        <v>3091</v>
      </c>
      <c r="B8726" s="77"/>
      <c r="C8726" s="78"/>
      <c r="D8726" s="78"/>
      <c r="E8726" s="78"/>
    </row>
    <row r="8727" spans="1:5">
      <c r="A8727" s="76"/>
      <c r="B8727" s="77"/>
      <c r="C8727" s="78"/>
      <c r="D8727" s="78"/>
      <c r="E8727" s="78"/>
    </row>
    <row r="8728" spans="1:5">
      <c r="A8728" s="76" t="s">
        <v>2543</v>
      </c>
      <c r="B8728" s="77" t="s">
        <v>135</v>
      </c>
      <c r="C8728" s="78" t="s">
        <v>136</v>
      </c>
      <c r="D8728" s="78" t="s">
        <v>2534</v>
      </c>
      <c r="E8728" s="78" t="s">
        <v>2535</v>
      </c>
    </row>
    <row r="8729" spans="1:5">
      <c r="A8729" s="76" t="s">
        <v>3183</v>
      </c>
      <c r="B8729" s="77" t="s">
        <v>839</v>
      </c>
      <c r="C8729" s="78">
        <v>1</v>
      </c>
      <c r="D8729" s="78">
        <v>29.8</v>
      </c>
      <c r="E8729" s="78">
        <f t="shared" ref="E8729:E8734" si="69">TRUNC(C8729*D8729,2)</f>
        <v>29.8</v>
      </c>
    </row>
    <row r="8730" ht="25.5" spans="1:5">
      <c r="A8730" s="76" t="s">
        <v>3185</v>
      </c>
      <c r="B8730" s="77" t="s">
        <v>839</v>
      </c>
      <c r="C8730" s="78">
        <v>1</v>
      </c>
      <c r="D8730" s="78">
        <v>19.55</v>
      </c>
      <c r="E8730" s="78">
        <f t="shared" si="69"/>
        <v>19.55</v>
      </c>
    </row>
    <row r="8731" ht="25.5" spans="1:5">
      <c r="A8731" s="76" t="s">
        <v>3186</v>
      </c>
      <c r="B8731" s="77" t="s">
        <v>839</v>
      </c>
      <c r="C8731" s="78">
        <v>1</v>
      </c>
      <c r="D8731" s="78">
        <v>3.25</v>
      </c>
      <c r="E8731" s="78">
        <f t="shared" si="69"/>
        <v>3.25</v>
      </c>
    </row>
    <row r="8732" ht="25.5" spans="1:5">
      <c r="A8732" s="76" t="s">
        <v>3187</v>
      </c>
      <c r="B8732" s="77" t="s">
        <v>839</v>
      </c>
      <c r="C8732" s="78">
        <v>1</v>
      </c>
      <c r="D8732" s="78">
        <v>8.03</v>
      </c>
      <c r="E8732" s="78">
        <f t="shared" si="69"/>
        <v>8.03</v>
      </c>
    </row>
    <row r="8733" spans="1:5">
      <c r="A8733" s="76" t="s">
        <v>3189</v>
      </c>
      <c r="B8733" s="77" t="s">
        <v>839</v>
      </c>
      <c r="C8733" s="78">
        <v>1</v>
      </c>
      <c r="D8733" s="78">
        <v>2.63</v>
      </c>
      <c r="E8733" s="78">
        <f t="shared" si="69"/>
        <v>2.63</v>
      </c>
    </row>
    <row r="8734" spans="1:5">
      <c r="A8734" s="76" t="s">
        <v>3190</v>
      </c>
      <c r="B8734" s="77" t="s">
        <v>839</v>
      </c>
      <c r="C8734" s="78">
        <v>1</v>
      </c>
      <c r="D8734" s="78">
        <v>0.68</v>
      </c>
      <c r="E8734" s="78">
        <f t="shared" si="69"/>
        <v>0.68</v>
      </c>
    </row>
    <row r="8735" spans="1:5">
      <c r="A8735" s="76" t="s">
        <v>122</v>
      </c>
      <c r="B8735" s="77"/>
      <c r="C8735" s="78"/>
      <c r="D8735" s="78"/>
      <c r="E8735" s="78">
        <f>SUM(E8729:E8734)</f>
        <v>63.94</v>
      </c>
    </row>
    <row r="8736" spans="1:5">
      <c r="A8736" s="76"/>
      <c r="B8736" s="77"/>
      <c r="C8736" s="78"/>
      <c r="D8736" s="78"/>
      <c r="E8736" s="78"/>
    </row>
    <row r="8737" spans="1:5">
      <c r="A8737" s="76" t="s">
        <v>2538</v>
      </c>
      <c r="B8737" s="77"/>
      <c r="C8737" s="78"/>
      <c r="D8737" s="78"/>
      <c r="E8737" s="78">
        <f>E8735</f>
        <v>63.94</v>
      </c>
    </row>
    <row r="8738" spans="1:5">
      <c r="A8738" s="76" t="s">
        <v>2539</v>
      </c>
      <c r="B8738" s="77"/>
      <c r="C8738" s="78"/>
      <c r="D8738" s="78">
        <v>0</v>
      </c>
      <c r="E8738" s="78">
        <f>TRUNC(D8738*E8737/100,2)</f>
        <v>0</v>
      </c>
    </row>
    <row r="8739" spans="1:5">
      <c r="A8739" s="76" t="s">
        <v>2540</v>
      </c>
      <c r="B8739" s="77"/>
      <c r="C8739" s="78"/>
      <c r="D8739" s="78"/>
      <c r="E8739" s="78">
        <f>E8737+E8738</f>
        <v>63.94</v>
      </c>
    </row>
    <row r="8740" spans="1:5">
      <c r="A8740" s="76"/>
      <c r="B8740" s="77"/>
      <c r="C8740" s="78"/>
      <c r="D8740" s="78"/>
      <c r="E8740" s="78"/>
    </row>
    <row r="8741" spans="1:5">
      <c r="A8741" s="76" t="s">
        <v>3092</v>
      </c>
      <c r="B8741" s="77" t="s">
        <v>4397</v>
      </c>
      <c r="C8741" s="78"/>
      <c r="D8741" s="78"/>
      <c r="E8741" s="78"/>
    </row>
    <row r="8742" ht="25.5" spans="1:5">
      <c r="A8742" s="76" t="s">
        <v>4398</v>
      </c>
      <c r="B8742" s="77"/>
      <c r="C8742" s="78"/>
      <c r="D8742" s="78"/>
      <c r="E8742" s="78"/>
    </row>
    <row r="8743" spans="1:5">
      <c r="A8743" s="76" t="s">
        <v>2655</v>
      </c>
      <c r="B8743" s="77"/>
      <c r="C8743" s="78"/>
      <c r="D8743" s="78"/>
      <c r="E8743" s="78"/>
    </row>
    <row r="8744" spans="1:5">
      <c r="A8744" s="76"/>
      <c r="B8744" s="77"/>
      <c r="C8744" s="78"/>
      <c r="D8744" s="78"/>
      <c r="E8744" s="78"/>
    </row>
    <row r="8745" spans="1:5">
      <c r="A8745" s="76" t="s">
        <v>2543</v>
      </c>
      <c r="B8745" s="77" t="s">
        <v>135</v>
      </c>
      <c r="C8745" s="78" t="s">
        <v>136</v>
      </c>
      <c r="D8745" s="78" t="s">
        <v>2534</v>
      </c>
      <c r="E8745" s="78" t="s">
        <v>2535</v>
      </c>
    </row>
    <row r="8746" spans="1:5">
      <c r="A8746" s="76" t="s">
        <v>2621</v>
      </c>
      <c r="B8746" s="77" t="s">
        <v>839</v>
      </c>
      <c r="C8746" s="78">
        <v>0.4215976</v>
      </c>
      <c r="D8746" s="78">
        <v>23.75</v>
      </c>
      <c r="E8746" s="78">
        <f>TRUNC(C8746*D8746,2)</f>
        <v>10.01</v>
      </c>
    </row>
    <row r="8747" spans="1:5">
      <c r="A8747" s="76" t="s">
        <v>3614</v>
      </c>
      <c r="B8747" s="77" t="s">
        <v>977</v>
      </c>
      <c r="C8747" s="78">
        <v>0.1053994</v>
      </c>
      <c r="D8747" s="78">
        <v>181.85</v>
      </c>
      <c r="E8747" s="78">
        <f>TRUNC(C8747*D8747,2)</f>
        <v>19.16</v>
      </c>
    </row>
    <row r="8748" spans="1:5">
      <c r="A8748" s="76" t="s">
        <v>122</v>
      </c>
      <c r="B8748" s="77"/>
      <c r="C8748" s="78"/>
      <c r="D8748" s="78"/>
      <c r="E8748" s="78">
        <f>SUM(E8746:E8747)</f>
        <v>29.17</v>
      </c>
    </row>
    <row r="8749" spans="1:5">
      <c r="A8749" s="76"/>
      <c r="B8749" s="77"/>
      <c r="C8749" s="78"/>
      <c r="D8749" s="78"/>
      <c r="E8749" s="78"/>
    </row>
    <row r="8750" spans="1:5">
      <c r="A8750" s="76" t="s">
        <v>2538</v>
      </c>
      <c r="B8750" s="77"/>
      <c r="C8750" s="78"/>
      <c r="D8750" s="78"/>
      <c r="E8750" s="78">
        <f>E8748</f>
        <v>29.17</v>
      </c>
    </row>
    <row r="8751" spans="1:5">
      <c r="A8751" s="76" t="s">
        <v>2539</v>
      </c>
      <c r="B8751" s="77"/>
      <c r="C8751" s="78"/>
      <c r="D8751" s="78">
        <v>0</v>
      </c>
      <c r="E8751" s="78">
        <f>TRUNC(D8751*E8750/100,2)</f>
        <v>0</v>
      </c>
    </row>
    <row r="8752" spans="1:5">
      <c r="A8752" s="76" t="s">
        <v>2540</v>
      </c>
      <c r="B8752" s="77"/>
      <c r="C8752" s="78"/>
      <c r="D8752" s="78"/>
      <c r="E8752" s="78">
        <f>E8750+E8751</f>
        <v>29.17</v>
      </c>
    </row>
    <row r="8753" spans="1:5">
      <c r="A8753" s="76"/>
      <c r="B8753" s="77"/>
      <c r="C8753" s="78"/>
      <c r="D8753" s="78"/>
      <c r="E8753" s="78"/>
    </row>
    <row r="8754" spans="1:5">
      <c r="A8754" s="76" t="s">
        <v>3092</v>
      </c>
      <c r="B8754" s="77" t="s">
        <v>4399</v>
      </c>
      <c r="C8754" s="78"/>
      <c r="D8754" s="78"/>
      <c r="E8754" s="78"/>
    </row>
    <row r="8755" spans="1:5">
      <c r="A8755" s="76" t="s">
        <v>4400</v>
      </c>
      <c r="B8755" s="77"/>
      <c r="C8755" s="78"/>
      <c r="D8755" s="78"/>
      <c r="E8755" s="78"/>
    </row>
    <row r="8756" spans="1:5">
      <c r="A8756" s="76" t="s">
        <v>2563</v>
      </c>
      <c r="B8756" s="77"/>
      <c r="C8756" s="78"/>
      <c r="D8756" s="78"/>
      <c r="E8756" s="78"/>
    </row>
    <row r="8757" spans="1:5">
      <c r="A8757" s="76"/>
      <c r="B8757" s="77"/>
      <c r="C8757" s="78"/>
      <c r="D8757" s="78"/>
      <c r="E8757" s="78"/>
    </row>
    <row r="8758" spans="1:5">
      <c r="A8758" s="76" t="s">
        <v>2543</v>
      </c>
      <c r="B8758" s="77" t="s">
        <v>135</v>
      </c>
      <c r="C8758" s="78" t="s">
        <v>136</v>
      </c>
      <c r="D8758" s="78" t="s">
        <v>2534</v>
      </c>
      <c r="E8758" s="78" t="s">
        <v>2535</v>
      </c>
    </row>
    <row r="8759" spans="1:5">
      <c r="A8759" s="76" t="s">
        <v>4401</v>
      </c>
      <c r="B8759" s="77" t="s">
        <v>215</v>
      </c>
      <c r="C8759" s="78">
        <v>0.3257</v>
      </c>
      <c r="D8759" s="78">
        <v>27.95</v>
      </c>
      <c r="E8759" s="78">
        <f>TRUNC(C8759*D8759,2)</f>
        <v>9.1</v>
      </c>
    </row>
    <row r="8760" spans="1:5">
      <c r="A8760" s="76" t="s">
        <v>2567</v>
      </c>
      <c r="B8760" s="77" t="s">
        <v>839</v>
      </c>
      <c r="C8760" s="78">
        <v>0.4529</v>
      </c>
      <c r="D8760" s="78">
        <v>33.01</v>
      </c>
      <c r="E8760" s="78">
        <f>TRUNC(C8760*D8760,2)</f>
        <v>14.95</v>
      </c>
    </row>
    <row r="8761" spans="1:5">
      <c r="A8761" s="76" t="s">
        <v>122</v>
      </c>
      <c r="B8761" s="77"/>
      <c r="C8761" s="78"/>
      <c r="D8761" s="78"/>
      <c r="E8761" s="78">
        <f>SUM(E8759:E8760)</f>
        <v>24.05</v>
      </c>
    </row>
    <row r="8762" spans="1:5">
      <c r="A8762" s="76"/>
      <c r="B8762" s="77"/>
      <c r="C8762" s="78"/>
      <c r="D8762" s="78"/>
      <c r="E8762" s="78"/>
    </row>
    <row r="8763" spans="1:5">
      <c r="A8763" s="76" t="s">
        <v>2538</v>
      </c>
      <c r="B8763" s="77"/>
      <c r="C8763" s="78"/>
      <c r="D8763" s="78"/>
      <c r="E8763" s="78">
        <f>E8761</f>
        <v>24.05</v>
      </c>
    </row>
    <row r="8764" spans="1:5">
      <c r="A8764" s="76" t="s">
        <v>2539</v>
      </c>
      <c r="B8764" s="77"/>
      <c r="C8764" s="78"/>
      <c r="D8764" s="78">
        <v>0</v>
      </c>
      <c r="E8764" s="78">
        <f>TRUNC(D8764*E8763/100,2)</f>
        <v>0</v>
      </c>
    </row>
    <row r="8765" spans="1:5">
      <c r="A8765" s="76" t="s">
        <v>2540</v>
      </c>
      <c r="B8765" s="77"/>
      <c r="C8765" s="78"/>
      <c r="D8765" s="78"/>
      <c r="E8765" s="78">
        <f>E8763+E8764</f>
        <v>24.05</v>
      </c>
    </row>
    <row r="8766" spans="1:5">
      <c r="A8766" s="76"/>
      <c r="B8766" s="77"/>
      <c r="C8766" s="78"/>
      <c r="D8766" s="78"/>
      <c r="E8766" s="78"/>
    </row>
    <row r="8767" spans="1:5">
      <c r="A8767" s="76" t="s">
        <v>3092</v>
      </c>
      <c r="B8767" s="77" t="s">
        <v>4402</v>
      </c>
      <c r="C8767" s="78"/>
      <c r="D8767" s="78"/>
      <c r="E8767" s="78"/>
    </row>
    <row r="8768" ht="25.5" spans="1:5">
      <c r="A8768" s="76" t="s">
        <v>4403</v>
      </c>
      <c r="B8768" s="77"/>
      <c r="C8768" s="78"/>
      <c r="D8768" s="78"/>
      <c r="E8768" s="78"/>
    </row>
    <row r="8769" spans="1:5">
      <c r="A8769" s="76" t="s">
        <v>3085</v>
      </c>
      <c r="B8769" s="77"/>
      <c r="C8769" s="78"/>
      <c r="D8769" s="78"/>
      <c r="E8769" s="78"/>
    </row>
    <row r="8770" spans="1:5">
      <c r="A8770" s="76"/>
      <c r="B8770" s="77"/>
      <c r="C8770" s="78"/>
      <c r="D8770" s="78"/>
      <c r="E8770" s="78"/>
    </row>
    <row r="8771" spans="1:5">
      <c r="A8771" s="76" t="s">
        <v>2543</v>
      </c>
      <c r="B8771" s="77" t="s">
        <v>135</v>
      </c>
      <c r="C8771" s="78" t="s">
        <v>136</v>
      </c>
      <c r="D8771" s="78" t="s">
        <v>2534</v>
      </c>
      <c r="E8771" s="78" t="s">
        <v>2535</v>
      </c>
    </row>
    <row r="8772" spans="1:5">
      <c r="A8772" s="76" t="s">
        <v>4109</v>
      </c>
      <c r="B8772" s="77" t="s">
        <v>839</v>
      </c>
      <c r="C8772" s="78">
        <v>1</v>
      </c>
      <c r="D8772" s="78">
        <v>26.06</v>
      </c>
      <c r="E8772" s="78">
        <f>TRUNC(C8772*D8772,2)</f>
        <v>26.06</v>
      </c>
    </row>
    <row r="8773" ht="25.5" spans="1:5">
      <c r="A8773" s="76" t="s">
        <v>4404</v>
      </c>
      <c r="B8773" s="77" t="s">
        <v>839</v>
      </c>
      <c r="C8773" s="78">
        <v>1</v>
      </c>
      <c r="D8773" s="78">
        <v>61.9</v>
      </c>
      <c r="E8773" s="78">
        <f>TRUNC(C8773*D8773,2)</f>
        <v>61.9</v>
      </c>
    </row>
    <row r="8774" ht="25.5" spans="1:5">
      <c r="A8774" s="76" t="s">
        <v>4405</v>
      </c>
      <c r="B8774" s="77" t="s">
        <v>839</v>
      </c>
      <c r="C8774" s="78">
        <v>1</v>
      </c>
      <c r="D8774" s="78">
        <v>60.04</v>
      </c>
      <c r="E8774" s="78">
        <f>TRUNC(C8774*D8774,2)</f>
        <v>60.04</v>
      </c>
    </row>
    <row r="8775" ht="25.5" spans="1:5">
      <c r="A8775" s="76" t="s">
        <v>4406</v>
      </c>
      <c r="B8775" s="77" t="s">
        <v>839</v>
      </c>
      <c r="C8775" s="78">
        <v>1</v>
      </c>
      <c r="D8775" s="78">
        <v>33.58</v>
      </c>
      <c r="E8775" s="78">
        <f>TRUNC(C8775*D8775,2)</f>
        <v>33.58</v>
      </c>
    </row>
    <row r="8776" ht="25.5" spans="1:5">
      <c r="A8776" s="76" t="s">
        <v>4407</v>
      </c>
      <c r="B8776" s="77" t="s">
        <v>839</v>
      </c>
      <c r="C8776" s="78">
        <v>1</v>
      </c>
      <c r="D8776" s="78">
        <v>14.79</v>
      </c>
      <c r="E8776" s="78">
        <f>TRUNC(C8776*D8776,2)</f>
        <v>14.79</v>
      </c>
    </row>
    <row r="8777" spans="1:5">
      <c r="A8777" s="76" t="s">
        <v>122</v>
      </c>
      <c r="B8777" s="77"/>
      <c r="C8777" s="78"/>
      <c r="D8777" s="78"/>
      <c r="E8777" s="78">
        <f>SUM(E8772:E8776)</f>
        <v>196.37</v>
      </c>
    </row>
    <row r="8778" spans="1:5">
      <c r="A8778" s="76"/>
      <c r="B8778" s="77"/>
      <c r="C8778" s="78"/>
      <c r="D8778" s="78"/>
      <c r="E8778" s="78"/>
    </row>
    <row r="8779" spans="1:5">
      <c r="A8779" s="76" t="s">
        <v>2538</v>
      </c>
      <c r="B8779" s="77"/>
      <c r="C8779" s="78"/>
      <c r="D8779" s="78"/>
      <c r="E8779" s="78">
        <f>E8777</f>
        <v>196.37</v>
      </c>
    </row>
    <row r="8780" spans="1:5">
      <c r="A8780" s="76" t="s">
        <v>2539</v>
      </c>
      <c r="B8780" s="77"/>
      <c r="C8780" s="78"/>
      <c r="D8780" s="78">
        <v>0</v>
      </c>
      <c r="E8780" s="78">
        <f>TRUNC(D8780*E8779/100,2)</f>
        <v>0</v>
      </c>
    </row>
    <row r="8781" spans="1:5">
      <c r="A8781" s="76" t="s">
        <v>2540</v>
      </c>
      <c r="B8781" s="77"/>
      <c r="C8781" s="78"/>
      <c r="D8781" s="78"/>
      <c r="E8781" s="78">
        <f>E8779+E8780</f>
        <v>196.37</v>
      </c>
    </row>
    <row r="8782" spans="1:5">
      <c r="A8782" s="76"/>
      <c r="B8782" s="77"/>
      <c r="C8782" s="78"/>
      <c r="D8782" s="78"/>
      <c r="E8782" s="78"/>
    </row>
    <row r="8783" spans="1:5">
      <c r="A8783" s="76" t="s">
        <v>3092</v>
      </c>
      <c r="B8783" s="77" t="s">
        <v>4408</v>
      </c>
      <c r="C8783" s="78"/>
      <c r="D8783" s="78"/>
      <c r="E8783" s="78"/>
    </row>
    <row r="8784" ht="25.5" spans="1:5">
      <c r="A8784" s="76" t="s">
        <v>4409</v>
      </c>
      <c r="B8784" s="77"/>
      <c r="C8784" s="78"/>
      <c r="D8784" s="78"/>
      <c r="E8784" s="78"/>
    </row>
    <row r="8785" spans="1:5">
      <c r="A8785" s="76" t="s">
        <v>2764</v>
      </c>
      <c r="B8785" s="77"/>
      <c r="C8785" s="78"/>
      <c r="D8785" s="78"/>
      <c r="E8785" s="78"/>
    </row>
    <row r="8786" spans="1:5">
      <c r="A8786" s="76"/>
      <c r="B8786" s="77"/>
      <c r="C8786" s="78"/>
      <c r="D8786" s="78"/>
      <c r="E8786" s="78"/>
    </row>
    <row r="8787" spans="1:5">
      <c r="A8787" s="76" t="s">
        <v>2543</v>
      </c>
      <c r="B8787" s="77" t="s">
        <v>135</v>
      </c>
      <c r="C8787" s="78" t="s">
        <v>136</v>
      </c>
      <c r="D8787" s="78" t="s">
        <v>2534</v>
      </c>
      <c r="E8787" s="78" t="s">
        <v>2535</v>
      </c>
    </row>
    <row r="8788" spans="1:5">
      <c r="A8788" s="76" t="s">
        <v>3202</v>
      </c>
      <c r="B8788" s="77" t="s">
        <v>215</v>
      </c>
      <c r="C8788" s="78">
        <v>10.44</v>
      </c>
      <c r="D8788" s="78">
        <v>5.93</v>
      </c>
      <c r="E8788" s="78">
        <f>TRUNC(C8788*D8788,2)</f>
        <v>61.9</v>
      </c>
    </row>
    <row r="8789" spans="1:5">
      <c r="A8789" s="76" t="s">
        <v>122</v>
      </c>
      <c r="B8789" s="77"/>
      <c r="C8789" s="78"/>
      <c r="D8789" s="78"/>
      <c r="E8789" s="78">
        <f>SUM(E8788:E8788)</f>
        <v>61.9</v>
      </c>
    </row>
    <row r="8790" spans="1:5">
      <c r="A8790" s="76"/>
      <c r="B8790" s="77"/>
      <c r="C8790" s="78"/>
      <c r="D8790" s="78"/>
      <c r="E8790" s="78"/>
    </row>
    <row r="8791" spans="1:5">
      <c r="A8791" s="76" t="s">
        <v>2538</v>
      </c>
      <c r="B8791" s="77"/>
      <c r="C8791" s="78"/>
      <c r="D8791" s="78"/>
      <c r="E8791" s="78">
        <f>E8789</f>
        <v>61.9</v>
      </c>
    </row>
    <row r="8792" spans="1:5">
      <c r="A8792" s="76" t="s">
        <v>2539</v>
      </c>
      <c r="B8792" s="77"/>
      <c r="C8792" s="78"/>
      <c r="D8792" s="78">
        <v>0</v>
      </c>
      <c r="E8792" s="78">
        <f>TRUNC(D8792*E8791/100,2)</f>
        <v>0</v>
      </c>
    </row>
    <row r="8793" spans="1:5">
      <c r="A8793" s="76" t="s">
        <v>2540</v>
      </c>
      <c r="B8793" s="77"/>
      <c r="C8793" s="78"/>
      <c r="D8793" s="78"/>
      <c r="E8793" s="78">
        <f>E8791+E8792</f>
        <v>61.9</v>
      </c>
    </row>
    <row r="8794" spans="1:5">
      <c r="A8794" s="76"/>
      <c r="B8794" s="77"/>
      <c r="C8794" s="78"/>
      <c r="D8794" s="78"/>
      <c r="E8794" s="78"/>
    </row>
    <row r="8795" spans="1:5">
      <c r="A8795" s="76" t="s">
        <v>3092</v>
      </c>
      <c r="B8795" s="77" t="s">
        <v>4410</v>
      </c>
      <c r="C8795" s="78"/>
      <c r="D8795" s="78"/>
      <c r="E8795" s="78"/>
    </row>
    <row r="8796" ht="25.5" spans="1:5">
      <c r="A8796" s="76" t="s">
        <v>4411</v>
      </c>
      <c r="B8796" s="77"/>
      <c r="C8796" s="78"/>
      <c r="D8796" s="78"/>
      <c r="E8796" s="78"/>
    </row>
    <row r="8797" spans="1:5">
      <c r="A8797" s="76" t="s">
        <v>2764</v>
      </c>
      <c r="B8797" s="77"/>
      <c r="C8797" s="78"/>
      <c r="D8797" s="78"/>
      <c r="E8797" s="78"/>
    </row>
    <row r="8798" spans="1:5">
      <c r="A8798" s="76"/>
      <c r="B8798" s="77"/>
      <c r="C8798" s="78"/>
      <c r="D8798" s="78"/>
      <c r="E8798" s="78"/>
    </row>
    <row r="8799" spans="1:5">
      <c r="A8799" s="76" t="s">
        <v>279</v>
      </c>
      <c r="B8799" s="77" t="s">
        <v>135</v>
      </c>
      <c r="C8799" s="78" t="s">
        <v>136</v>
      </c>
      <c r="D8799" s="78" t="s">
        <v>2534</v>
      </c>
      <c r="E8799" s="78" t="s">
        <v>2535</v>
      </c>
    </row>
    <row r="8800" ht="25.5" spans="1:5">
      <c r="A8800" s="76" t="s">
        <v>4412</v>
      </c>
      <c r="B8800" s="77" t="s">
        <v>494</v>
      </c>
      <c r="C8800" s="78">
        <v>5.56e-5</v>
      </c>
      <c r="D8800" s="78">
        <v>1079918</v>
      </c>
      <c r="E8800" s="78">
        <f>TRUNC(C8800*D8800,2)</f>
        <v>60.04</v>
      </c>
    </row>
    <row r="8801" spans="1:5">
      <c r="A8801" s="76" t="s">
        <v>122</v>
      </c>
      <c r="B8801" s="77"/>
      <c r="C8801" s="78"/>
      <c r="D8801" s="78"/>
      <c r="E8801" s="78">
        <f>SUM(E8800:E8800)</f>
        <v>60.04</v>
      </c>
    </row>
    <row r="8802" spans="1:5">
      <c r="A8802" s="76"/>
      <c r="B8802" s="77"/>
      <c r="C8802" s="78"/>
      <c r="D8802" s="78"/>
      <c r="E8802" s="78"/>
    </row>
    <row r="8803" spans="1:5">
      <c r="A8803" s="76" t="s">
        <v>2538</v>
      </c>
      <c r="B8803" s="77"/>
      <c r="C8803" s="78"/>
      <c r="D8803" s="78"/>
      <c r="E8803" s="78">
        <f>E8801</f>
        <v>60.04</v>
      </c>
    </row>
    <row r="8804" spans="1:5">
      <c r="A8804" s="76" t="s">
        <v>2539</v>
      </c>
      <c r="B8804" s="77"/>
      <c r="C8804" s="78"/>
      <c r="D8804" s="78">
        <v>0</v>
      </c>
      <c r="E8804" s="78">
        <f>TRUNC(D8804*E8803/100,2)</f>
        <v>0</v>
      </c>
    </row>
    <row r="8805" spans="1:5">
      <c r="A8805" s="76" t="s">
        <v>2540</v>
      </c>
      <c r="B8805" s="77"/>
      <c r="C8805" s="78"/>
      <c r="D8805" s="78"/>
      <c r="E8805" s="78">
        <f>E8803+E8804</f>
        <v>60.04</v>
      </c>
    </row>
    <row r="8806" spans="1:5">
      <c r="A8806" s="76"/>
      <c r="B8806" s="77"/>
      <c r="C8806" s="78"/>
      <c r="D8806" s="78"/>
      <c r="E8806" s="78"/>
    </row>
    <row r="8807" spans="1:5">
      <c r="A8807" s="76" t="s">
        <v>3092</v>
      </c>
      <c r="B8807" s="77" t="s">
        <v>4413</v>
      </c>
      <c r="C8807" s="78"/>
      <c r="D8807" s="78"/>
      <c r="E8807" s="78"/>
    </row>
    <row r="8808" ht="25.5" spans="1:5">
      <c r="A8808" s="76" t="s">
        <v>4414</v>
      </c>
      <c r="B8808" s="77"/>
      <c r="C8808" s="78"/>
      <c r="D8808" s="78"/>
      <c r="E8808" s="78"/>
    </row>
    <row r="8809" spans="1:5">
      <c r="A8809" s="76" t="s">
        <v>2764</v>
      </c>
      <c r="B8809" s="77"/>
      <c r="C8809" s="78"/>
      <c r="D8809" s="78"/>
      <c r="E8809" s="78"/>
    </row>
    <row r="8810" spans="1:5">
      <c r="A8810" s="76"/>
      <c r="B8810" s="77"/>
      <c r="C8810" s="78"/>
      <c r="D8810" s="78"/>
      <c r="E8810" s="78"/>
    </row>
    <row r="8811" spans="1:5">
      <c r="A8811" s="76" t="s">
        <v>279</v>
      </c>
      <c r="B8811" s="77" t="s">
        <v>135</v>
      </c>
      <c r="C8811" s="78" t="s">
        <v>136</v>
      </c>
      <c r="D8811" s="78" t="s">
        <v>2534</v>
      </c>
      <c r="E8811" s="78" t="s">
        <v>2535</v>
      </c>
    </row>
    <row r="8812" ht="25.5" spans="1:5">
      <c r="A8812" s="76" t="s">
        <v>4412</v>
      </c>
      <c r="B8812" s="77" t="s">
        <v>494</v>
      </c>
      <c r="C8812" s="78">
        <v>3.11e-5</v>
      </c>
      <c r="D8812" s="78">
        <v>1079918</v>
      </c>
      <c r="E8812" s="78">
        <f>TRUNC(C8812*D8812,2)</f>
        <v>33.58</v>
      </c>
    </row>
    <row r="8813" spans="1:5">
      <c r="A8813" s="76" t="s">
        <v>122</v>
      </c>
      <c r="B8813" s="77"/>
      <c r="C8813" s="78"/>
      <c r="D8813" s="78"/>
      <c r="E8813" s="78">
        <f>SUM(E8812:E8812)</f>
        <v>33.58</v>
      </c>
    </row>
    <row r="8814" spans="1:5">
      <c r="A8814" s="76"/>
      <c r="B8814" s="77"/>
      <c r="C8814" s="78"/>
      <c r="D8814" s="78"/>
      <c r="E8814" s="78"/>
    </row>
    <row r="8815" spans="1:5">
      <c r="A8815" s="76" t="s">
        <v>2538</v>
      </c>
      <c r="B8815" s="77"/>
      <c r="C8815" s="78"/>
      <c r="D8815" s="78"/>
      <c r="E8815" s="78">
        <f>E8813</f>
        <v>33.58</v>
      </c>
    </row>
    <row r="8816" spans="1:5">
      <c r="A8816" s="76" t="s">
        <v>2539</v>
      </c>
      <c r="B8816" s="77"/>
      <c r="C8816" s="78"/>
      <c r="D8816" s="78">
        <v>0</v>
      </c>
      <c r="E8816" s="78">
        <f>TRUNC(D8816*E8815/100,2)</f>
        <v>0</v>
      </c>
    </row>
    <row r="8817" spans="1:5">
      <c r="A8817" s="76" t="s">
        <v>2540</v>
      </c>
      <c r="B8817" s="77"/>
      <c r="C8817" s="78"/>
      <c r="D8817" s="78"/>
      <c r="E8817" s="78">
        <f>E8815+E8816</f>
        <v>33.58</v>
      </c>
    </row>
    <row r="8818" spans="1:5">
      <c r="A8818" s="76"/>
      <c r="B8818" s="77"/>
      <c r="C8818" s="78"/>
      <c r="D8818" s="78"/>
      <c r="E8818" s="78"/>
    </row>
    <row r="8819" spans="1:5">
      <c r="A8819" s="76" t="s">
        <v>3092</v>
      </c>
      <c r="B8819" s="77" t="s">
        <v>4415</v>
      </c>
      <c r="C8819" s="78"/>
      <c r="D8819" s="78"/>
      <c r="E8819" s="78"/>
    </row>
    <row r="8820" ht="25.5" spans="1:5">
      <c r="A8820" s="76" t="s">
        <v>4416</v>
      </c>
      <c r="B8820" s="77"/>
      <c r="C8820" s="78"/>
      <c r="D8820" s="78"/>
      <c r="E8820" s="78"/>
    </row>
    <row r="8821" spans="1:5">
      <c r="A8821" s="76" t="s">
        <v>2764</v>
      </c>
      <c r="B8821" s="77"/>
      <c r="C8821" s="78"/>
      <c r="D8821" s="78"/>
      <c r="E8821" s="78"/>
    </row>
    <row r="8822" spans="1:5">
      <c r="A8822" s="76"/>
      <c r="B8822" s="77"/>
      <c r="C8822" s="78"/>
      <c r="D8822" s="78"/>
      <c r="E8822" s="78"/>
    </row>
    <row r="8823" spans="1:5">
      <c r="A8823" s="76" t="s">
        <v>279</v>
      </c>
      <c r="B8823" s="77" t="s">
        <v>135</v>
      </c>
      <c r="C8823" s="78" t="s">
        <v>136</v>
      </c>
      <c r="D8823" s="78" t="s">
        <v>2534</v>
      </c>
      <c r="E8823" s="78" t="s">
        <v>2535</v>
      </c>
    </row>
    <row r="8824" ht="25.5" spans="1:5">
      <c r="A8824" s="76" t="s">
        <v>4412</v>
      </c>
      <c r="B8824" s="77" t="s">
        <v>494</v>
      </c>
      <c r="C8824" s="78">
        <v>1.37e-5</v>
      </c>
      <c r="D8824" s="78">
        <v>1079918</v>
      </c>
      <c r="E8824" s="78">
        <f>TRUNC(C8824*D8824,2)</f>
        <v>14.79</v>
      </c>
    </row>
    <row r="8825" spans="1:5">
      <c r="A8825" s="76" t="s">
        <v>122</v>
      </c>
      <c r="B8825" s="77"/>
      <c r="C8825" s="78"/>
      <c r="D8825" s="78"/>
      <c r="E8825" s="78">
        <f>SUM(E8824:E8824)</f>
        <v>14.79</v>
      </c>
    </row>
    <row r="8826" spans="1:5">
      <c r="A8826" s="76"/>
      <c r="B8826" s="77"/>
      <c r="C8826" s="78"/>
      <c r="D8826" s="78"/>
      <c r="E8826" s="78"/>
    </row>
    <row r="8827" spans="1:5">
      <c r="A8827" s="76" t="s">
        <v>2538</v>
      </c>
      <c r="B8827" s="77"/>
      <c r="C8827" s="78"/>
      <c r="D8827" s="78"/>
      <c r="E8827" s="78">
        <f>E8825</f>
        <v>14.79</v>
      </c>
    </row>
    <row r="8828" spans="1:5">
      <c r="A8828" s="76" t="s">
        <v>2539</v>
      </c>
      <c r="B8828" s="77"/>
      <c r="C8828" s="78"/>
      <c r="D8828" s="78">
        <v>0</v>
      </c>
      <c r="E8828" s="78">
        <f>TRUNC(D8828*E8827/100,2)</f>
        <v>0</v>
      </c>
    </row>
    <row r="8829" spans="1:5">
      <c r="A8829" s="76" t="s">
        <v>2540</v>
      </c>
      <c r="B8829" s="77"/>
      <c r="C8829" s="78"/>
      <c r="D8829" s="78"/>
      <c r="E8829" s="78">
        <f>E8827+E8828</f>
        <v>14.79</v>
      </c>
    </row>
    <row r="8830" spans="1:5">
      <c r="A8830" s="76"/>
      <c r="B8830" s="77"/>
      <c r="C8830" s="78"/>
      <c r="D8830" s="78"/>
      <c r="E8830" s="78"/>
    </row>
    <row r="8831" spans="1:5">
      <c r="A8831" s="76" t="s">
        <v>3092</v>
      </c>
      <c r="B8831" s="77" t="s">
        <v>4417</v>
      </c>
      <c r="C8831" s="78"/>
      <c r="D8831" s="78"/>
      <c r="E8831" s="78"/>
    </row>
    <row r="8832" ht="25.5" spans="1:5">
      <c r="A8832" s="76" t="s">
        <v>4418</v>
      </c>
      <c r="B8832" s="77"/>
      <c r="C8832" s="78"/>
      <c r="D8832" s="78"/>
      <c r="E8832" s="78"/>
    </row>
    <row r="8833" spans="1:5">
      <c r="A8833" s="76" t="s">
        <v>3091</v>
      </c>
      <c r="B8833" s="77"/>
      <c r="C8833" s="78"/>
      <c r="D8833" s="78"/>
      <c r="E8833" s="78"/>
    </row>
    <row r="8834" spans="1:5">
      <c r="A8834" s="76"/>
      <c r="B8834" s="77"/>
      <c r="C8834" s="78"/>
      <c r="D8834" s="78"/>
      <c r="E8834" s="78"/>
    </row>
    <row r="8835" spans="1:5">
      <c r="A8835" s="76" t="s">
        <v>2543</v>
      </c>
      <c r="B8835" s="77" t="s">
        <v>135</v>
      </c>
      <c r="C8835" s="78" t="s">
        <v>136</v>
      </c>
      <c r="D8835" s="78" t="s">
        <v>2534</v>
      </c>
      <c r="E8835" s="78" t="s">
        <v>2535</v>
      </c>
    </row>
    <row r="8836" spans="1:5">
      <c r="A8836" s="76" t="s">
        <v>4109</v>
      </c>
      <c r="B8836" s="77" t="s">
        <v>839</v>
      </c>
      <c r="C8836" s="78">
        <v>1</v>
      </c>
      <c r="D8836" s="78">
        <v>26.06</v>
      </c>
      <c r="E8836" s="78">
        <f>TRUNC(C8836*D8836,2)</f>
        <v>26.06</v>
      </c>
    </row>
    <row r="8837" ht="25.5" spans="1:5">
      <c r="A8837" s="76" t="s">
        <v>4406</v>
      </c>
      <c r="B8837" s="77" t="s">
        <v>839</v>
      </c>
      <c r="C8837" s="78">
        <v>1</v>
      </c>
      <c r="D8837" s="78">
        <v>33.58</v>
      </c>
      <c r="E8837" s="78">
        <f>TRUNC(C8837*D8837,2)</f>
        <v>33.58</v>
      </c>
    </row>
    <row r="8838" ht="25.5" spans="1:5">
      <c r="A8838" s="76" t="s">
        <v>4407</v>
      </c>
      <c r="B8838" s="77" t="s">
        <v>839</v>
      </c>
      <c r="C8838" s="78">
        <v>1</v>
      </c>
      <c r="D8838" s="78">
        <v>14.79</v>
      </c>
      <c r="E8838" s="78">
        <f>TRUNC(C8838*D8838,2)</f>
        <v>14.79</v>
      </c>
    </row>
    <row r="8839" spans="1:5">
      <c r="A8839" s="76" t="s">
        <v>122</v>
      </c>
      <c r="B8839" s="77"/>
      <c r="C8839" s="78"/>
      <c r="D8839" s="78"/>
      <c r="E8839" s="78">
        <f>SUM(E8836:E8838)</f>
        <v>74.43</v>
      </c>
    </row>
    <row r="8840" spans="1:5">
      <c r="A8840" s="76"/>
      <c r="B8840" s="77"/>
      <c r="C8840" s="78"/>
      <c r="D8840" s="78"/>
      <c r="E8840" s="78"/>
    </row>
    <row r="8841" spans="1:5">
      <c r="A8841" s="76" t="s">
        <v>2538</v>
      </c>
      <c r="B8841" s="77"/>
      <c r="C8841" s="78"/>
      <c r="D8841" s="78"/>
      <c r="E8841" s="78">
        <f>E8839</f>
        <v>74.43</v>
      </c>
    </row>
    <row r="8842" spans="1:5">
      <c r="A8842" s="76" t="s">
        <v>2539</v>
      </c>
      <c r="B8842" s="77"/>
      <c r="C8842" s="78"/>
      <c r="D8842" s="78">
        <v>0</v>
      </c>
      <c r="E8842" s="78">
        <f>TRUNC(D8842*E8841/100,2)</f>
        <v>0</v>
      </c>
    </row>
    <row r="8843" spans="1:5">
      <c r="A8843" s="76" t="s">
        <v>2540</v>
      </c>
      <c r="B8843" s="77"/>
      <c r="C8843" s="78"/>
      <c r="D8843" s="78"/>
      <c r="E8843" s="78">
        <f>E8841+E8842</f>
        <v>74.43</v>
      </c>
    </row>
    <row r="8844" spans="1:5">
      <c r="A8844" s="76"/>
      <c r="B8844" s="77"/>
      <c r="C8844" s="78"/>
      <c r="D8844" s="78"/>
      <c r="E8844" s="78"/>
    </row>
    <row r="8845" spans="1:5">
      <c r="A8845" s="76" t="s">
        <v>3092</v>
      </c>
      <c r="B8845" s="77" t="s">
        <v>4419</v>
      </c>
      <c r="C8845" s="78"/>
      <c r="D8845" s="78"/>
      <c r="E8845" s="78"/>
    </row>
    <row r="8846" spans="1:5">
      <c r="A8846" s="76" t="s">
        <v>4420</v>
      </c>
      <c r="B8846" s="77"/>
      <c r="C8846" s="78"/>
      <c r="D8846" s="78"/>
      <c r="E8846" s="78"/>
    </row>
    <row r="8847" spans="1:5">
      <c r="A8847" s="76" t="s">
        <v>2764</v>
      </c>
      <c r="B8847" s="77"/>
      <c r="C8847" s="78"/>
      <c r="D8847" s="78"/>
      <c r="E8847" s="78"/>
    </row>
    <row r="8848" spans="1:5">
      <c r="A8848" s="76"/>
      <c r="B8848" s="77"/>
      <c r="C8848" s="78"/>
      <c r="D8848" s="78"/>
      <c r="E8848" s="78"/>
    </row>
    <row r="8849" spans="1:5">
      <c r="A8849" s="76" t="s">
        <v>279</v>
      </c>
      <c r="B8849" s="77" t="s">
        <v>135</v>
      </c>
      <c r="C8849" s="78" t="s">
        <v>136</v>
      </c>
      <c r="D8849" s="78" t="s">
        <v>2534</v>
      </c>
      <c r="E8849" s="78" t="s">
        <v>2535</v>
      </c>
    </row>
    <row r="8850" ht="25.5" spans="1:5">
      <c r="A8850" s="76" t="s">
        <v>3111</v>
      </c>
      <c r="B8850" s="77" t="s">
        <v>839</v>
      </c>
      <c r="C8850" s="78">
        <v>1</v>
      </c>
      <c r="D8850" s="78">
        <v>1.5</v>
      </c>
      <c r="E8850" s="78">
        <f>TRUNC(C8850*D8850,2)</f>
        <v>1.5</v>
      </c>
    </row>
    <row r="8851" spans="1:5">
      <c r="A8851" s="76" t="s">
        <v>122</v>
      </c>
      <c r="B8851" s="77"/>
      <c r="C8851" s="78"/>
      <c r="D8851" s="78"/>
      <c r="E8851" s="78">
        <f>SUM(E8850:E8850)</f>
        <v>1.5</v>
      </c>
    </row>
    <row r="8852" spans="1:5">
      <c r="A8852" s="76"/>
      <c r="B8852" s="77"/>
      <c r="C8852" s="78"/>
      <c r="D8852" s="78"/>
      <c r="E8852" s="78"/>
    </row>
    <row r="8853" spans="1:5">
      <c r="A8853" s="76" t="s">
        <v>280</v>
      </c>
      <c r="B8853" s="77" t="s">
        <v>135</v>
      </c>
      <c r="C8853" s="78" t="s">
        <v>136</v>
      </c>
      <c r="D8853" s="78" t="s">
        <v>2534</v>
      </c>
      <c r="E8853" s="78" t="s">
        <v>2535</v>
      </c>
    </row>
    <row r="8854" ht="25.5" spans="1:5">
      <c r="A8854" s="76" t="s">
        <v>3112</v>
      </c>
      <c r="B8854" s="77" t="s">
        <v>839</v>
      </c>
      <c r="C8854" s="78">
        <v>1</v>
      </c>
      <c r="D8854" s="78">
        <v>3.95</v>
      </c>
      <c r="E8854" s="78">
        <f>TRUNC(C8854*D8854,2)</f>
        <v>3.95</v>
      </c>
    </row>
    <row r="8855" ht="25.5" spans="1:5">
      <c r="A8855" s="76" t="s">
        <v>3113</v>
      </c>
      <c r="B8855" s="77" t="s">
        <v>839</v>
      </c>
      <c r="C8855" s="78">
        <v>1</v>
      </c>
      <c r="D8855" s="78">
        <v>0.08</v>
      </c>
      <c r="E8855" s="78">
        <f>TRUNC(C8855*D8855,2)</f>
        <v>0.08</v>
      </c>
    </row>
    <row r="8856" spans="1:5">
      <c r="A8856" s="76" t="s">
        <v>4421</v>
      </c>
      <c r="B8856" s="77" t="s">
        <v>839</v>
      </c>
      <c r="C8856" s="78">
        <v>1</v>
      </c>
      <c r="D8856" s="78">
        <v>21.83</v>
      </c>
      <c r="E8856" s="78">
        <f>TRUNC(C8856*D8856,2)</f>
        <v>21.83</v>
      </c>
    </row>
    <row r="8857" spans="1:5">
      <c r="A8857" s="76" t="s">
        <v>122</v>
      </c>
      <c r="B8857" s="77"/>
      <c r="C8857" s="78"/>
      <c r="D8857" s="78"/>
      <c r="E8857" s="78">
        <f>SUM(E8854:E8856)</f>
        <v>25.86</v>
      </c>
    </row>
    <row r="8858" spans="1:5">
      <c r="A8858" s="76" t="s">
        <v>117</v>
      </c>
      <c r="B8858" s="77"/>
      <c r="C8858" s="78"/>
      <c r="D8858" s="78"/>
      <c r="E8858" s="78" t="str">
        <f>"0"</f>
        <v>0</v>
      </c>
    </row>
    <row r="8859" spans="1:5">
      <c r="A8859" s="76" t="s">
        <v>2537</v>
      </c>
      <c r="B8859" s="77"/>
      <c r="C8859" s="78"/>
      <c r="D8859" s="78"/>
      <c r="E8859" s="78">
        <f>E8857+E8858</f>
        <v>25.86</v>
      </c>
    </row>
    <row r="8860" spans="1:5">
      <c r="A8860" s="76"/>
      <c r="B8860" s="77"/>
      <c r="C8860" s="78"/>
      <c r="D8860" s="78"/>
      <c r="E8860" s="78"/>
    </row>
    <row r="8861" spans="1:5">
      <c r="A8861" s="76" t="s">
        <v>2543</v>
      </c>
      <c r="B8861" s="77" t="s">
        <v>135</v>
      </c>
      <c r="C8861" s="78" t="s">
        <v>136</v>
      </c>
      <c r="D8861" s="78" t="s">
        <v>2534</v>
      </c>
      <c r="E8861" s="78" t="s">
        <v>2535</v>
      </c>
    </row>
    <row r="8862" ht="25.5" spans="1:5">
      <c r="A8862" s="76" t="s">
        <v>3401</v>
      </c>
      <c r="B8862" s="77" t="s">
        <v>839</v>
      </c>
      <c r="C8862" s="78">
        <v>1</v>
      </c>
      <c r="D8862" s="78">
        <v>1.31</v>
      </c>
      <c r="E8862" s="78">
        <f>TRUNC(C8862*D8862,2)</f>
        <v>1.31</v>
      </c>
    </row>
    <row r="8863" spans="1:5">
      <c r="A8863" s="76" t="s">
        <v>3116</v>
      </c>
      <c r="B8863" s="77" t="s">
        <v>839</v>
      </c>
      <c r="C8863" s="78">
        <v>1</v>
      </c>
      <c r="D8863" s="78">
        <v>1.43</v>
      </c>
      <c r="E8863" s="78">
        <f>TRUNC(C8863*D8863,2)</f>
        <v>1.43</v>
      </c>
    </row>
    <row r="8864" ht="25.5" spans="1:5">
      <c r="A8864" s="76" t="s">
        <v>3402</v>
      </c>
      <c r="B8864" s="77" t="s">
        <v>839</v>
      </c>
      <c r="C8864" s="78">
        <v>1</v>
      </c>
      <c r="D8864" s="78">
        <v>0.78</v>
      </c>
      <c r="E8864" s="78">
        <f>TRUNC(C8864*D8864,2)</f>
        <v>0.78</v>
      </c>
    </row>
    <row r="8865" ht="25.5" spans="1:5">
      <c r="A8865" s="76" t="s">
        <v>4422</v>
      </c>
      <c r="B8865" s="77" t="s">
        <v>839</v>
      </c>
      <c r="C8865" s="78">
        <v>1</v>
      </c>
      <c r="D8865" s="78">
        <v>0.25</v>
      </c>
      <c r="E8865" s="78">
        <f>TRUNC(C8865*D8865,2)</f>
        <v>0.25</v>
      </c>
    </row>
    <row r="8866" spans="1:5">
      <c r="A8866" s="76" t="s">
        <v>122</v>
      </c>
      <c r="B8866" s="77"/>
      <c r="C8866" s="78"/>
      <c r="D8866" s="78"/>
      <c r="E8866" s="78">
        <f>SUM(E8862:E8865)</f>
        <v>3.77</v>
      </c>
    </row>
    <row r="8867" spans="1:5">
      <c r="A8867" s="76"/>
      <c r="B8867" s="77"/>
      <c r="C8867" s="78"/>
      <c r="D8867" s="78"/>
      <c r="E8867" s="78"/>
    </row>
    <row r="8868" spans="1:5">
      <c r="A8868" s="76" t="s">
        <v>2538</v>
      </c>
      <c r="B8868" s="77"/>
      <c r="C8868" s="78"/>
      <c r="D8868" s="78"/>
      <c r="E8868" s="78">
        <f>E8851+E8859+E8866</f>
        <v>31.13</v>
      </c>
    </row>
    <row r="8869" spans="1:5">
      <c r="A8869" s="76" t="s">
        <v>2539</v>
      </c>
      <c r="B8869" s="77"/>
      <c r="C8869" s="78"/>
      <c r="D8869" s="78">
        <v>0</v>
      </c>
      <c r="E8869" s="78">
        <f>TRUNC(D8869*E8868/100,2)</f>
        <v>0</v>
      </c>
    </row>
    <row r="8870" spans="1:5">
      <c r="A8870" s="76" t="s">
        <v>2540</v>
      </c>
      <c r="B8870" s="77"/>
      <c r="C8870" s="78"/>
      <c r="D8870" s="78"/>
      <c r="E8870" s="78">
        <f>E8868+E8869</f>
        <v>31.13</v>
      </c>
    </row>
    <row r="8871" spans="1:5">
      <c r="A8871" s="76"/>
      <c r="B8871" s="77"/>
      <c r="C8871" s="78"/>
      <c r="D8871" s="78"/>
      <c r="E8871" s="78"/>
    </row>
    <row r="8872" spans="1:5">
      <c r="A8872" s="76" t="s">
        <v>3092</v>
      </c>
      <c r="B8872" s="77" t="s">
        <v>4423</v>
      </c>
      <c r="C8872" s="78"/>
      <c r="D8872" s="78"/>
      <c r="E8872" s="78"/>
    </row>
    <row r="8873" ht="25.5" spans="1:5">
      <c r="A8873" s="76" t="s">
        <v>4424</v>
      </c>
      <c r="B8873" s="77"/>
      <c r="C8873" s="78"/>
      <c r="D8873" s="78"/>
      <c r="E8873" s="78"/>
    </row>
    <row r="8874" spans="1:5">
      <c r="A8874" s="76" t="s">
        <v>2764</v>
      </c>
      <c r="B8874" s="77"/>
      <c r="C8874" s="78"/>
      <c r="D8874" s="78"/>
      <c r="E8874" s="78"/>
    </row>
    <row r="8875" spans="1:5">
      <c r="A8875" s="76"/>
      <c r="B8875" s="77"/>
      <c r="C8875" s="78"/>
      <c r="D8875" s="78"/>
      <c r="E8875" s="78"/>
    </row>
    <row r="8876" spans="1:5">
      <c r="A8876" s="76" t="s">
        <v>280</v>
      </c>
      <c r="B8876" s="77" t="s">
        <v>135</v>
      </c>
      <c r="C8876" s="78" t="s">
        <v>136</v>
      </c>
      <c r="D8876" s="78" t="s">
        <v>2534</v>
      </c>
      <c r="E8876" s="78" t="s">
        <v>2535</v>
      </c>
    </row>
    <row r="8877" spans="1:5">
      <c r="A8877" s="76" t="s">
        <v>4421</v>
      </c>
      <c r="B8877" s="77" t="s">
        <v>839</v>
      </c>
      <c r="C8877" s="78">
        <v>0.01154</v>
      </c>
      <c r="D8877" s="78">
        <v>21.83</v>
      </c>
      <c r="E8877" s="78">
        <f>TRUNC(C8877*D8877,2)</f>
        <v>0.25</v>
      </c>
    </row>
    <row r="8878" spans="1:5">
      <c r="A8878" s="76" t="s">
        <v>122</v>
      </c>
      <c r="B8878" s="77"/>
      <c r="C8878" s="78"/>
      <c r="D8878" s="78"/>
      <c r="E8878" s="78">
        <f>SUM(E8877:E8877)</f>
        <v>0.25</v>
      </c>
    </row>
    <row r="8879" spans="1:5">
      <c r="A8879" s="76" t="s">
        <v>117</v>
      </c>
      <c r="B8879" s="77"/>
      <c r="C8879" s="78"/>
      <c r="D8879" s="78"/>
      <c r="E8879" s="78" t="str">
        <f>"0"</f>
        <v>0</v>
      </c>
    </row>
    <row r="8880" spans="1:5">
      <c r="A8880" s="76" t="s">
        <v>2537</v>
      </c>
      <c r="B8880" s="77"/>
      <c r="C8880" s="78"/>
      <c r="D8880" s="78"/>
      <c r="E8880" s="78">
        <f>E8878+E8879</f>
        <v>0.25</v>
      </c>
    </row>
    <row r="8881" spans="1:5">
      <c r="A8881" s="76"/>
      <c r="B8881" s="77"/>
      <c r="C8881" s="78"/>
      <c r="D8881" s="78"/>
      <c r="E8881" s="78"/>
    </row>
    <row r="8882" spans="1:5">
      <c r="A8882" s="76" t="s">
        <v>2538</v>
      </c>
      <c r="B8882" s="77"/>
      <c r="C8882" s="78"/>
      <c r="D8882" s="78"/>
      <c r="E8882" s="78">
        <f>E8880</f>
        <v>0.25</v>
      </c>
    </row>
    <row r="8883" spans="1:5">
      <c r="A8883" s="76" t="s">
        <v>2539</v>
      </c>
      <c r="B8883" s="77"/>
      <c r="C8883" s="78"/>
      <c r="D8883" s="78">
        <v>0</v>
      </c>
      <c r="E8883" s="78">
        <f>TRUNC(D8883*E8882/100,2)</f>
        <v>0</v>
      </c>
    </row>
    <row r="8884" spans="1:5">
      <c r="A8884" s="76" t="s">
        <v>2540</v>
      </c>
      <c r="B8884" s="77"/>
      <c r="C8884" s="78"/>
      <c r="D8884" s="78"/>
      <c r="E8884" s="78">
        <f>E8882+E8883</f>
        <v>0.25</v>
      </c>
    </row>
    <row r="8885" spans="1:5">
      <c r="A8885" s="76"/>
      <c r="B8885" s="77"/>
      <c r="C8885" s="78"/>
      <c r="D8885" s="78"/>
      <c r="E8885" s="78"/>
    </row>
    <row r="8886" spans="1:5">
      <c r="A8886" s="76" t="s">
        <v>3092</v>
      </c>
      <c r="B8886" s="77" t="s">
        <v>4425</v>
      </c>
      <c r="C8886" s="78"/>
      <c r="D8886" s="78"/>
      <c r="E8886" s="78"/>
    </row>
    <row r="8887" spans="1:5">
      <c r="A8887" s="76" t="s">
        <v>4426</v>
      </c>
      <c r="B8887" s="77"/>
      <c r="C8887" s="78"/>
      <c r="D8887" s="78"/>
      <c r="E8887" s="78"/>
    </row>
    <row r="8888" spans="1:5">
      <c r="A8888" s="76" t="s">
        <v>3085</v>
      </c>
      <c r="B8888" s="77"/>
      <c r="C8888" s="78"/>
      <c r="D8888" s="78"/>
      <c r="E8888" s="78"/>
    </row>
    <row r="8889" spans="1:5">
      <c r="A8889" s="76"/>
      <c r="B8889" s="77"/>
      <c r="C8889" s="78"/>
      <c r="D8889" s="78"/>
      <c r="E8889" s="78"/>
    </row>
    <row r="8890" spans="1:5">
      <c r="A8890" s="76" t="s">
        <v>2543</v>
      </c>
      <c r="B8890" s="77" t="s">
        <v>135</v>
      </c>
      <c r="C8890" s="78" t="s">
        <v>136</v>
      </c>
      <c r="D8890" s="78" t="s">
        <v>2534</v>
      </c>
      <c r="E8890" s="78" t="s">
        <v>2535</v>
      </c>
    </row>
    <row r="8891" ht="25.5" spans="1:5">
      <c r="A8891" s="76" t="s">
        <v>4427</v>
      </c>
      <c r="B8891" s="77" t="s">
        <v>839</v>
      </c>
      <c r="C8891" s="78">
        <v>1</v>
      </c>
      <c r="D8891" s="78">
        <v>11.29</v>
      </c>
      <c r="E8891" s="78">
        <f>TRUNC(C8891*D8891,2)</f>
        <v>11.29</v>
      </c>
    </row>
    <row r="8892" spans="1:5">
      <c r="A8892" s="76" t="s">
        <v>4428</v>
      </c>
      <c r="B8892" s="77" t="s">
        <v>839</v>
      </c>
      <c r="C8892" s="78">
        <v>1</v>
      </c>
      <c r="D8892" s="78">
        <v>1.54</v>
      </c>
      <c r="E8892" s="78">
        <f>TRUNC(C8892*D8892,2)</f>
        <v>1.54</v>
      </c>
    </row>
    <row r="8893" ht="25.5" spans="1:5">
      <c r="A8893" s="76" t="s">
        <v>4429</v>
      </c>
      <c r="B8893" s="77" t="s">
        <v>839</v>
      </c>
      <c r="C8893" s="78">
        <v>1</v>
      </c>
      <c r="D8893" s="78">
        <v>0.61</v>
      </c>
      <c r="E8893" s="78">
        <f>TRUNC(C8893*D8893,2)</f>
        <v>0.61</v>
      </c>
    </row>
    <row r="8894" ht="25.5" spans="1:5">
      <c r="A8894" s="76" t="s">
        <v>4430</v>
      </c>
      <c r="B8894" s="77" t="s">
        <v>839</v>
      </c>
      <c r="C8894" s="78">
        <v>1</v>
      </c>
      <c r="D8894" s="78">
        <v>9.41</v>
      </c>
      <c r="E8894" s="78">
        <f>TRUNC(C8894*D8894,2)</f>
        <v>9.41</v>
      </c>
    </row>
    <row r="8895" spans="1:5">
      <c r="A8895" s="76" t="s">
        <v>122</v>
      </c>
      <c r="B8895" s="77"/>
      <c r="C8895" s="78"/>
      <c r="D8895" s="78"/>
      <c r="E8895" s="78">
        <f>SUM(E8891:E8894)</f>
        <v>22.85</v>
      </c>
    </row>
    <row r="8896" spans="1:5">
      <c r="A8896" s="76"/>
      <c r="B8896" s="77"/>
      <c r="C8896" s="78"/>
      <c r="D8896" s="78"/>
      <c r="E8896" s="78"/>
    </row>
    <row r="8897" spans="1:5">
      <c r="A8897" s="76" t="s">
        <v>2538</v>
      </c>
      <c r="B8897" s="77"/>
      <c r="C8897" s="78"/>
      <c r="D8897" s="78"/>
      <c r="E8897" s="78">
        <f>E8895</f>
        <v>22.85</v>
      </c>
    </row>
    <row r="8898" spans="1:5">
      <c r="A8898" s="76" t="s">
        <v>2539</v>
      </c>
      <c r="B8898" s="77"/>
      <c r="C8898" s="78"/>
      <c r="D8898" s="78">
        <v>0</v>
      </c>
      <c r="E8898" s="78">
        <f>TRUNC(D8898*E8897/100,2)</f>
        <v>0</v>
      </c>
    </row>
    <row r="8899" spans="1:5">
      <c r="A8899" s="76" t="s">
        <v>2540</v>
      </c>
      <c r="B8899" s="77"/>
      <c r="C8899" s="78"/>
      <c r="D8899" s="78"/>
      <c r="E8899" s="78">
        <f>E8897+E8898</f>
        <v>22.85</v>
      </c>
    </row>
    <row r="8900" spans="1:5">
      <c r="A8900" s="76"/>
      <c r="B8900" s="77"/>
      <c r="C8900" s="78"/>
      <c r="D8900" s="78"/>
      <c r="E8900" s="78"/>
    </row>
    <row r="8901" spans="1:5">
      <c r="A8901" s="76" t="s">
        <v>3092</v>
      </c>
      <c r="B8901" s="77" t="s">
        <v>4431</v>
      </c>
      <c r="C8901" s="78"/>
      <c r="D8901" s="78"/>
      <c r="E8901" s="78"/>
    </row>
    <row r="8902" spans="1:5">
      <c r="A8902" s="76" t="s">
        <v>4432</v>
      </c>
      <c r="B8902" s="77"/>
      <c r="C8902" s="78"/>
      <c r="D8902" s="78"/>
      <c r="E8902" s="78"/>
    </row>
    <row r="8903" spans="1:5">
      <c r="A8903" s="76" t="s">
        <v>2764</v>
      </c>
      <c r="B8903" s="77"/>
      <c r="C8903" s="78"/>
      <c r="D8903" s="78"/>
      <c r="E8903" s="78"/>
    </row>
    <row r="8904" spans="1:5">
      <c r="A8904" s="76"/>
      <c r="B8904" s="77"/>
      <c r="C8904" s="78"/>
      <c r="D8904" s="78"/>
      <c r="E8904" s="78"/>
    </row>
    <row r="8905" spans="1:5">
      <c r="A8905" s="76" t="s">
        <v>2543</v>
      </c>
      <c r="B8905" s="77" t="s">
        <v>135</v>
      </c>
      <c r="C8905" s="78" t="s">
        <v>136</v>
      </c>
      <c r="D8905" s="78" t="s">
        <v>2534</v>
      </c>
      <c r="E8905" s="78" t="s">
        <v>2535</v>
      </c>
    </row>
    <row r="8906" ht="25.5" spans="1:5">
      <c r="A8906" s="76" t="s">
        <v>4433</v>
      </c>
      <c r="B8906" s="77" t="s">
        <v>494</v>
      </c>
      <c r="C8906" s="78">
        <v>0.00011993</v>
      </c>
      <c r="D8906" s="78">
        <v>94215.19</v>
      </c>
      <c r="E8906" s="78">
        <f>TRUNC(C8906*D8906,2)</f>
        <v>11.29</v>
      </c>
    </row>
    <row r="8907" spans="1:5">
      <c r="A8907" s="76" t="s">
        <v>122</v>
      </c>
      <c r="B8907" s="77"/>
      <c r="C8907" s="78"/>
      <c r="D8907" s="78"/>
      <c r="E8907" s="78">
        <f>SUM(E8906:E8906)</f>
        <v>11.29</v>
      </c>
    </row>
    <row r="8908" spans="1:5">
      <c r="A8908" s="76"/>
      <c r="B8908" s="77"/>
      <c r="C8908" s="78"/>
      <c r="D8908" s="78"/>
      <c r="E8908" s="78"/>
    </row>
    <row r="8909" spans="1:5">
      <c r="A8909" s="76" t="s">
        <v>2538</v>
      </c>
      <c r="B8909" s="77"/>
      <c r="C8909" s="78"/>
      <c r="D8909" s="78"/>
      <c r="E8909" s="78">
        <f>E8907</f>
        <v>11.29</v>
      </c>
    </row>
    <row r="8910" spans="1:5">
      <c r="A8910" s="76" t="s">
        <v>2539</v>
      </c>
      <c r="B8910" s="77"/>
      <c r="C8910" s="78"/>
      <c r="D8910" s="78">
        <v>0</v>
      </c>
      <c r="E8910" s="78">
        <f>TRUNC(D8910*E8909/100,2)</f>
        <v>0</v>
      </c>
    </row>
    <row r="8911" spans="1:5">
      <c r="A8911" s="76" t="s">
        <v>2540</v>
      </c>
      <c r="B8911" s="77"/>
      <c r="C8911" s="78"/>
      <c r="D8911" s="78"/>
      <c r="E8911" s="78">
        <f>E8909+E8910</f>
        <v>11.29</v>
      </c>
    </row>
    <row r="8912" spans="1:5">
      <c r="A8912" s="76"/>
      <c r="B8912" s="77"/>
      <c r="C8912" s="78"/>
      <c r="D8912" s="78"/>
      <c r="E8912" s="78"/>
    </row>
    <row r="8913" spans="1:5">
      <c r="A8913" s="76" t="s">
        <v>3092</v>
      </c>
      <c r="B8913" s="77" t="s">
        <v>4434</v>
      </c>
      <c r="C8913" s="78"/>
      <c r="D8913" s="78"/>
      <c r="E8913" s="78"/>
    </row>
    <row r="8914" spans="1:5">
      <c r="A8914" s="76" t="s">
        <v>4435</v>
      </c>
      <c r="B8914" s="77"/>
      <c r="C8914" s="78"/>
      <c r="D8914" s="78"/>
      <c r="E8914" s="78"/>
    </row>
    <row r="8915" spans="1:5">
      <c r="A8915" s="76" t="s">
        <v>2764</v>
      </c>
      <c r="B8915" s="77"/>
      <c r="C8915" s="78"/>
      <c r="D8915" s="78"/>
      <c r="E8915" s="78"/>
    </row>
    <row r="8916" spans="1:5">
      <c r="A8916" s="76"/>
      <c r="B8916" s="77"/>
      <c r="C8916" s="78"/>
      <c r="D8916" s="78"/>
      <c r="E8916" s="78"/>
    </row>
    <row r="8917" spans="1:5">
      <c r="A8917" s="76" t="s">
        <v>2543</v>
      </c>
      <c r="B8917" s="77" t="s">
        <v>135</v>
      </c>
      <c r="C8917" s="78" t="s">
        <v>136</v>
      </c>
      <c r="D8917" s="78" t="s">
        <v>2534</v>
      </c>
      <c r="E8917" s="78" t="s">
        <v>2535</v>
      </c>
    </row>
    <row r="8918" ht="25.5" spans="1:5">
      <c r="A8918" s="76" t="s">
        <v>4433</v>
      </c>
      <c r="B8918" s="77" t="s">
        <v>494</v>
      </c>
      <c r="C8918" s="78">
        <v>1.645e-5</v>
      </c>
      <c r="D8918" s="78">
        <v>94215.19</v>
      </c>
      <c r="E8918" s="78">
        <f>TRUNC(C8918*D8918,2)</f>
        <v>1.54</v>
      </c>
    </row>
    <row r="8919" spans="1:5">
      <c r="A8919" s="76" t="s">
        <v>122</v>
      </c>
      <c r="B8919" s="77"/>
      <c r="C8919" s="78"/>
      <c r="D8919" s="78"/>
      <c r="E8919" s="78">
        <f>SUM(E8918:E8918)</f>
        <v>1.54</v>
      </c>
    </row>
    <row r="8920" spans="1:5">
      <c r="A8920" s="76"/>
      <c r="B8920" s="77"/>
      <c r="C8920" s="78"/>
      <c r="D8920" s="78"/>
      <c r="E8920" s="78"/>
    </row>
    <row r="8921" spans="1:5">
      <c r="A8921" s="76" t="s">
        <v>2538</v>
      </c>
      <c r="B8921" s="77"/>
      <c r="C8921" s="78"/>
      <c r="D8921" s="78"/>
      <c r="E8921" s="78">
        <f>E8919</f>
        <v>1.54</v>
      </c>
    </row>
    <row r="8922" spans="1:5">
      <c r="A8922" s="76" t="s">
        <v>2539</v>
      </c>
      <c r="B8922" s="77"/>
      <c r="C8922" s="78"/>
      <c r="D8922" s="78">
        <v>0</v>
      </c>
      <c r="E8922" s="78">
        <f>TRUNC(D8922*E8921/100,2)</f>
        <v>0</v>
      </c>
    </row>
    <row r="8923" spans="1:5">
      <c r="A8923" s="76" t="s">
        <v>2540</v>
      </c>
      <c r="B8923" s="77"/>
      <c r="C8923" s="78"/>
      <c r="D8923" s="78"/>
      <c r="E8923" s="78">
        <f>E8921+E8922</f>
        <v>1.54</v>
      </c>
    </row>
    <row r="8924" spans="1:5">
      <c r="A8924" s="76"/>
      <c r="B8924" s="77"/>
      <c r="C8924" s="78"/>
      <c r="D8924" s="78"/>
      <c r="E8924" s="78"/>
    </row>
    <row r="8925" spans="1:5">
      <c r="A8925" s="76" t="s">
        <v>3092</v>
      </c>
      <c r="B8925" s="77" t="s">
        <v>4436</v>
      </c>
      <c r="C8925" s="78"/>
      <c r="D8925" s="78"/>
      <c r="E8925" s="78"/>
    </row>
    <row r="8926" ht="25.5" spans="1:5">
      <c r="A8926" s="76" t="s">
        <v>4437</v>
      </c>
      <c r="B8926" s="77"/>
      <c r="C8926" s="78"/>
      <c r="D8926" s="78"/>
      <c r="E8926" s="78"/>
    </row>
    <row r="8927" spans="1:5">
      <c r="A8927" s="76" t="s">
        <v>2764</v>
      </c>
      <c r="B8927" s="77"/>
      <c r="C8927" s="78"/>
      <c r="D8927" s="78"/>
      <c r="E8927" s="78"/>
    </row>
    <row r="8928" spans="1:5">
      <c r="A8928" s="76"/>
      <c r="B8928" s="77"/>
      <c r="C8928" s="78"/>
      <c r="D8928" s="78"/>
      <c r="E8928" s="78"/>
    </row>
    <row r="8929" spans="1:5">
      <c r="A8929" s="76" t="s">
        <v>2543</v>
      </c>
      <c r="B8929" s="77" t="s">
        <v>135</v>
      </c>
      <c r="C8929" s="78" t="s">
        <v>136</v>
      </c>
      <c r="D8929" s="78" t="s">
        <v>2534</v>
      </c>
      <c r="E8929" s="78" t="s">
        <v>2535</v>
      </c>
    </row>
    <row r="8930" spans="1:5">
      <c r="A8930" s="76" t="s">
        <v>3242</v>
      </c>
      <c r="B8930" s="77" t="s">
        <v>1695</v>
      </c>
      <c r="C8930" s="78">
        <v>0.85</v>
      </c>
      <c r="D8930" s="78">
        <v>0.72</v>
      </c>
      <c r="E8930" s="78">
        <f>TRUNC(C8930*D8930,2)</f>
        <v>0.61</v>
      </c>
    </row>
    <row r="8931" spans="1:5">
      <c r="A8931" s="76" t="s">
        <v>122</v>
      </c>
      <c r="B8931" s="77"/>
      <c r="C8931" s="78"/>
      <c r="D8931" s="78"/>
      <c r="E8931" s="78">
        <f>SUM(E8930:E8930)</f>
        <v>0.61</v>
      </c>
    </row>
    <row r="8932" spans="1:5">
      <c r="A8932" s="76"/>
      <c r="B8932" s="77"/>
      <c r="C8932" s="78"/>
      <c r="D8932" s="78"/>
      <c r="E8932" s="78"/>
    </row>
    <row r="8933" spans="1:5">
      <c r="A8933" s="76" t="s">
        <v>2538</v>
      </c>
      <c r="B8933" s="77"/>
      <c r="C8933" s="78"/>
      <c r="D8933" s="78"/>
      <c r="E8933" s="78">
        <f>E8931</f>
        <v>0.61</v>
      </c>
    </row>
    <row r="8934" spans="1:5">
      <c r="A8934" s="76" t="s">
        <v>2539</v>
      </c>
      <c r="B8934" s="77"/>
      <c r="C8934" s="78"/>
      <c r="D8934" s="78">
        <v>0</v>
      </c>
      <c r="E8934" s="78">
        <f>TRUNC(D8934*E8933/100,2)</f>
        <v>0</v>
      </c>
    </row>
    <row r="8935" spans="1:5">
      <c r="A8935" s="76" t="s">
        <v>2540</v>
      </c>
      <c r="B8935" s="77"/>
      <c r="C8935" s="78"/>
      <c r="D8935" s="78"/>
      <c r="E8935" s="78">
        <f>E8933+E8934</f>
        <v>0.61</v>
      </c>
    </row>
    <row r="8936" spans="1:5">
      <c r="A8936" s="76"/>
      <c r="B8936" s="77"/>
      <c r="C8936" s="78"/>
      <c r="D8936" s="78"/>
      <c r="E8936" s="78"/>
    </row>
    <row r="8937" spans="1:5">
      <c r="A8937" s="76" t="s">
        <v>3092</v>
      </c>
      <c r="B8937" s="77" t="s">
        <v>4438</v>
      </c>
      <c r="C8937" s="78"/>
      <c r="D8937" s="78"/>
      <c r="E8937" s="78"/>
    </row>
    <row r="8938" spans="1:5">
      <c r="A8938" s="76" t="s">
        <v>4439</v>
      </c>
      <c r="B8938" s="77"/>
      <c r="C8938" s="78"/>
      <c r="D8938" s="78"/>
      <c r="E8938" s="78"/>
    </row>
    <row r="8939" spans="1:5">
      <c r="A8939" s="76" t="s">
        <v>2764</v>
      </c>
      <c r="B8939" s="77"/>
      <c r="C8939" s="78"/>
      <c r="D8939" s="78"/>
      <c r="E8939" s="78"/>
    </row>
    <row r="8940" spans="1:5">
      <c r="A8940" s="76"/>
      <c r="B8940" s="77"/>
      <c r="C8940" s="78"/>
      <c r="D8940" s="78"/>
      <c r="E8940" s="78"/>
    </row>
    <row r="8941" spans="1:5">
      <c r="A8941" s="76" t="s">
        <v>2543</v>
      </c>
      <c r="B8941" s="77" t="s">
        <v>135</v>
      </c>
      <c r="C8941" s="78" t="s">
        <v>136</v>
      </c>
      <c r="D8941" s="78" t="s">
        <v>2534</v>
      </c>
      <c r="E8941" s="78" t="s">
        <v>2535</v>
      </c>
    </row>
    <row r="8942" ht="25.5" spans="1:5">
      <c r="A8942" s="76" t="s">
        <v>4433</v>
      </c>
      <c r="B8942" s="77" t="s">
        <v>494</v>
      </c>
      <c r="C8942" s="78">
        <v>9.998e-5</v>
      </c>
      <c r="D8942" s="78">
        <v>94215.19</v>
      </c>
      <c r="E8942" s="78">
        <f>TRUNC(C8942*D8942,2)</f>
        <v>9.41</v>
      </c>
    </row>
    <row r="8943" spans="1:5">
      <c r="A8943" s="76" t="s">
        <v>122</v>
      </c>
      <c r="B8943" s="77"/>
      <c r="C8943" s="78"/>
      <c r="D8943" s="78"/>
      <c r="E8943" s="78">
        <f>SUM(E8942:E8942)</f>
        <v>9.41</v>
      </c>
    </row>
    <row r="8944" spans="1:5">
      <c r="A8944" s="76"/>
      <c r="B8944" s="77"/>
      <c r="C8944" s="78"/>
      <c r="D8944" s="78"/>
      <c r="E8944" s="78"/>
    </row>
    <row r="8945" spans="1:5">
      <c r="A8945" s="76" t="s">
        <v>2538</v>
      </c>
      <c r="B8945" s="77"/>
      <c r="C8945" s="78"/>
      <c r="D8945" s="78"/>
      <c r="E8945" s="78">
        <f>E8943</f>
        <v>9.41</v>
      </c>
    </row>
    <row r="8946" spans="1:5">
      <c r="A8946" s="76" t="s">
        <v>2539</v>
      </c>
      <c r="B8946" s="77"/>
      <c r="C8946" s="78"/>
      <c r="D8946" s="78">
        <v>0</v>
      </c>
      <c r="E8946" s="78">
        <f>TRUNC(D8946*E8945/100,2)</f>
        <v>0</v>
      </c>
    </row>
    <row r="8947" spans="1:5">
      <c r="A8947" s="76" t="s">
        <v>2540</v>
      </c>
      <c r="B8947" s="77"/>
      <c r="C8947" s="78"/>
      <c r="D8947" s="78"/>
      <c r="E8947" s="78">
        <f>E8945+E8946</f>
        <v>9.41</v>
      </c>
    </row>
    <row r="8948" spans="1:5">
      <c r="A8948" s="76"/>
      <c r="B8948" s="77"/>
      <c r="C8948" s="78"/>
      <c r="D8948" s="78"/>
      <c r="E8948" s="78"/>
    </row>
    <row r="8949" spans="1:5">
      <c r="A8949" s="76" t="s">
        <v>3092</v>
      </c>
      <c r="B8949" s="77" t="s">
        <v>4440</v>
      </c>
      <c r="C8949" s="78"/>
      <c r="D8949" s="78"/>
      <c r="E8949" s="78"/>
    </row>
    <row r="8950" spans="1:5">
      <c r="A8950" s="76" t="s">
        <v>4441</v>
      </c>
      <c r="B8950" s="77"/>
      <c r="C8950" s="78"/>
      <c r="D8950" s="78"/>
      <c r="E8950" s="78"/>
    </row>
    <row r="8951" spans="1:5">
      <c r="A8951" s="76" t="s">
        <v>3085</v>
      </c>
      <c r="B8951" s="77"/>
      <c r="C8951" s="78"/>
      <c r="D8951" s="78"/>
      <c r="E8951" s="78"/>
    </row>
    <row r="8952" spans="1:5">
      <c r="A8952" s="76"/>
      <c r="B8952" s="77"/>
      <c r="C8952" s="78"/>
      <c r="D8952" s="78"/>
      <c r="E8952" s="78"/>
    </row>
    <row r="8953" spans="1:5">
      <c r="A8953" s="76" t="s">
        <v>2543</v>
      </c>
      <c r="B8953" s="77" t="s">
        <v>135</v>
      </c>
      <c r="C8953" s="78" t="s">
        <v>136</v>
      </c>
      <c r="D8953" s="78" t="s">
        <v>2534</v>
      </c>
      <c r="E8953" s="78" t="s">
        <v>2535</v>
      </c>
    </row>
    <row r="8954" spans="1:5">
      <c r="A8954" s="76" t="s">
        <v>4442</v>
      </c>
      <c r="B8954" s="77" t="s">
        <v>839</v>
      </c>
      <c r="C8954" s="78">
        <v>1</v>
      </c>
      <c r="D8954" s="78">
        <v>0.08</v>
      </c>
      <c r="E8954" s="78">
        <f>TRUNC(C8954*D8954,2)</f>
        <v>0.08</v>
      </c>
    </row>
    <row r="8955" spans="1:5">
      <c r="A8955" s="76" t="s">
        <v>4443</v>
      </c>
      <c r="B8955" s="77" t="s">
        <v>839</v>
      </c>
      <c r="C8955" s="78">
        <v>1</v>
      </c>
      <c r="D8955" s="78">
        <v>0.01</v>
      </c>
      <c r="E8955" s="78">
        <f>TRUNC(C8955*D8955,2)</f>
        <v>0.01</v>
      </c>
    </row>
    <row r="8956" ht="25.5" spans="1:5">
      <c r="A8956" s="76" t="s">
        <v>4444</v>
      </c>
      <c r="B8956" s="77" t="s">
        <v>839</v>
      </c>
      <c r="C8956" s="78">
        <v>1</v>
      </c>
      <c r="D8956" s="78">
        <v>0.48</v>
      </c>
      <c r="E8956" s="78">
        <f>TRUNC(C8956*D8956,2)</f>
        <v>0.48</v>
      </c>
    </row>
    <row r="8957" spans="1:5">
      <c r="A8957" s="76" t="s">
        <v>4445</v>
      </c>
      <c r="B8957" s="77" t="s">
        <v>839</v>
      </c>
      <c r="C8957" s="78">
        <v>1</v>
      </c>
      <c r="D8957" s="78">
        <v>0.06</v>
      </c>
      <c r="E8957" s="78">
        <f>TRUNC(C8957*D8957,2)</f>
        <v>0.06</v>
      </c>
    </row>
    <row r="8958" spans="1:5">
      <c r="A8958" s="76" t="s">
        <v>122</v>
      </c>
      <c r="B8958" s="77"/>
      <c r="C8958" s="78"/>
      <c r="D8958" s="78"/>
      <c r="E8958" s="78">
        <f>SUM(E8954:E8957)</f>
        <v>0.63</v>
      </c>
    </row>
    <row r="8959" spans="1:5">
      <c r="A8959" s="76"/>
      <c r="B8959" s="77"/>
      <c r="C8959" s="78"/>
      <c r="D8959" s="78"/>
      <c r="E8959" s="78"/>
    </row>
    <row r="8960" spans="1:5">
      <c r="A8960" s="76" t="s">
        <v>2538</v>
      </c>
      <c r="B8960" s="77"/>
      <c r="C8960" s="78"/>
      <c r="D8960" s="78"/>
      <c r="E8960" s="78">
        <f>E8958</f>
        <v>0.63</v>
      </c>
    </row>
    <row r="8961" spans="1:5">
      <c r="A8961" s="76" t="s">
        <v>2539</v>
      </c>
      <c r="B8961" s="77"/>
      <c r="C8961" s="78"/>
      <c r="D8961" s="78">
        <v>0</v>
      </c>
      <c r="E8961" s="78">
        <f>TRUNC(D8961*E8960/100,2)</f>
        <v>0</v>
      </c>
    </row>
    <row r="8962" spans="1:5">
      <c r="A8962" s="76" t="s">
        <v>2540</v>
      </c>
      <c r="B8962" s="77"/>
      <c r="C8962" s="78"/>
      <c r="D8962" s="78"/>
      <c r="E8962" s="78">
        <f>E8960+E8961</f>
        <v>0.63</v>
      </c>
    </row>
    <row r="8963" spans="1:5">
      <c r="A8963" s="76"/>
      <c r="B8963" s="77"/>
      <c r="C8963" s="78"/>
      <c r="D8963" s="78"/>
      <c r="E8963" s="78"/>
    </row>
    <row r="8964" spans="1:5">
      <c r="A8964" s="76" t="s">
        <v>3092</v>
      </c>
      <c r="B8964" s="77" t="s">
        <v>4446</v>
      </c>
      <c r="C8964" s="78"/>
      <c r="D8964" s="78"/>
      <c r="E8964" s="78"/>
    </row>
    <row r="8965" spans="1:5">
      <c r="A8965" s="76" t="s">
        <v>4447</v>
      </c>
      <c r="B8965" s="77"/>
      <c r="C8965" s="78"/>
      <c r="D8965" s="78"/>
      <c r="E8965" s="78"/>
    </row>
    <row r="8966" spans="1:5">
      <c r="A8966" s="76" t="s">
        <v>2764</v>
      </c>
      <c r="B8966" s="77"/>
      <c r="C8966" s="78"/>
      <c r="D8966" s="78"/>
      <c r="E8966" s="78"/>
    </row>
    <row r="8967" spans="1:5">
      <c r="A8967" s="76"/>
      <c r="B8967" s="77"/>
      <c r="C8967" s="78"/>
      <c r="D8967" s="78"/>
      <c r="E8967" s="78"/>
    </row>
    <row r="8968" spans="1:5">
      <c r="A8968" s="76" t="s">
        <v>2543</v>
      </c>
      <c r="B8968" s="77" t="s">
        <v>135</v>
      </c>
      <c r="C8968" s="78" t="s">
        <v>136</v>
      </c>
      <c r="D8968" s="78" t="s">
        <v>2534</v>
      </c>
      <c r="E8968" s="78" t="s">
        <v>2535</v>
      </c>
    </row>
    <row r="8969" spans="1:5">
      <c r="A8969" s="76" t="s">
        <v>4448</v>
      </c>
      <c r="B8969" s="77" t="s">
        <v>494</v>
      </c>
      <c r="C8969" s="78">
        <v>6.201e-5</v>
      </c>
      <c r="D8969" s="78">
        <v>1451.18</v>
      </c>
      <c r="E8969" s="78">
        <f>TRUNC(C8969*D8969,2)</f>
        <v>0.08</v>
      </c>
    </row>
    <row r="8970" spans="1:5">
      <c r="A8970" s="76" t="s">
        <v>122</v>
      </c>
      <c r="B8970" s="77"/>
      <c r="C8970" s="78"/>
      <c r="D8970" s="78"/>
      <c r="E8970" s="78">
        <f>SUM(E8969:E8969)</f>
        <v>0.08</v>
      </c>
    </row>
    <row r="8971" spans="1:5">
      <c r="A8971" s="76"/>
      <c r="B8971" s="77"/>
      <c r="C8971" s="78"/>
      <c r="D8971" s="78"/>
      <c r="E8971" s="78"/>
    </row>
    <row r="8972" spans="1:5">
      <c r="A8972" s="76" t="s">
        <v>2538</v>
      </c>
      <c r="B8972" s="77"/>
      <c r="C8972" s="78"/>
      <c r="D8972" s="78"/>
      <c r="E8972" s="78">
        <f>E8970</f>
        <v>0.08</v>
      </c>
    </row>
    <row r="8973" spans="1:5">
      <c r="A8973" s="76" t="s">
        <v>2539</v>
      </c>
      <c r="B8973" s="77"/>
      <c r="C8973" s="78"/>
      <c r="D8973" s="78">
        <v>0</v>
      </c>
      <c r="E8973" s="78">
        <f>TRUNC(D8973*E8972/100,2)</f>
        <v>0</v>
      </c>
    </row>
    <row r="8974" spans="1:5">
      <c r="A8974" s="76" t="s">
        <v>2540</v>
      </c>
      <c r="B8974" s="77"/>
      <c r="C8974" s="78"/>
      <c r="D8974" s="78"/>
      <c r="E8974" s="78">
        <f>E8972+E8973</f>
        <v>0.08</v>
      </c>
    </row>
    <row r="8975" spans="1:5">
      <c r="A8975" s="76"/>
      <c r="B8975" s="77"/>
      <c r="C8975" s="78"/>
      <c r="D8975" s="78"/>
      <c r="E8975" s="78"/>
    </row>
    <row r="8976" spans="1:5">
      <c r="A8976" s="76" t="s">
        <v>3092</v>
      </c>
      <c r="B8976" s="77" t="s">
        <v>4449</v>
      </c>
      <c r="C8976" s="78"/>
      <c r="D8976" s="78"/>
      <c r="E8976" s="78"/>
    </row>
    <row r="8977" spans="1:5">
      <c r="A8977" s="76" t="s">
        <v>4450</v>
      </c>
      <c r="B8977" s="77"/>
      <c r="C8977" s="78"/>
      <c r="D8977" s="78"/>
      <c r="E8977" s="78"/>
    </row>
    <row r="8978" spans="1:5">
      <c r="A8978" s="76" t="s">
        <v>2764</v>
      </c>
      <c r="B8978" s="77"/>
      <c r="C8978" s="78"/>
      <c r="D8978" s="78"/>
      <c r="E8978" s="78"/>
    </row>
    <row r="8979" spans="1:5">
      <c r="A8979" s="76"/>
      <c r="B8979" s="77"/>
      <c r="C8979" s="78"/>
      <c r="D8979" s="78"/>
      <c r="E8979" s="78"/>
    </row>
    <row r="8980" spans="1:5">
      <c r="A8980" s="76" t="s">
        <v>2543</v>
      </c>
      <c r="B8980" s="77" t="s">
        <v>135</v>
      </c>
      <c r="C8980" s="78" t="s">
        <v>136</v>
      </c>
      <c r="D8980" s="78" t="s">
        <v>2534</v>
      </c>
      <c r="E8980" s="78" t="s">
        <v>2535</v>
      </c>
    </row>
    <row r="8981" spans="1:5">
      <c r="A8981" s="76" t="s">
        <v>4448</v>
      </c>
      <c r="B8981" s="77" t="s">
        <v>494</v>
      </c>
      <c r="C8981" s="78">
        <v>1.378e-5</v>
      </c>
      <c r="D8981" s="78">
        <v>1451.18</v>
      </c>
      <c r="E8981" s="78">
        <f>TRUNC(C8981*D8981,2)</f>
        <v>0.01</v>
      </c>
    </row>
    <row r="8982" spans="1:5">
      <c r="A8982" s="76" t="s">
        <v>122</v>
      </c>
      <c r="B8982" s="77"/>
      <c r="C8982" s="78"/>
      <c r="D8982" s="78"/>
      <c r="E8982" s="78">
        <f>SUM(E8981:E8981)</f>
        <v>0.01</v>
      </c>
    </row>
    <row r="8983" spans="1:5">
      <c r="A8983" s="76"/>
      <c r="B8983" s="77"/>
      <c r="C8983" s="78"/>
      <c r="D8983" s="78"/>
      <c r="E8983" s="78"/>
    </row>
    <row r="8984" spans="1:5">
      <c r="A8984" s="76" t="s">
        <v>2538</v>
      </c>
      <c r="B8984" s="77"/>
      <c r="C8984" s="78"/>
      <c r="D8984" s="78"/>
      <c r="E8984" s="78">
        <f>E8982</f>
        <v>0.01</v>
      </c>
    </row>
    <row r="8985" spans="1:5">
      <c r="A8985" s="76" t="s">
        <v>2539</v>
      </c>
      <c r="B8985" s="77"/>
      <c r="C8985" s="78"/>
      <c r="D8985" s="78">
        <v>0</v>
      </c>
      <c r="E8985" s="78">
        <f>TRUNC(D8985*E8984/100,2)</f>
        <v>0</v>
      </c>
    </row>
    <row r="8986" spans="1:5">
      <c r="A8986" s="76" t="s">
        <v>2540</v>
      </c>
      <c r="B8986" s="77"/>
      <c r="C8986" s="78"/>
      <c r="D8986" s="78"/>
      <c r="E8986" s="78">
        <f>E8984+E8985</f>
        <v>0.01</v>
      </c>
    </row>
    <row r="8987" spans="1:5">
      <c r="A8987" s="76"/>
      <c r="B8987" s="77"/>
      <c r="C8987" s="78"/>
      <c r="D8987" s="78"/>
      <c r="E8987" s="78"/>
    </row>
    <row r="8988" spans="1:5">
      <c r="A8988" s="76" t="s">
        <v>3092</v>
      </c>
      <c r="B8988" s="77" t="s">
        <v>4451</v>
      </c>
      <c r="C8988" s="78"/>
      <c r="D8988" s="78"/>
      <c r="E8988" s="78"/>
    </row>
    <row r="8989" spans="1:5">
      <c r="A8989" s="76" t="s">
        <v>4452</v>
      </c>
      <c r="B8989" s="77"/>
      <c r="C8989" s="78"/>
      <c r="D8989" s="78"/>
      <c r="E8989" s="78"/>
    </row>
    <row r="8990" spans="1:5">
      <c r="A8990" s="76" t="s">
        <v>2764</v>
      </c>
      <c r="B8990" s="77"/>
      <c r="C8990" s="78"/>
      <c r="D8990" s="78"/>
      <c r="E8990" s="78"/>
    </row>
    <row r="8991" spans="1:5">
      <c r="A8991" s="76"/>
      <c r="B8991" s="77"/>
      <c r="C8991" s="78"/>
      <c r="D8991" s="78"/>
      <c r="E8991" s="78"/>
    </row>
    <row r="8992" spans="1:5">
      <c r="A8992" s="76" t="s">
        <v>2543</v>
      </c>
      <c r="B8992" s="77" t="s">
        <v>135</v>
      </c>
      <c r="C8992" s="78" t="s">
        <v>136</v>
      </c>
      <c r="D8992" s="78" t="s">
        <v>2534</v>
      </c>
      <c r="E8992" s="78" t="s">
        <v>2535</v>
      </c>
    </row>
    <row r="8993" spans="1:5">
      <c r="A8993" s="76" t="s">
        <v>3242</v>
      </c>
      <c r="B8993" s="77" t="s">
        <v>1695</v>
      </c>
      <c r="C8993" s="78">
        <v>0.68</v>
      </c>
      <c r="D8993" s="78">
        <v>0.72</v>
      </c>
      <c r="E8993" s="78">
        <f>TRUNC(C8993*D8993,2)</f>
        <v>0.48</v>
      </c>
    </row>
    <row r="8994" spans="1:5">
      <c r="A8994" s="76" t="s">
        <v>122</v>
      </c>
      <c r="B8994" s="77"/>
      <c r="C8994" s="78"/>
      <c r="D8994" s="78"/>
      <c r="E8994" s="78">
        <f>SUM(E8993:E8993)</f>
        <v>0.48</v>
      </c>
    </row>
    <row r="8995" spans="1:5">
      <c r="A8995" s="76"/>
      <c r="B8995" s="77"/>
      <c r="C8995" s="78"/>
      <c r="D8995" s="78"/>
      <c r="E8995" s="78"/>
    </row>
    <row r="8996" spans="1:5">
      <c r="A8996" s="76" t="s">
        <v>2538</v>
      </c>
      <c r="B8996" s="77"/>
      <c r="C8996" s="78"/>
      <c r="D8996" s="78"/>
      <c r="E8996" s="78">
        <f>E8994</f>
        <v>0.48</v>
      </c>
    </row>
    <row r="8997" spans="1:5">
      <c r="A8997" s="76" t="s">
        <v>2539</v>
      </c>
      <c r="B8997" s="77"/>
      <c r="C8997" s="78"/>
      <c r="D8997" s="78">
        <v>0</v>
      </c>
      <c r="E8997" s="78">
        <f>TRUNC(D8997*E8996/100,2)</f>
        <v>0</v>
      </c>
    </row>
    <row r="8998" spans="1:5">
      <c r="A8998" s="76" t="s">
        <v>2540</v>
      </c>
      <c r="B8998" s="77"/>
      <c r="C8998" s="78"/>
      <c r="D8998" s="78"/>
      <c r="E8998" s="78">
        <f>E8996+E8997</f>
        <v>0.48</v>
      </c>
    </row>
    <row r="8999" spans="1:5">
      <c r="A8999" s="76"/>
      <c r="B8999" s="77"/>
      <c r="C8999" s="78"/>
      <c r="D8999" s="78"/>
      <c r="E8999" s="78"/>
    </row>
    <row r="9000" spans="1:5">
      <c r="A9000" s="76" t="s">
        <v>3092</v>
      </c>
      <c r="B9000" s="77" t="s">
        <v>4453</v>
      </c>
      <c r="C9000" s="78"/>
      <c r="D9000" s="78"/>
      <c r="E9000" s="78"/>
    </row>
    <row r="9001" spans="1:5">
      <c r="A9001" s="76" t="s">
        <v>4454</v>
      </c>
      <c r="B9001" s="77"/>
      <c r="C9001" s="78"/>
      <c r="D9001" s="78"/>
      <c r="E9001" s="78"/>
    </row>
    <row r="9002" spans="1:5">
      <c r="A9002" s="76" t="s">
        <v>2764</v>
      </c>
      <c r="B9002" s="77"/>
      <c r="C9002" s="78"/>
      <c r="D9002" s="78"/>
      <c r="E9002" s="78"/>
    </row>
    <row r="9003" spans="1:5">
      <c r="A9003" s="76"/>
      <c r="B9003" s="77"/>
      <c r="C9003" s="78"/>
      <c r="D9003" s="78"/>
      <c r="E9003" s="78"/>
    </row>
    <row r="9004" spans="1:5">
      <c r="A9004" s="76" t="s">
        <v>2543</v>
      </c>
      <c r="B9004" s="77" t="s">
        <v>135</v>
      </c>
      <c r="C9004" s="78" t="s">
        <v>136</v>
      </c>
      <c r="D9004" s="78" t="s">
        <v>2534</v>
      </c>
      <c r="E9004" s="78" t="s">
        <v>2535</v>
      </c>
    </row>
    <row r="9005" spans="1:5">
      <c r="A9005" s="76" t="s">
        <v>4448</v>
      </c>
      <c r="B9005" s="77" t="s">
        <v>494</v>
      </c>
      <c r="C9005" s="78">
        <v>4.823e-5</v>
      </c>
      <c r="D9005" s="78">
        <v>1451.18</v>
      </c>
      <c r="E9005" s="78">
        <f>TRUNC(C9005*D9005,2)</f>
        <v>0.06</v>
      </c>
    </row>
    <row r="9006" spans="1:5">
      <c r="A9006" s="76" t="s">
        <v>122</v>
      </c>
      <c r="B9006" s="77"/>
      <c r="C9006" s="78"/>
      <c r="D9006" s="78"/>
      <c r="E9006" s="78">
        <f>SUM(E9005:E9005)</f>
        <v>0.06</v>
      </c>
    </row>
    <row r="9007" spans="1:5">
      <c r="A9007" s="76"/>
      <c r="B9007" s="77"/>
      <c r="C9007" s="78"/>
      <c r="D9007" s="78"/>
      <c r="E9007" s="78"/>
    </row>
    <row r="9008" spans="1:5">
      <c r="A9008" s="76" t="s">
        <v>2538</v>
      </c>
      <c r="B9008" s="77"/>
      <c r="C9008" s="78"/>
      <c r="D9008" s="78"/>
      <c r="E9008" s="78">
        <f>E9006</f>
        <v>0.06</v>
      </c>
    </row>
    <row r="9009" spans="1:5">
      <c r="A9009" s="76" t="s">
        <v>2539</v>
      </c>
      <c r="B9009" s="77"/>
      <c r="C9009" s="78"/>
      <c r="D9009" s="78">
        <v>0</v>
      </c>
      <c r="E9009" s="78">
        <f>TRUNC(D9009*E9008/100,2)</f>
        <v>0</v>
      </c>
    </row>
    <row r="9010" spans="1:5">
      <c r="A9010" s="76" t="s">
        <v>2540</v>
      </c>
      <c r="B9010" s="77"/>
      <c r="C9010" s="78"/>
      <c r="D9010" s="78"/>
      <c r="E9010" s="78">
        <f>E9008+E9009</f>
        <v>0.06</v>
      </c>
    </row>
    <row r="9011" spans="1:5">
      <c r="A9011" s="76"/>
      <c r="B9011" s="77"/>
      <c r="C9011" s="78"/>
      <c r="D9011" s="78"/>
      <c r="E9011" s="78"/>
    </row>
    <row r="9012" spans="1:5">
      <c r="A9012" s="76" t="s">
        <v>3092</v>
      </c>
      <c r="B9012" s="77" t="s">
        <v>4455</v>
      </c>
      <c r="C9012" s="78"/>
      <c r="D9012" s="78"/>
      <c r="E9012" s="78"/>
    </row>
    <row r="9013" spans="1:5">
      <c r="A9013" s="76" t="s">
        <v>4456</v>
      </c>
      <c r="B9013" s="77"/>
      <c r="C9013" s="78"/>
      <c r="D9013" s="78"/>
      <c r="E9013" s="78"/>
    </row>
    <row r="9014" spans="1:5">
      <c r="A9014" s="76" t="s">
        <v>3085</v>
      </c>
      <c r="B9014" s="77"/>
      <c r="C9014" s="78"/>
      <c r="D9014" s="78"/>
      <c r="E9014" s="78"/>
    </row>
    <row r="9015" spans="1:5">
      <c r="A9015" s="76"/>
      <c r="B9015" s="77"/>
      <c r="C9015" s="78"/>
      <c r="D9015" s="78"/>
      <c r="E9015" s="78"/>
    </row>
    <row r="9016" spans="1:5">
      <c r="A9016" s="76" t="s">
        <v>2543</v>
      </c>
      <c r="B9016" s="77" t="s">
        <v>135</v>
      </c>
      <c r="C9016" s="78" t="s">
        <v>136</v>
      </c>
      <c r="D9016" s="78" t="s">
        <v>2534</v>
      </c>
      <c r="E9016" s="78" t="s">
        <v>2535</v>
      </c>
    </row>
    <row r="9017" ht="25.5" spans="1:5">
      <c r="A9017" s="76" t="s">
        <v>4457</v>
      </c>
      <c r="B9017" s="77" t="s">
        <v>839</v>
      </c>
      <c r="C9017" s="78">
        <v>1</v>
      </c>
      <c r="D9017" s="78">
        <v>4.85</v>
      </c>
      <c r="E9017" s="78">
        <f>TRUNC(C9017*D9017,2)</f>
        <v>4.85</v>
      </c>
    </row>
    <row r="9018" spans="1:5">
      <c r="A9018" s="76" t="s">
        <v>4458</v>
      </c>
      <c r="B9018" s="77" t="s">
        <v>839</v>
      </c>
      <c r="C9018" s="78">
        <v>1</v>
      </c>
      <c r="D9018" s="78">
        <v>1.49</v>
      </c>
      <c r="E9018" s="78">
        <f>TRUNC(C9018*D9018,2)</f>
        <v>1.49</v>
      </c>
    </row>
    <row r="9019" ht="25.5" spans="1:5">
      <c r="A9019" s="76" t="s">
        <v>4459</v>
      </c>
      <c r="B9019" s="77" t="s">
        <v>839</v>
      </c>
      <c r="C9019" s="78">
        <v>1</v>
      </c>
      <c r="D9019" s="78">
        <v>0.91</v>
      </c>
      <c r="E9019" s="78">
        <f>TRUNC(C9019*D9019,2)</f>
        <v>0.91</v>
      </c>
    </row>
    <row r="9020" ht="25.5" spans="1:5">
      <c r="A9020" s="76" t="s">
        <v>4460</v>
      </c>
      <c r="B9020" s="77" t="s">
        <v>839</v>
      </c>
      <c r="C9020" s="78">
        <v>1</v>
      </c>
      <c r="D9020" s="78">
        <v>4.54</v>
      </c>
      <c r="E9020" s="78">
        <f>TRUNC(C9020*D9020,2)</f>
        <v>4.54</v>
      </c>
    </row>
    <row r="9021" spans="1:5">
      <c r="A9021" s="76" t="s">
        <v>122</v>
      </c>
      <c r="B9021" s="77"/>
      <c r="C9021" s="78"/>
      <c r="D9021" s="78"/>
      <c r="E9021" s="78">
        <f>SUM(E9017:E9020)</f>
        <v>11.79</v>
      </c>
    </row>
    <row r="9022" spans="1:5">
      <c r="A9022" s="76"/>
      <c r="B9022" s="77"/>
      <c r="C9022" s="78"/>
      <c r="D9022" s="78"/>
      <c r="E9022" s="78"/>
    </row>
    <row r="9023" spans="1:5">
      <c r="A9023" s="76" t="s">
        <v>2538</v>
      </c>
      <c r="B9023" s="77"/>
      <c r="C9023" s="78"/>
      <c r="D9023" s="78"/>
      <c r="E9023" s="78">
        <f>E9021</f>
        <v>11.79</v>
      </c>
    </row>
    <row r="9024" spans="1:5">
      <c r="A9024" s="76" t="s">
        <v>2539</v>
      </c>
      <c r="B9024" s="77"/>
      <c r="C9024" s="78"/>
      <c r="D9024" s="78">
        <v>0</v>
      </c>
      <c r="E9024" s="78">
        <f>TRUNC(D9024*E9023/100,2)</f>
        <v>0</v>
      </c>
    </row>
    <row r="9025" spans="1:5">
      <c r="A9025" s="76" t="s">
        <v>2540</v>
      </c>
      <c r="B9025" s="77"/>
      <c r="C9025" s="78"/>
      <c r="D9025" s="78"/>
      <c r="E9025" s="78">
        <f>E9023+E9024</f>
        <v>11.79</v>
      </c>
    </row>
    <row r="9026" spans="1:5">
      <c r="A9026" s="76"/>
      <c r="B9026" s="77"/>
      <c r="C9026" s="78"/>
      <c r="D9026" s="78"/>
      <c r="E9026" s="78"/>
    </row>
    <row r="9027" spans="1:5">
      <c r="A9027" s="76" t="s">
        <v>3092</v>
      </c>
      <c r="B9027" s="77" t="s">
        <v>4461</v>
      </c>
      <c r="C9027" s="78"/>
      <c r="D9027" s="78"/>
      <c r="E9027" s="78"/>
    </row>
    <row r="9028" spans="1:5">
      <c r="A9028" s="76" t="s">
        <v>4462</v>
      </c>
      <c r="B9028" s="77"/>
      <c r="C9028" s="78"/>
      <c r="D9028" s="78"/>
      <c r="E9028" s="78"/>
    </row>
    <row r="9029" spans="1:5">
      <c r="A9029" s="76" t="s">
        <v>2764</v>
      </c>
      <c r="B9029" s="77"/>
      <c r="C9029" s="78"/>
      <c r="D9029" s="78"/>
      <c r="E9029" s="78"/>
    </row>
    <row r="9030" spans="1:5">
      <c r="A9030" s="76"/>
      <c r="B9030" s="77"/>
      <c r="C9030" s="78"/>
      <c r="D9030" s="78"/>
      <c r="E9030" s="78"/>
    </row>
    <row r="9031" spans="1:5">
      <c r="A9031" s="76" t="s">
        <v>2543</v>
      </c>
      <c r="B9031" s="77" t="s">
        <v>135</v>
      </c>
      <c r="C9031" s="78" t="s">
        <v>136</v>
      </c>
      <c r="D9031" s="78" t="s">
        <v>2534</v>
      </c>
      <c r="E9031" s="78" t="s">
        <v>2535</v>
      </c>
    </row>
    <row r="9032" spans="1:5">
      <c r="A9032" s="76" t="s">
        <v>4463</v>
      </c>
      <c r="B9032" s="77" t="s">
        <v>494</v>
      </c>
      <c r="C9032" s="78">
        <v>4.567e-5</v>
      </c>
      <c r="D9032" s="78">
        <v>106392.69</v>
      </c>
      <c r="E9032" s="78">
        <f>TRUNC(C9032*D9032,2)</f>
        <v>4.85</v>
      </c>
    </row>
    <row r="9033" spans="1:5">
      <c r="A9033" s="76" t="s">
        <v>122</v>
      </c>
      <c r="B9033" s="77"/>
      <c r="C9033" s="78"/>
      <c r="D9033" s="78"/>
      <c r="E9033" s="78">
        <f>SUM(E9032:E9032)</f>
        <v>4.85</v>
      </c>
    </row>
    <row r="9034" spans="1:5">
      <c r="A9034" s="76"/>
      <c r="B9034" s="77"/>
      <c r="C9034" s="78"/>
      <c r="D9034" s="78"/>
      <c r="E9034" s="78"/>
    </row>
    <row r="9035" spans="1:5">
      <c r="A9035" s="76" t="s">
        <v>2538</v>
      </c>
      <c r="B9035" s="77"/>
      <c r="C9035" s="78"/>
      <c r="D9035" s="78"/>
      <c r="E9035" s="78">
        <f>E9033</f>
        <v>4.85</v>
      </c>
    </row>
    <row r="9036" spans="1:5">
      <c r="A9036" s="76" t="s">
        <v>2539</v>
      </c>
      <c r="B9036" s="77"/>
      <c r="C9036" s="78"/>
      <c r="D9036" s="78">
        <v>0</v>
      </c>
      <c r="E9036" s="78">
        <f>TRUNC(D9036*E9035/100,2)</f>
        <v>0</v>
      </c>
    </row>
    <row r="9037" spans="1:5">
      <c r="A9037" s="76" t="s">
        <v>2540</v>
      </c>
      <c r="B9037" s="77"/>
      <c r="C9037" s="78"/>
      <c r="D9037" s="78"/>
      <c r="E9037" s="78">
        <f>E9035+E9036</f>
        <v>4.85</v>
      </c>
    </row>
    <row r="9038" spans="1:5">
      <c r="A9038" s="76"/>
      <c r="B9038" s="77"/>
      <c r="C9038" s="78"/>
      <c r="D9038" s="78"/>
      <c r="E9038" s="78"/>
    </row>
    <row r="9039" spans="1:5">
      <c r="A9039" s="76" t="s">
        <v>3092</v>
      </c>
      <c r="B9039" s="77" t="s">
        <v>4464</v>
      </c>
      <c r="C9039" s="78"/>
      <c r="D9039" s="78"/>
      <c r="E9039" s="78"/>
    </row>
    <row r="9040" spans="1:5">
      <c r="A9040" s="76" t="s">
        <v>4465</v>
      </c>
      <c r="B9040" s="77"/>
      <c r="C9040" s="78"/>
      <c r="D9040" s="78"/>
      <c r="E9040" s="78"/>
    </row>
    <row r="9041" spans="1:5">
      <c r="A9041" s="76" t="s">
        <v>2764</v>
      </c>
      <c r="B9041" s="77"/>
      <c r="C9041" s="78"/>
      <c r="D9041" s="78"/>
      <c r="E9041" s="78"/>
    </row>
    <row r="9042" spans="1:5">
      <c r="A9042" s="76"/>
      <c r="B9042" s="77"/>
      <c r="C9042" s="78"/>
      <c r="D9042" s="78"/>
      <c r="E9042" s="78"/>
    </row>
    <row r="9043" spans="1:5">
      <c r="A9043" s="76" t="s">
        <v>2543</v>
      </c>
      <c r="B9043" s="77" t="s">
        <v>135</v>
      </c>
      <c r="C9043" s="78" t="s">
        <v>136</v>
      </c>
      <c r="D9043" s="78" t="s">
        <v>2534</v>
      </c>
      <c r="E9043" s="78" t="s">
        <v>2535</v>
      </c>
    </row>
    <row r="9044" spans="1:5">
      <c r="A9044" s="76" t="s">
        <v>4463</v>
      </c>
      <c r="B9044" s="77" t="s">
        <v>494</v>
      </c>
      <c r="C9044" s="78">
        <v>1.409e-5</v>
      </c>
      <c r="D9044" s="78">
        <v>106392.69</v>
      </c>
      <c r="E9044" s="78">
        <f>TRUNC(C9044*D9044,2)</f>
        <v>1.49</v>
      </c>
    </row>
    <row r="9045" spans="1:5">
      <c r="A9045" s="76" t="s">
        <v>122</v>
      </c>
      <c r="B9045" s="77"/>
      <c r="C9045" s="78"/>
      <c r="D9045" s="78"/>
      <c r="E9045" s="78">
        <f>SUM(E9044:E9044)</f>
        <v>1.49</v>
      </c>
    </row>
    <row r="9046" spans="1:5">
      <c r="A9046" s="76"/>
      <c r="B9046" s="77"/>
      <c r="C9046" s="78"/>
      <c r="D9046" s="78"/>
      <c r="E9046" s="78"/>
    </row>
    <row r="9047" spans="1:5">
      <c r="A9047" s="76" t="s">
        <v>2538</v>
      </c>
      <c r="B9047" s="77"/>
      <c r="C9047" s="78"/>
      <c r="D9047" s="78"/>
      <c r="E9047" s="78">
        <f>E9045</f>
        <v>1.49</v>
      </c>
    </row>
    <row r="9048" spans="1:5">
      <c r="A9048" s="76" t="s">
        <v>2539</v>
      </c>
      <c r="B9048" s="77"/>
      <c r="C9048" s="78"/>
      <c r="D9048" s="78">
        <v>0</v>
      </c>
      <c r="E9048" s="78">
        <f>TRUNC(D9048*E9047/100,2)</f>
        <v>0</v>
      </c>
    </row>
    <row r="9049" spans="1:5">
      <c r="A9049" s="76" t="s">
        <v>2540</v>
      </c>
      <c r="B9049" s="77"/>
      <c r="C9049" s="78"/>
      <c r="D9049" s="78"/>
      <c r="E9049" s="78">
        <f>E9047+E9048</f>
        <v>1.49</v>
      </c>
    </row>
    <row r="9050" spans="1:5">
      <c r="A9050" s="76"/>
      <c r="B9050" s="77"/>
      <c r="C9050" s="78"/>
      <c r="D9050" s="78"/>
      <c r="E9050" s="78"/>
    </row>
    <row r="9051" spans="1:5">
      <c r="A9051" s="76" t="s">
        <v>3092</v>
      </c>
      <c r="B9051" s="77" t="s">
        <v>4466</v>
      </c>
      <c r="C9051" s="78"/>
      <c r="D9051" s="78"/>
      <c r="E9051" s="78"/>
    </row>
    <row r="9052" spans="1:5">
      <c r="A9052" s="76" t="s">
        <v>4467</v>
      </c>
      <c r="B9052" s="77"/>
      <c r="C9052" s="78"/>
      <c r="D9052" s="78"/>
      <c r="E9052" s="78"/>
    </row>
    <row r="9053" spans="1:5">
      <c r="A9053" s="76" t="s">
        <v>2764</v>
      </c>
      <c r="B9053" s="77"/>
      <c r="C9053" s="78"/>
      <c r="D9053" s="78"/>
      <c r="E9053" s="78"/>
    </row>
    <row r="9054" spans="1:5">
      <c r="A9054" s="76"/>
      <c r="B9054" s="77"/>
      <c r="C9054" s="78"/>
      <c r="D9054" s="78"/>
      <c r="E9054" s="78"/>
    </row>
    <row r="9055" spans="1:5">
      <c r="A9055" s="76" t="s">
        <v>2543</v>
      </c>
      <c r="B9055" s="77" t="s">
        <v>135</v>
      </c>
      <c r="C9055" s="78" t="s">
        <v>136</v>
      </c>
      <c r="D9055" s="78" t="s">
        <v>2534</v>
      </c>
      <c r="E9055" s="78" t="s">
        <v>2535</v>
      </c>
    </row>
    <row r="9056" spans="1:5">
      <c r="A9056" s="76" t="s">
        <v>3242</v>
      </c>
      <c r="B9056" s="77" t="s">
        <v>1695</v>
      </c>
      <c r="C9056" s="78">
        <v>1.275</v>
      </c>
      <c r="D9056" s="78">
        <v>0.72</v>
      </c>
      <c r="E9056" s="78">
        <f>TRUNC(C9056*D9056,2)</f>
        <v>0.91</v>
      </c>
    </row>
    <row r="9057" spans="1:5">
      <c r="A9057" s="76" t="s">
        <v>122</v>
      </c>
      <c r="B9057" s="77"/>
      <c r="C9057" s="78"/>
      <c r="D9057" s="78"/>
      <c r="E9057" s="78">
        <f>SUM(E9056:E9056)</f>
        <v>0.91</v>
      </c>
    </row>
    <row r="9058" spans="1:5">
      <c r="A9058" s="76"/>
      <c r="B9058" s="77"/>
      <c r="C9058" s="78"/>
      <c r="D9058" s="78"/>
      <c r="E9058" s="78"/>
    </row>
    <row r="9059" spans="1:5">
      <c r="A9059" s="76" t="s">
        <v>2538</v>
      </c>
      <c r="B9059" s="77"/>
      <c r="C9059" s="78"/>
      <c r="D9059" s="78"/>
      <c r="E9059" s="78">
        <f>E9057</f>
        <v>0.91</v>
      </c>
    </row>
    <row r="9060" spans="1:5">
      <c r="A9060" s="76" t="s">
        <v>2539</v>
      </c>
      <c r="B9060" s="77"/>
      <c r="C9060" s="78"/>
      <c r="D9060" s="78">
        <v>0</v>
      </c>
      <c r="E9060" s="78">
        <f>TRUNC(D9060*E9059/100,2)</f>
        <v>0</v>
      </c>
    </row>
    <row r="9061" spans="1:5">
      <c r="A9061" s="76" t="s">
        <v>2540</v>
      </c>
      <c r="B9061" s="77"/>
      <c r="C9061" s="78"/>
      <c r="D9061" s="78"/>
      <c r="E9061" s="78">
        <f>E9059+E9060</f>
        <v>0.91</v>
      </c>
    </row>
    <row r="9062" spans="1:5">
      <c r="A9062" s="76"/>
      <c r="B9062" s="77"/>
      <c r="C9062" s="78"/>
      <c r="D9062" s="78"/>
      <c r="E9062" s="78"/>
    </row>
    <row r="9063" spans="1:5">
      <c r="A9063" s="76" t="s">
        <v>3092</v>
      </c>
      <c r="B9063" s="77" t="s">
        <v>4468</v>
      </c>
      <c r="C9063" s="78"/>
      <c r="D9063" s="78"/>
      <c r="E9063" s="78"/>
    </row>
    <row r="9064" spans="1:5">
      <c r="A9064" s="76" t="s">
        <v>4469</v>
      </c>
      <c r="B9064" s="77"/>
      <c r="C9064" s="78"/>
      <c r="D9064" s="78"/>
      <c r="E9064" s="78"/>
    </row>
    <row r="9065" spans="1:5">
      <c r="A9065" s="76" t="s">
        <v>2764</v>
      </c>
      <c r="B9065" s="77"/>
      <c r="C9065" s="78"/>
      <c r="D9065" s="78"/>
      <c r="E9065" s="78"/>
    </row>
    <row r="9066" spans="1:5">
      <c r="A9066" s="76"/>
      <c r="B9066" s="77"/>
      <c r="C9066" s="78"/>
      <c r="D9066" s="78"/>
      <c r="E9066" s="78"/>
    </row>
    <row r="9067" spans="1:5">
      <c r="A9067" s="76" t="s">
        <v>2543</v>
      </c>
      <c r="B9067" s="77" t="s">
        <v>135</v>
      </c>
      <c r="C9067" s="78" t="s">
        <v>136</v>
      </c>
      <c r="D9067" s="78" t="s">
        <v>2534</v>
      </c>
      <c r="E9067" s="78" t="s">
        <v>2535</v>
      </c>
    </row>
    <row r="9068" spans="1:5">
      <c r="A9068" s="76" t="s">
        <v>4463</v>
      </c>
      <c r="B9068" s="77" t="s">
        <v>494</v>
      </c>
      <c r="C9068" s="78">
        <v>4.276e-5</v>
      </c>
      <c r="D9068" s="78">
        <v>106392.69</v>
      </c>
      <c r="E9068" s="78">
        <f>TRUNC(C9068*D9068,2)</f>
        <v>4.54</v>
      </c>
    </row>
    <row r="9069" spans="1:5">
      <c r="A9069" s="76" t="s">
        <v>122</v>
      </c>
      <c r="B9069" s="77"/>
      <c r="C9069" s="78"/>
      <c r="D9069" s="78"/>
      <c r="E9069" s="78">
        <f>SUM(E9068:E9068)</f>
        <v>4.54</v>
      </c>
    </row>
    <row r="9070" spans="1:5">
      <c r="A9070" s="76"/>
      <c r="B9070" s="77"/>
      <c r="C9070" s="78"/>
      <c r="D9070" s="78"/>
      <c r="E9070" s="78"/>
    </row>
    <row r="9071" spans="1:5">
      <c r="A9071" s="76" t="s">
        <v>2538</v>
      </c>
      <c r="B9071" s="77"/>
      <c r="C9071" s="78"/>
      <c r="D9071" s="78"/>
      <c r="E9071" s="78">
        <f>E9069</f>
        <v>4.54</v>
      </c>
    </row>
    <row r="9072" spans="1:5">
      <c r="A9072" s="76" t="s">
        <v>2539</v>
      </c>
      <c r="B9072" s="77"/>
      <c r="C9072" s="78"/>
      <c r="D9072" s="78">
        <v>0</v>
      </c>
      <c r="E9072" s="78">
        <f>TRUNC(D9072*E9071/100,2)</f>
        <v>0</v>
      </c>
    </row>
    <row r="9073" spans="1:5">
      <c r="A9073" s="76" t="s">
        <v>2540</v>
      </c>
      <c r="B9073" s="77"/>
      <c r="C9073" s="78"/>
      <c r="D9073" s="78"/>
      <c r="E9073" s="78">
        <f>E9071+E9072</f>
        <v>4.54</v>
      </c>
    </row>
    <row r="9074" spans="1:5">
      <c r="A9074" s="76"/>
      <c r="B9074" s="77"/>
      <c r="C9074" s="78"/>
      <c r="D9074" s="78"/>
      <c r="E9074" s="78"/>
    </row>
    <row r="9075" spans="1:5">
      <c r="A9075" s="76" t="s">
        <v>3092</v>
      </c>
      <c r="B9075" s="77" t="s">
        <v>4470</v>
      </c>
      <c r="C9075" s="78"/>
      <c r="D9075" s="78"/>
      <c r="E9075" s="78"/>
    </row>
    <row r="9076" spans="1:5">
      <c r="A9076" s="76" t="s">
        <v>4471</v>
      </c>
      <c r="B9076" s="77"/>
      <c r="C9076" s="78"/>
      <c r="D9076" s="78"/>
      <c r="E9076" s="78"/>
    </row>
    <row r="9077" spans="1:5">
      <c r="A9077" s="76" t="s">
        <v>3085</v>
      </c>
      <c r="B9077" s="77"/>
      <c r="C9077" s="78"/>
      <c r="D9077" s="78"/>
      <c r="E9077" s="78"/>
    </row>
    <row r="9078" spans="1:5">
      <c r="A9078" s="76"/>
      <c r="B9078" s="77"/>
      <c r="C9078" s="78"/>
      <c r="D9078" s="78"/>
      <c r="E9078" s="78"/>
    </row>
    <row r="9079" spans="1:5">
      <c r="A9079" s="76" t="s">
        <v>2543</v>
      </c>
      <c r="B9079" s="77" t="s">
        <v>135</v>
      </c>
      <c r="C9079" s="78" t="s">
        <v>136</v>
      </c>
      <c r="D9079" s="78" t="s">
        <v>2534</v>
      </c>
      <c r="E9079" s="78" t="s">
        <v>2535</v>
      </c>
    </row>
    <row r="9080" spans="1:5">
      <c r="A9080" s="76" t="s">
        <v>4472</v>
      </c>
      <c r="B9080" s="77" t="s">
        <v>839</v>
      </c>
      <c r="C9080" s="78">
        <v>1</v>
      </c>
      <c r="D9080" s="78">
        <v>5.74</v>
      </c>
      <c r="E9080" s="78">
        <f>TRUNC(C9080*D9080,2)</f>
        <v>5.74</v>
      </c>
    </row>
    <row r="9081" spans="1:5">
      <c r="A9081" s="76" t="s">
        <v>4473</v>
      </c>
      <c r="B9081" s="77" t="s">
        <v>839</v>
      </c>
      <c r="C9081" s="78">
        <v>1</v>
      </c>
      <c r="D9081" s="78">
        <v>1.76</v>
      </c>
      <c r="E9081" s="78">
        <f>TRUNC(C9081*D9081,2)</f>
        <v>1.76</v>
      </c>
    </row>
    <row r="9082" spans="1:5">
      <c r="A9082" s="76" t="s">
        <v>4474</v>
      </c>
      <c r="B9082" s="77" t="s">
        <v>839</v>
      </c>
      <c r="C9082" s="78">
        <v>1</v>
      </c>
      <c r="D9082" s="78">
        <v>2.44</v>
      </c>
      <c r="E9082" s="78">
        <f>TRUNC(C9082*D9082,2)</f>
        <v>2.44</v>
      </c>
    </row>
    <row r="9083" spans="1:5">
      <c r="A9083" s="76" t="s">
        <v>4475</v>
      </c>
      <c r="B9083" s="77" t="s">
        <v>839</v>
      </c>
      <c r="C9083" s="78">
        <v>1</v>
      </c>
      <c r="D9083" s="78">
        <v>5.38</v>
      </c>
      <c r="E9083" s="78">
        <f>TRUNC(C9083*D9083,2)</f>
        <v>5.38</v>
      </c>
    </row>
    <row r="9084" spans="1:5">
      <c r="A9084" s="76" t="s">
        <v>122</v>
      </c>
      <c r="B9084" s="77"/>
      <c r="C9084" s="78"/>
      <c r="D9084" s="78"/>
      <c r="E9084" s="78">
        <f>SUM(E9080:E9083)</f>
        <v>15.32</v>
      </c>
    </row>
    <row r="9085" spans="1:5">
      <c r="A9085" s="76"/>
      <c r="B9085" s="77"/>
      <c r="C9085" s="78"/>
      <c r="D9085" s="78"/>
      <c r="E9085" s="78"/>
    </row>
    <row r="9086" spans="1:5">
      <c r="A9086" s="76" t="s">
        <v>2538</v>
      </c>
      <c r="B9086" s="77"/>
      <c r="C9086" s="78"/>
      <c r="D9086" s="78"/>
      <c r="E9086" s="78">
        <f>E9084</f>
        <v>15.32</v>
      </c>
    </row>
    <row r="9087" spans="1:5">
      <c r="A9087" s="76" t="s">
        <v>2539</v>
      </c>
      <c r="B9087" s="77"/>
      <c r="C9087" s="78"/>
      <c r="D9087" s="78">
        <v>0</v>
      </c>
      <c r="E9087" s="78">
        <f>TRUNC(D9087*E9086/100,2)</f>
        <v>0</v>
      </c>
    </row>
    <row r="9088" spans="1:5">
      <c r="A9088" s="76" t="s">
        <v>2540</v>
      </c>
      <c r="B9088" s="77"/>
      <c r="C9088" s="78"/>
      <c r="D9088" s="78"/>
      <c r="E9088" s="78">
        <f>E9086+E9087</f>
        <v>15.32</v>
      </c>
    </row>
    <row r="9089" spans="1:5">
      <c r="A9089" s="76"/>
      <c r="B9089" s="77"/>
      <c r="C9089" s="78"/>
      <c r="D9089" s="78"/>
      <c r="E9089" s="78"/>
    </row>
    <row r="9090" spans="1:5">
      <c r="A9090" s="76" t="s">
        <v>3092</v>
      </c>
      <c r="B9090" s="77" t="s">
        <v>4476</v>
      </c>
      <c r="C9090" s="78"/>
      <c r="D9090" s="78"/>
      <c r="E9090" s="78"/>
    </row>
    <row r="9091" spans="1:5">
      <c r="A9091" s="76" t="s">
        <v>4477</v>
      </c>
      <c r="B9091" s="77"/>
      <c r="C9091" s="78"/>
      <c r="D9091" s="78"/>
      <c r="E9091" s="78"/>
    </row>
    <row r="9092" spans="1:5">
      <c r="A9092" s="76" t="s">
        <v>2764</v>
      </c>
      <c r="B9092" s="77"/>
      <c r="C9092" s="78"/>
      <c r="D9092" s="78"/>
      <c r="E9092" s="78"/>
    </row>
    <row r="9093" spans="1:5">
      <c r="A9093" s="76"/>
      <c r="B9093" s="77"/>
      <c r="C9093" s="78"/>
      <c r="D9093" s="78"/>
      <c r="E9093" s="78"/>
    </row>
    <row r="9094" spans="1:5">
      <c r="A9094" s="76" t="s">
        <v>2543</v>
      </c>
      <c r="B9094" s="77" t="s">
        <v>135</v>
      </c>
      <c r="C9094" s="78" t="s">
        <v>136</v>
      </c>
      <c r="D9094" s="78" t="s">
        <v>2534</v>
      </c>
      <c r="E9094" s="78" t="s">
        <v>2535</v>
      </c>
    </row>
    <row r="9095" spans="1:5">
      <c r="A9095" s="76" t="s">
        <v>4478</v>
      </c>
      <c r="B9095" s="77" t="s">
        <v>494</v>
      </c>
      <c r="C9095" s="78">
        <v>4.568e-5</v>
      </c>
      <c r="D9095" s="78">
        <v>125853.85</v>
      </c>
      <c r="E9095" s="78">
        <f>TRUNC(C9095*D9095,2)</f>
        <v>5.74</v>
      </c>
    </row>
    <row r="9096" spans="1:5">
      <c r="A9096" s="76" t="s">
        <v>122</v>
      </c>
      <c r="B9096" s="77"/>
      <c r="C9096" s="78"/>
      <c r="D9096" s="78"/>
      <c r="E9096" s="78">
        <f>SUM(E9095:E9095)</f>
        <v>5.74</v>
      </c>
    </row>
    <row r="9097" spans="1:5">
      <c r="A9097" s="76"/>
      <c r="B9097" s="77"/>
      <c r="C9097" s="78"/>
      <c r="D9097" s="78"/>
      <c r="E9097" s="78"/>
    </row>
    <row r="9098" spans="1:5">
      <c r="A9098" s="76" t="s">
        <v>2538</v>
      </c>
      <c r="B9098" s="77"/>
      <c r="C9098" s="78"/>
      <c r="D9098" s="78"/>
      <c r="E9098" s="78">
        <f>E9096</f>
        <v>5.74</v>
      </c>
    </row>
    <row r="9099" spans="1:5">
      <c r="A9099" s="76" t="s">
        <v>2539</v>
      </c>
      <c r="B9099" s="77"/>
      <c r="C9099" s="78"/>
      <c r="D9099" s="78">
        <v>0</v>
      </c>
      <c r="E9099" s="78">
        <f>TRUNC(D9099*E9098/100,2)</f>
        <v>0</v>
      </c>
    </row>
    <row r="9100" spans="1:5">
      <c r="A9100" s="76" t="s">
        <v>2540</v>
      </c>
      <c r="B9100" s="77"/>
      <c r="C9100" s="78"/>
      <c r="D9100" s="78"/>
      <c r="E9100" s="78">
        <f>E9098+E9099</f>
        <v>5.74</v>
      </c>
    </row>
    <row r="9101" spans="1:5">
      <c r="A9101" s="76"/>
      <c r="B9101" s="77"/>
      <c r="C9101" s="78"/>
      <c r="D9101" s="78"/>
      <c r="E9101" s="78"/>
    </row>
    <row r="9102" spans="1:5">
      <c r="A9102" s="76" t="s">
        <v>3092</v>
      </c>
      <c r="B9102" s="77" t="s">
        <v>4479</v>
      </c>
      <c r="C9102" s="78"/>
      <c r="D9102" s="78"/>
      <c r="E9102" s="78"/>
    </row>
    <row r="9103" spans="1:5">
      <c r="A9103" s="76" t="s">
        <v>4480</v>
      </c>
      <c r="B9103" s="77"/>
      <c r="C9103" s="78"/>
      <c r="D9103" s="78"/>
      <c r="E9103" s="78"/>
    </row>
    <row r="9104" spans="1:5">
      <c r="A9104" s="76" t="s">
        <v>2764</v>
      </c>
      <c r="B9104" s="77"/>
      <c r="C9104" s="78"/>
      <c r="D9104" s="78"/>
      <c r="E9104" s="78"/>
    </row>
    <row r="9105" spans="1:5">
      <c r="A9105" s="76"/>
      <c r="B9105" s="77"/>
      <c r="C9105" s="78"/>
      <c r="D9105" s="78"/>
      <c r="E9105" s="78"/>
    </row>
    <row r="9106" spans="1:5">
      <c r="A9106" s="76" t="s">
        <v>2543</v>
      </c>
      <c r="B9106" s="77" t="s">
        <v>135</v>
      </c>
      <c r="C9106" s="78" t="s">
        <v>136</v>
      </c>
      <c r="D9106" s="78" t="s">
        <v>2534</v>
      </c>
      <c r="E9106" s="78" t="s">
        <v>2535</v>
      </c>
    </row>
    <row r="9107" spans="1:5">
      <c r="A9107" s="76" t="s">
        <v>4478</v>
      </c>
      <c r="B9107" s="77" t="s">
        <v>494</v>
      </c>
      <c r="C9107" s="78">
        <v>1.406e-5</v>
      </c>
      <c r="D9107" s="78">
        <v>125853.85</v>
      </c>
      <c r="E9107" s="78">
        <f>TRUNC(C9107*D9107,2)</f>
        <v>1.76</v>
      </c>
    </row>
    <row r="9108" spans="1:5">
      <c r="A9108" s="76" t="s">
        <v>122</v>
      </c>
      <c r="B9108" s="77"/>
      <c r="C9108" s="78"/>
      <c r="D9108" s="78"/>
      <c r="E9108" s="78">
        <f>SUM(E9107:E9107)</f>
        <v>1.76</v>
      </c>
    </row>
    <row r="9109" spans="1:5">
      <c r="A9109" s="76"/>
      <c r="B9109" s="77"/>
      <c r="C9109" s="78"/>
      <c r="D9109" s="78"/>
      <c r="E9109" s="78"/>
    </row>
    <row r="9110" spans="1:5">
      <c r="A9110" s="76" t="s">
        <v>2538</v>
      </c>
      <c r="B9110" s="77"/>
      <c r="C9110" s="78"/>
      <c r="D9110" s="78"/>
      <c r="E9110" s="78">
        <f>E9108</f>
        <v>1.76</v>
      </c>
    </row>
    <row r="9111" spans="1:5">
      <c r="A9111" s="76" t="s">
        <v>2539</v>
      </c>
      <c r="B9111" s="77"/>
      <c r="C9111" s="78"/>
      <c r="D9111" s="78">
        <v>0</v>
      </c>
      <c r="E9111" s="78">
        <f>TRUNC(D9111*E9110/100,2)</f>
        <v>0</v>
      </c>
    </row>
    <row r="9112" spans="1:5">
      <c r="A9112" s="76" t="s">
        <v>2540</v>
      </c>
      <c r="B9112" s="77"/>
      <c r="C9112" s="78"/>
      <c r="D9112" s="78"/>
      <c r="E9112" s="78">
        <f>E9110+E9111</f>
        <v>1.76</v>
      </c>
    </row>
    <row r="9113" spans="1:5">
      <c r="A9113" s="76"/>
      <c r="B9113" s="77"/>
      <c r="C9113" s="78"/>
      <c r="D9113" s="78"/>
      <c r="E9113" s="78"/>
    </row>
    <row r="9114" spans="1:5">
      <c r="A9114" s="76" t="s">
        <v>3092</v>
      </c>
      <c r="B9114" s="77" t="s">
        <v>4481</v>
      </c>
      <c r="C9114" s="78"/>
      <c r="D9114" s="78"/>
      <c r="E9114" s="78"/>
    </row>
    <row r="9115" spans="1:5">
      <c r="A9115" s="76" t="s">
        <v>4482</v>
      </c>
      <c r="B9115" s="77"/>
      <c r="C9115" s="78"/>
      <c r="D9115" s="78"/>
      <c r="E9115" s="78"/>
    </row>
    <row r="9116" spans="1:5">
      <c r="A9116" s="76" t="s">
        <v>2764</v>
      </c>
      <c r="B9116" s="77"/>
      <c r="C9116" s="78"/>
      <c r="D9116" s="78"/>
      <c r="E9116" s="78"/>
    </row>
    <row r="9117" spans="1:5">
      <c r="A9117" s="76"/>
      <c r="B9117" s="77"/>
      <c r="C9117" s="78"/>
      <c r="D9117" s="78"/>
      <c r="E9117" s="78"/>
    </row>
    <row r="9118" spans="1:5">
      <c r="A9118" s="76" t="s">
        <v>2543</v>
      </c>
      <c r="B9118" s="77" t="s">
        <v>135</v>
      </c>
      <c r="C9118" s="78" t="s">
        <v>136</v>
      </c>
      <c r="D9118" s="78" t="s">
        <v>2534</v>
      </c>
      <c r="E9118" s="78" t="s">
        <v>2535</v>
      </c>
    </row>
    <row r="9119" spans="1:5">
      <c r="A9119" s="76" t="s">
        <v>3242</v>
      </c>
      <c r="B9119" s="77" t="s">
        <v>1695</v>
      </c>
      <c r="C9119" s="78">
        <v>3.4</v>
      </c>
      <c r="D9119" s="78">
        <v>0.72</v>
      </c>
      <c r="E9119" s="78">
        <f>TRUNC(C9119*D9119,2)</f>
        <v>2.44</v>
      </c>
    </row>
    <row r="9120" spans="1:5">
      <c r="A9120" s="76" t="s">
        <v>122</v>
      </c>
      <c r="B9120" s="77"/>
      <c r="C9120" s="78"/>
      <c r="D9120" s="78"/>
      <c r="E9120" s="78">
        <f>SUM(E9119:E9119)</f>
        <v>2.44</v>
      </c>
    </row>
    <row r="9121" spans="1:5">
      <c r="A9121" s="76"/>
      <c r="B9121" s="77"/>
      <c r="C9121" s="78"/>
      <c r="D9121" s="78"/>
      <c r="E9121" s="78"/>
    </row>
    <row r="9122" spans="1:5">
      <c r="A9122" s="76" t="s">
        <v>2538</v>
      </c>
      <c r="B9122" s="77"/>
      <c r="C9122" s="78"/>
      <c r="D9122" s="78"/>
      <c r="E9122" s="78">
        <f>E9120</f>
        <v>2.44</v>
      </c>
    </row>
    <row r="9123" spans="1:5">
      <c r="A9123" s="76" t="s">
        <v>2539</v>
      </c>
      <c r="B9123" s="77"/>
      <c r="C9123" s="78"/>
      <c r="D9123" s="78">
        <v>0</v>
      </c>
      <c r="E9123" s="78">
        <f>TRUNC(D9123*E9122/100,2)</f>
        <v>0</v>
      </c>
    </row>
    <row r="9124" spans="1:5">
      <c r="A9124" s="76" t="s">
        <v>2540</v>
      </c>
      <c r="B9124" s="77"/>
      <c r="C9124" s="78"/>
      <c r="D9124" s="78"/>
      <c r="E9124" s="78">
        <f>E9122+E9123</f>
        <v>2.44</v>
      </c>
    </row>
    <row r="9125" spans="1:5">
      <c r="A9125" s="76"/>
      <c r="B9125" s="77"/>
      <c r="C9125" s="78"/>
      <c r="D9125" s="78"/>
      <c r="E9125" s="78"/>
    </row>
    <row r="9126" spans="1:5">
      <c r="A9126" s="76" t="s">
        <v>3092</v>
      </c>
      <c r="B9126" s="77" t="s">
        <v>4483</v>
      </c>
      <c r="C9126" s="78"/>
      <c r="D9126" s="78"/>
      <c r="E9126" s="78"/>
    </row>
    <row r="9127" spans="1:5">
      <c r="A9127" s="76" t="s">
        <v>4484</v>
      </c>
      <c r="B9127" s="77"/>
      <c r="C9127" s="78"/>
      <c r="D9127" s="78"/>
      <c r="E9127" s="78"/>
    </row>
    <row r="9128" spans="1:5">
      <c r="A9128" s="76" t="s">
        <v>2764</v>
      </c>
      <c r="B9128" s="77"/>
      <c r="C9128" s="78"/>
      <c r="D9128" s="78"/>
      <c r="E9128" s="78"/>
    </row>
    <row r="9129" spans="1:5">
      <c r="A9129" s="76"/>
      <c r="B9129" s="77"/>
      <c r="C9129" s="78"/>
      <c r="D9129" s="78"/>
      <c r="E9129" s="78"/>
    </row>
    <row r="9130" spans="1:5">
      <c r="A9130" s="76" t="s">
        <v>2543</v>
      </c>
      <c r="B9130" s="77" t="s">
        <v>135</v>
      </c>
      <c r="C9130" s="78" t="s">
        <v>136</v>
      </c>
      <c r="D9130" s="78" t="s">
        <v>2534</v>
      </c>
      <c r="E9130" s="78" t="s">
        <v>2535</v>
      </c>
    </row>
    <row r="9131" spans="1:5">
      <c r="A9131" s="76" t="s">
        <v>4478</v>
      </c>
      <c r="B9131" s="77" t="s">
        <v>494</v>
      </c>
      <c r="C9131" s="78">
        <v>4.282e-5</v>
      </c>
      <c r="D9131" s="78">
        <v>125853.85</v>
      </c>
      <c r="E9131" s="78">
        <f>TRUNC(C9131*D9131,2)</f>
        <v>5.38</v>
      </c>
    </row>
    <row r="9132" spans="1:5">
      <c r="A9132" s="76" t="s">
        <v>122</v>
      </c>
      <c r="B9132" s="77"/>
      <c r="C9132" s="78"/>
      <c r="D9132" s="78"/>
      <c r="E9132" s="78">
        <f>SUM(E9131:E9131)</f>
        <v>5.38</v>
      </c>
    </row>
    <row r="9133" spans="1:5">
      <c r="A9133" s="76"/>
      <c r="B9133" s="77"/>
      <c r="C9133" s="78"/>
      <c r="D9133" s="78"/>
      <c r="E9133" s="78"/>
    </row>
    <row r="9134" spans="1:5">
      <c r="A9134" s="76" t="s">
        <v>2538</v>
      </c>
      <c r="B9134" s="77"/>
      <c r="C9134" s="78"/>
      <c r="D9134" s="78"/>
      <c r="E9134" s="78">
        <f>E9132</f>
        <v>5.38</v>
      </c>
    </row>
    <row r="9135" spans="1:5">
      <c r="A9135" s="76" t="s">
        <v>2539</v>
      </c>
      <c r="B9135" s="77"/>
      <c r="C9135" s="78"/>
      <c r="D9135" s="78">
        <v>0</v>
      </c>
      <c r="E9135" s="78">
        <f>TRUNC(D9135*E9134/100,2)</f>
        <v>0</v>
      </c>
    </row>
    <row r="9136" spans="1:5">
      <c r="A9136" s="76" t="s">
        <v>2540</v>
      </c>
      <c r="B9136" s="77"/>
      <c r="C9136" s="78"/>
      <c r="D9136" s="78"/>
      <c r="E9136" s="78">
        <f>E9134+E9135</f>
        <v>5.38</v>
      </c>
    </row>
    <row r="9137" spans="1:5">
      <c r="A9137" s="76"/>
      <c r="B9137" s="77"/>
      <c r="C9137" s="78"/>
      <c r="D9137" s="78"/>
      <c r="E9137" s="78"/>
    </row>
    <row r="9138" spans="1:5">
      <c r="A9138" s="76" t="s">
        <v>3092</v>
      </c>
      <c r="B9138" s="77" t="s">
        <v>4485</v>
      </c>
      <c r="C9138" s="78"/>
      <c r="D9138" s="78"/>
      <c r="E9138" s="78"/>
    </row>
    <row r="9139" spans="1:5">
      <c r="A9139" s="76" t="s">
        <v>4486</v>
      </c>
      <c r="B9139" s="77"/>
      <c r="C9139" s="78"/>
      <c r="D9139" s="78"/>
      <c r="E9139" s="78"/>
    </row>
    <row r="9140" spans="1:5">
      <c r="A9140" s="76" t="s">
        <v>2563</v>
      </c>
      <c r="B9140" s="77"/>
      <c r="C9140" s="78"/>
      <c r="D9140" s="78"/>
      <c r="E9140" s="78"/>
    </row>
    <row r="9141" spans="1:5">
      <c r="A9141" s="76"/>
      <c r="B9141" s="77"/>
      <c r="C9141" s="78"/>
      <c r="D9141" s="78"/>
      <c r="E9141" s="78"/>
    </row>
    <row r="9142" spans="1:5">
      <c r="A9142" s="76" t="s">
        <v>2543</v>
      </c>
      <c r="B9142" s="77" t="s">
        <v>135</v>
      </c>
      <c r="C9142" s="78" t="s">
        <v>136</v>
      </c>
      <c r="D9142" s="78" t="s">
        <v>2534</v>
      </c>
      <c r="E9142" s="78" t="s">
        <v>2535</v>
      </c>
    </row>
    <row r="9143" spans="1:5">
      <c r="A9143" s="76" t="s">
        <v>4487</v>
      </c>
      <c r="B9143" s="77" t="s">
        <v>463</v>
      </c>
      <c r="C9143" s="78">
        <v>0.112</v>
      </c>
      <c r="D9143" s="78">
        <v>69.44</v>
      </c>
      <c r="E9143" s="78">
        <f>TRUNC(C9143*D9143,2)</f>
        <v>7.77</v>
      </c>
    </row>
    <row r="9144" spans="1:5">
      <c r="A9144" s="76" t="s">
        <v>2566</v>
      </c>
      <c r="B9144" s="77" t="s">
        <v>839</v>
      </c>
      <c r="C9144" s="78">
        <v>0.05221932</v>
      </c>
      <c r="D9144" s="78">
        <v>24.4</v>
      </c>
      <c r="E9144" s="78">
        <f>TRUNC(C9144*D9144,2)</f>
        <v>1.27</v>
      </c>
    </row>
    <row r="9145" spans="1:5">
      <c r="A9145" s="76" t="s">
        <v>2567</v>
      </c>
      <c r="B9145" s="77" t="s">
        <v>839</v>
      </c>
      <c r="C9145" s="78">
        <v>0.10443864</v>
      </c>
      <c r="D9145" s="78">
        <v>33.01</v>
      </c>
      <c r="E9145" s="78">
        <f>TRUNC(C9145*D9145,2)</f>
        <v>3.44</v>
      </c>
    </row>
    <row r="9146" ht="25.5" spans="1:5">
      <c r="A9146" s="76" t="s">
        <v>4488</v>
      </c>
      <c r="B9146" s="77" t="s">
        <v>977</v>
      </c>
      <c r="C9146" s="78">
        <v>0.05221932</v>
      </c>
      <c r="D9146" s="78">
        <v>46.64</v>
      </c>
      <c r="E9146" s="78">
        <f>TRUNC(C9146*D9146,2)</f>
        <v>2.43</v>
      </c>
    </row>
    <row r="9147" ht="25.5" spans="1:5">
      <c r="A9147" s="76" t="s">
        <v>2568</v>
      </c>
      <c r="B9147" s="77" t="s">
        <v>601</v>
      </c>
      <c r="C9147" s="78">
        <v>0.00011</v>
      </c>
      <c r="D9147" s="78">
        <v>33.98</v>
      </c>
      <c r="E9147" s="78">
        <f>TRUNC(C9147*D9147,2)</f>
        <v>0</v>
      </c>
    </row>
    <row r="9148" spans="1:5">
      <c r="A9148" s="76" t="s">
        <v>122</v>
      </c>
      <c r="B9148" s="77"/>
      <c r="C9148" s="78"/>
      <c r="D9148" s="78"/>
      <c r="E9148" s="78">
        <f>SUM(E9143:E9147)</f>
        <v>14.91</v>
      </c>
    </row>
    <row r="9149" spans="1:5">
      <c r="A9149" s="76"/>
      <c r="B9149" s="77"/>
      <c r="C9149" s="78"/>
      <c r="D9149" s="78"/>
      <c r="E9149" s="78"/>
    </row>
    <row r="9150" spans="1:5">
      <c r="A9150" s="76" t="s">
        <v>2538</v>
      </c>
      <c r="B9150" s="77"/>
      <c r="C9150" s="78"/>
      <c r="D9150" s="78"/>
      <c r="E9150" s="78">
        <f>E9148</f>
        <v>14.91</v>
      </c>
    </row>
    <row r="9151" spans="1:5">
      <c r="A9151" s="76" t="s">
        <v>2539</v>
      </c>
      <c r="B9151" s="77"/>
      <c r="C9151" s="78"/>
      <c r="D9151" s="78">
        <v>0</v>
      </c>
      <c r="E9151" s="78">
        <f>TRUNC(D9151*E9150/100,2)</f>
        <v>0</v>
      </c>
    </row>
    <row r="9152" spans="1:5">
      <c r="A9152" s="76" t="s">
        <v>2540</v>
      </c>
      <c r="B9152" s="77"/>
      <c r="C9152" s="78"/>
      <c r="D9152" s="78"/>
      <c r="E9152" s="78">
        <f>E9150+E9151</f>
        <v>14.91</v>
      </c>
    </row>
    <row r="9153" spans="1:5">
      <c r="A9153" s="76"/>
      <c r="B9153" s="77"/>
      <c r="C9153" s="78"/>
      <c r="D9153" s="78"/>
      <c r="E9153" s="78"/>
    </row>
    <row r="9154" spans="1:5">
      <c r="A9154" s="76" t="s">
        <v>3092</v>
      </c>
      <c r="B9154" s="77" t="s">
        <v>4489</v>
      </c>
      <c r="C9154" s="78"/>
      <c r="D9154" s="78"/>
      <c r="E9154" s="78"/>
    </row>
    <row r="9155" ht="25.5" spans="1:5">
      <c r="A9155" s="76" t="s">
        <v>4490</v>
      </c>
      <c r="B9155" s="77"/>
      <c r="C9155" s="78"/>
      <c r="D9155" s="78"/>
      <c r="E9155" s="78"/>
    </row>
    <row r="9156" spans="1:5">
      <c r="A9156" s="76" t="s">
        <v>3085</v>
      </c>
      <c r="B9156" s="77"/>
      <c r="C9156" s="78"/>
      <c r="D9156" s="78"/>
      <c r="E9156" s="78"/>
    </row>
    <row r="9157" spans="1:5">
      <c r="A9157" s="76"/>
      <c r="B9157" s="77"/>
      <c r="C9157" s="78"/>
      <c r="D9157" s="78"/>
      <c r="E9157" s="78"/>
    </row>
    <row r="9158" spans="1:5">
      <c r="A9158" s="76" t="s">
        <v>2543</v>
      </c>
      <c r="B9158" s="77" t="s">
        <v>135</v>
      </c>
      <c r="C9158" s="78" t="s">
        <v>136</v>
      </c>
      <c r="D9158" s="78" t="s">
        <v>2534</v>
      </c>
      <c r="E9158" s="78" t="s">
        <v>2535</v>
      </c>
    </row>
    <row r="9159" ht="25.5" spans="1:5">
      <c r="A9159" s="76" t="s">
        <v>3273</v>
      </c>
      <c r="B9159" s="77" t="s">
        <v>839</v>
      </c>
      <c r="C9159" s="78">
        <v>1</v>
      </c>
      <c r="D9159" s="78">
        <v>26.06</v>
      </c>
      <c r="E9159" s="78">
        <f>TRUNC(C9159*D9159,2)</f>
        <v>26.06</v>
      </c>
    </row>
    <row r="9160" ht="25.5" spans="1:5">
      <c r="A9160" s="76" t="s">
        <v>4491</v>
      </c>
      <c r="B9160" s="77" t="s">
        <v>839</v>
      </c>
      <c r="C9160" s="78">
        <v>1</v>
      </c>
      <c r="D9160" s="78">
        <v>8.29</v>
      </c>
      <c r="E9160" s="78">
        <f>TRUNC(C9160*D9160,2)</f>
        <v>8.29</v>
      </c>
    </row>
    <row r="9161" ht="25.5" spans="1:5">
      <c r="A9161" s="76" t="s">
        <v>4492</v>
      </c>
      <c r="B9161" s="77" t="s">
        <v>839</v>
      </c>
      <c r="C9161" s="78">
        <v>1</v>
      </c>
      <c r="D9161" s="78">
        <v>2.26</v>
      </c>
      <c r="E9161" s="78">
        <f>TRUNC(C9161*D9161,2)</f>
        <v>2.26</v>
      </c>
    </row>
    <row r="9162" ht="25.5" spans="1:5">
      <c r="A9162" s="76" t="s">
        <v>4493</v>
      </c>
      <c r="B9162" s="77" t="s">
        <v>839</v>
      </c>
      <c r="C9162" s="78">
        <v>1</v>
      </c>
      <c r="D9162" s="78">
        <v>4.28</v>
      </c>
      <c r="E9162" s="78">
        <f>TRUNC(C9162*D9162,2)</f>
        <v>4.28</v>
      </c>
    </row>
    <row r="9163" ht="25.5" spans="1:5">
      <c r="A9163" s="76" t="s">
        <v>4494</v>
      </c>
      <c r="B9163" s="77" t="s">
        <v>839</v>
      </c>
      <c r="C9163" s="78">
        <v>1</v>
      </c>
      <c r="D9163" s="78">
        <v>5.75</v>
      </c>
      <c r="E9163" s="78">
        <f>TRUNC(C9163*D9163,2)</f>
        <v>5.75</v>
      </c>
    </row>
    <row r="9164" spans="1:5">
      <c r="A9164" s="76" t="s">
        <v>122</v>
      </c>
      <c r="B9164" s="77"/>
      <c r="C9164" s="78"/>
      <c r="D9164" s="78"/>
      <c r="E9164" s="78">
        <f>SUM(E9159:E9163)</f>
        <v>46.64</v>
      </c>
    </row>
    <row r="9165" spans="1:5">
      <c r="A9165" s="76"/>
      <c r="B9165" s="77"/>
      <c r="C9165" s="78"/>
      <c r="D9165" s="78"/>
      <c r="E9165" s="78"/>
    </row>
    <row r="9166" spans="1:5">
      <c r="A9166" s="76" t="s">
        <v>2538</v>
      </c>
      <c r="B9166" s="77"/>
      <c r="C9166" s="78"/>
      <c r="D9166" s="78"/>
      <c r="E9166" s="78">
        <f>E9164</f>
        <v>46.64</v>
      </c>
    </row>
    <row r="9167" spans="1:5">
      <c r="A9167" s="76" t="s">
        <v>2539</v>
      </c>
      <c r="B9167" s="77"/>
      <c r="C9167" s="78"/>
      <c r="D9167" s="78">
        <v>0</v>
      </c>
      <c r="E9167" s="78">
        <f>TRUNC(D9167*E9166/100,2)</f>
        <v>0</v>
      </c>
    </row>
    <row r="9168" spans="1:5">
      <c r="A9168" s="76" t="s">
        <v>2540</v>
      </c>
      <c r="B9168" s="77"/>
      <c r="C9168" s="78"/>
      <c r="D9168" s="78"/>
      <c r="E9168" s="78">
        <f>E9166+E9167</f>
        <v>46.64</v>
      </c>
    </row>
    <row r="9169" spans="1:5">
      <c r="A9169" s="76"/>
      <c r="B9169" s="77"/>
      <c r="C9169" s="78"/>
      <c r="D9169" s="78"/>
      <c r="E9169" s="78"/>
    </row>
    <row r="9170" spans="1:5">
      <c r="A9170" s="76" t="s">
        <v>3092</v>
      </c>
      <c r="B9170" s="77" t="s">
        <v>4495</v>
      </c>
      <c r="C9170" s="78"/>
      <c r="D9170" s="78"/>
      <c r="E9170" s="78"/>
    </row>
    <row r="9171" ht="25.5" spans="1:5">
      <c r="A9171" s="76" t="s">
        <v>4496</v>
      </c>
      <c r="B9171" s="77"/>
      <c r="C9171" s="78"/>
      <c r="D9171" s="78"/>
      <c r="E9171" s="78"/>
    </row>
    <row r="9172" spans="1:5">
      <c r="A9172" s="76" t="s">
        <v>2764</v>
      </c>
      <c r="B9172" s="77"/>
      <c r="C9172" s="78"/>
      <c r="D9172" s="78"/>
      <c r="E9172" s="78"/>
    </row>
    <row r="9173" spans="1:5">
      <c r="A9173" s="76"/>
      <c r="B9173" s="77"/>
      <c r="C9173" s="78"/>
      <c r="D9173" s="78"/>
      <c r="E9173" s="78"/>
    </row>
    <row r="9174" spans="1:5">
      <c r="A9174" s="76" t="s">
        <v>279</v>
      </c>
      <c r="B9174" s="77" t="s">
        <v>135</v>
      </c>
      <c r="C9174" s="78" t="s">
        <v>136</v>
      </c>
      <c r="D9174" s="78" t="s">
        <v>2534</v>
      </c>
      <c r="E9174" s="78" t="s">
        <v>2535</v>
      </c>
    </row>
    <row r="9175" ht="25.5" spans="1:5">
      <c r="A9175" s="76" t="s">
        <v>4497</v>
      </c>
      <c r="B9175" s="77" t="s">
        <v>494</v>
      </c>
      <c r="C9175" s="78">
        <v>5.142e-5</v>
      </c>
      <c r="D9175" s="78">
        <v>161392.72</v>
      </c>
      <c r="E9175" s="78">
        <f>TRUNC(C9175*D9175,2)</f>
        <v>8.29</v>
      </c>
    </row>
    <row r="9176" spans="1:5">
      <c r="A9176" s="76" t="s">
        <v>122</v>
      </c>
      <c r="B9176" s="77"/>
      <c r="C9176" s="78"/>
      <c r="D9176" s="78"/>
      <c r="E9176" s="78">
        <f>SUM(E9175:E9175)</f>
        <v>8.29</v>
      </c>
    </row>
    <row r="9177" spans="1:5">
      <c r="A9177" s="76"/>
      <c r="B9177" s="77"/>
      <c r="C9177" s="78"/>
      <c r="D9177" s="78"/>
      <c r="E9177" s="78"/>
    </row>
    <row r="9178" spans="1:5">
      <c r="A9178" s="76" t="s">
        <v>2538</v>
      </c>
      <c r="B9178" s="77"/>
      <c r="C9178" s="78"/>
      <c r="D9178" s="78"/>
      <c r="E9178" s="78">
        <f>E9176</f>
        <v>8.29</v>
      </c>
    </row>
    <row r="9179" spans="1:5">
      <c r="A9179" s="76" t="s">
        <v>2539</v>
      </c>
      <c r="B9179" s="77"/>
      <c r="C9179" s="78"/>
      <c r="D9179" s="78">
        <v>0</v>
      </c>
      <c r="E9179" s="78">
        <f>TRUNC(D9179*E9178/100,2)</f>
        <v>0</v>
      </c>
    </row>
    <row r="9180" spans="1:5">
      <c r="A9180" s="76" t="s">
        <v>2540</v>
      </c>
      <c r="B9180" s="77"/>
      <c r="C9180" s="78"/>
      <c r="D9180" s="78"/>
      <c r="E9180" s="78">
        <f>E9178+E9179</f>
        <v>8.29</v>
      </c>
    </row>
    <row r="9181" spans="1:5">
      <c r="A9181" s="76"/>
      <c r="B9181" s="77"/>
      <c r="C9181" s="78"/>
      <c r="D9181" s="78"/>
      <c r="E9181" s="78"/>
    </row>
    <row r="9182" spans="1:5">
      <c r="A9182" s="76" t="s">
        <v>3092</v>
      </c>
      <c r="B9182" s="77" t="s">
        <v>4498</v>
      </c>
      <c r="C9182" s="78"/>
      <c r="D9182" s="78"/>
      <c r="E9182" s="78"/>
    </row>
    <row r="9183" ht="25.5" spans="1:5">
      <c r="A9183" s="76" t="s">
        <v>4499</v>
      </c>
      <c r="B9183" s="77"/>
      <c r="C9183" s="78"/>
      <c r="D9183" s="78"/>
      <c r="E9183" s="78"/>
    </row>
    <row r="9184" spans="1:5">
      <c r="A9184" s="76" t="s">
        <v>2764</v>
      </c>
      <c r="B9184" s="77"/>
      <c r="C9184" s="78"/>
      <c r="D9184" s="78"/>
      <c r="E9184" s="78"/>
    </row>
    <row r="9185" spans="1:5">
      <c r="A9185" s="76"/>
      <c r="B9185" s="77"/>
      <c r="C9185" s="78"/>
      <c r="D9185" s="78"/>
      <c r="E9185" s="78"/>
    </row>
    <row r="9186" spans="1:5">
      <c r="A9186" s="76" t="s">
        <v>279</v>
      </c>
      <c r="B9186" s="77" t="s">
        <v>135</v>
      </c>
      <c r="C9186" s="78" t="s">
        <v>136</v>
      </c>
      <c r="D9186" s="78" t="s">
        <v>2534</v>
      </c>
      <c r="E9186" s="78" t="s">
        <v>2535</v>
      </c>
    </row>
    <row r="9187" ht="25.5" spans="1:5">
      <c r="A9187" s="76" t="s">
        <v>4497</v>
      </c>
      <c r="B9187" s="77" t="s">
        <v>494</v>
      </c>
      <c r="C9187" s="78">
        <v>1.406e-5</v>
      </c>
      <c r="D9187" s="78">
        <v>161392.72</v>
      </c>
      <c r="E9187" s="78">
        <f>TRUNC(C9187*D9187,2)</f>
        <v>2.26</v>
      </c>
    </row>
    <row r="9188" spans="1:5">
      <c r="A9188" s="76" t="s">
        <v>122</v>
      </c>
      <c r="B9188" s="77"/>
      <c r="C9188" s="78"/>
      <c r="D9188" s="78"/>
      <c r="E9188" s="78">
        <f>SUM(E9187:E9187)</f>
        <v>2.26</v>
      </c>
    </row>
    <row r="9189" spans="1:5">
      <c r="A9189" s="76"/>
      <c r="B9189" s="77"/>
      <c r="C9189" s="78"/>
      <c r="D9189" s="78"/>
      <c r="E9189" s="78"/>
    </row>
    <row r="9190" spans="1:5">
      <c r="A9190" s="76" t="s">
        <v>2538</v>
      </c>
      <c r="B9190" s="77"/>
      <c r="C9190" s="78"/>
      <c r="D9190" s="78"/>
      <c r="E9190" s="78">
        <f>E9188</f>
        <v>2.26</v>
      </c>
    </row>
    <row r="9191" spans="1:5">
      <c r="A9191" s="76" t="s">
        <v>2539</v>
      </c>
      <c r="B9191" s="77"/>
      <c r="C9191" s="78"/>
      <c r="D9191" s="78">
        <v>0</v>
      </c>
      <c r="E9191" s="78">
        <f>TRUNC(D9191*E9190/100,2)</f>
        <v>0</v>
      </c>
    </row>
    <row r="9192" spans="1:5">
      <c r="A9192" s="76" t="s">
        <v>2540</v>
      </c>
      <c r="B9192" s="77"/>
      <c r="C9192" s="78"/>
      <c r="D9192" s="78"/>
      <c r="E9192" s="78">
        <f>E9190+E9191</f>
        <v>2.26</v>
      </c>
    </row>
    <row r="9193" spans="1:5">
      <c r="A9193" s="76"/>
      <c r="B9193" s="77"/>
      <c r="C9193" s="78"/>
      <c r="D9193" s="78"/>
      <c r="E9193" s="78"/>
    </row>
    <row r="9194" spans="1:5">
      <c r="A9194" s="76" t="s">
        <v>3092</v>
      </c>
      <c r="B9194" s="77" t="s">
        <v>4500</v>
      </c>
      <c r="C9194" s="78"/>
      <c r="D9194" s="78"/>
      <c r="E9194" s="78"/>
    </row>
    <row r="9195" ht="25.5" spans="1:5">
      <c r="A9195" s="76" t="s">
        <v>4501</v>
      </c>
      <c r="B9195" s="77"/>
      <c r="C9195" s="78"/>
      <c r="D9195" s="78"/>
      <c r="E9195" s="78"/>
    </row>
    <row r="9196" spans="1:5">
      <c r="A9196" s="76" t="s">
        <v>2764</v>
      </c>
      <c r="B9196" s="77"/>
      <c r="C9196" s="78"/>
      <c r="D9196" s="78"/>
      <c r="E9196" s="78"/>
    </row>
    <row r="9197" spans="1:5">
      <c r="A9197" s="76"/>
      <c r="B9197" s="77"/>
      <c r="C9197" s="78"/>
      <c r="D9197" s="78"/>
      <c r="E9197" s="78"/>
    </row>
    <row r="9198" spans="1:5">
      <c r="A9198" s="76" t="s">
        <v>2543</v>
      </c>
      <c r="B9198" s="77" t="s">
        <v>135</v>
      </c>
      <c r="C9198" s="78" t="s">
        <v>136</v>
      </c>
      <c r="D9198" s="78" t="s">
        <v>2534</v>
      </c>
      <c r="E9198" s="78" t="s">
        <v>2535</v>
      </c>
    </row>
    <row r="9199" spans="1:5">
      <c r="A9199" s="76" t="s">
        <v>3242</v>
      </c>
      <c r="B9199" s="77" t="s">
        <v>1695</v>
      </c>
      <c r="C9199" s="78">
        <v>5.95</v>
      </c>
      <c r="D9199" s="78">
        <v>0.72</v>
      </c>
      <c r="E9199" s="78">
        <f>TRUNC(C9199*D9199,2)</f>
        <v>4.28</v>
      </c>
    </row>
    <row r="9200" spans="1:5">
      <c r="A9200" s="76" t="s">
        <v>122</v>
      </c>
      <c r="B9200" s="77"/>
      <c r="C9200" s="78"/>
      <c r="D9200" s="78"/>
      <c r="E9200" s="78">
        <f>SUM(E9199:E9199)</f>
        <v>4.28</v>
      </c>
    </row>
    <row r="9201" spans="1:5">
      <c r="A9201" s="76"/>
      <c r="B9201" s="77"/>
      <c r="C9201" s="78"/>
      <c r="D9201" s="78"/>
      <c r="E9201" s="78"/>
    </row>
    <row r="9202" spans="1:5">
      <c r="A9202" s="76" t="s">
        <v>2538</v>
      </c>
      <c r="B9202" s="77"/>
      <c r="C9202" s="78"/>
      <c r="D9202" s="78"/>
      <c r="E9202" s="78">
        <f>E9200</f>
        <v>4.28</v>
      </c>
    </row>
    <row r="9203" spans="1:5">
      <c r="A9203" s="76" t="s">
        <v>2539</v>
      </c>
      <c r="B9203" s="77"/>
      <c r="C9203" s="78"/>
      <c r="D9203" s="78">
        <v>0</v>
      </c>
      <c r="E9203" s="78">
        <f>TRUNC(D9203*E9202/100,2)</f>
        <v>0</v>
      </c>
    </row>
    <row r="9204" spans="1:5">
      <c r="A9204" s="76" t="s">
        <v>2540</v>
      </c>
      <c r="B9204" s="77"/>
      <c r="C9204" s="78"/>
      <c r="D9204" s="78"/>
      <c r="E9204" s="78">
        <f>E9202+E9203</f>
        <v>4.28</v>
      </c>
    </row>
    <row r="9205" spans="1:5">
      <c r="A9205" s="76"/>
      <c r="B9205" s="77"/>
      <c r="C9205" s="78"/>
      <c r="D9205" s="78"/>
      <c r="E9205" s="78"/>
    </row>
    <row r="9206" spans="1:5">
      <c r="A9206" s="76" t="s">
        <v>3092</v>
      </c>
      <c r="B9206" s="77" t="s">
        <v>4502</v>
      </c>
      <c r="C9206" s="78"/>
      <c r="D9206" s="78"/>
      <c r="E9206" s="78"/>
    </row>
    <row r="9207" ht="25.5" spans="1:5">
      <c r="A9207" s="76" t="s">
        <v>4503</v>
      </c>
      <c r="B9207" s="77"/>
      <c r="C9207" s="78"/>
      <c r="D9207" s="78"/>
      <c r="E9207" s="78"/>
    </row>
    <row r="9208" spans="1:5">
      <c r="A9208" s="76" t="s">
        <v>2764</v>
      </c>
      <c r="B9208" s="77"/>
      <c r="C9208" s="78"/>
      <c r="D9208" s="78"/>
      <c r="E9208" s="78"/>
    </row>
    <row r="9209" spans="1:5">
      <c r="A9209" s="76"/>
      <c r="B9209" s="77"/>
      <c r="C9209" s="78"/>
      <c r="D9209" s="78"/>
      <c r="E9209" s="78"/>
    </row>
    <row r="9210" spans="1:5">
      <c r="A9210" s="76" t="s">
        <v>279</v>
      </c>
      <c r="B9210" s="77" t="s">
        <v>135</v>
      </c>
      <c r="C9210" s="78" t="s">
        <v>136</v>
      </c>
      <c r="D9210" s="78" t="s">
        <v>2534</v>
      </c>
      <c r="E9210" s="78" t="s">
        <v>2535</v>
      </c>
    </row>
    <row r="9211" ht="25.5" spans="1:5">
      <c r="A9211" s="76" t="s">
        <v>4497</v>
      </c>
      <c r="B9211" s="77" t="s">
        <v>494</v>
      </c>
      <c r="C9211" s="78">
        <v>3.568e-5</v>
      </c>
      <c r="D9211" s="78">
        <v>161392.72</v>
      </c>
      <c r="E9211" s="78">
        <f>TRUNC(C9211*D9211,2)</f>
        <v>5.75</v>
      </c>
    </row>
    <row r="9212" spans="1:5">
      <c r="A9212" s="76" t="s">
        <v>122</v>
      </c>
      <c r="B9212" s="77"/>
      <c r="C9212" s="78"/>
      <c r="D9212" s="78"/>
      <c r="E9212" s="78">
        <f>SUM(E9211:E9211)</f>
        <v>5.75</v>
      </c>
    </row>
    <row r="9213" spans="1:5">
      <c r="A9213" s="76"/>
      <c r="B9213" s="77"/>
      <c r="C9213" s="78"/>
      <c r="D9213" s="78"/>
      <c r="E9213" s="78"/>
    </row>
    <row r="9214" spans="1:5">
      <c r="A9214" s="76" t="s">
        <v>2538</v>
      </c>
      <c r="B9214" s="77"/>
      <c r="C9214" s="78"/>
      <c r="D9214" s="78"/>
      <c r="E9214" s="78">
        <f>E9212</f>
        <v>5.75</v>
      </c>
    </row>
    <row r="9215" spans="1:5">
      <c r="A9215" s="76" t="s">
        <v>2539</v>
      </c>
      <c r="B9215" s="77"/>
      <c r="C9215" s="78"/>
      <c r="D9215" s="78">
        <v>0</v>
      </c>
      <c r="E9215" s="78">
        <f>TRUNC(D9215*E9214/100,2)</f>
        <v>0</v>
      </c>
    </row>
    <row r="9216" spans="1:5">
      <c r="A9216" s="76" t="s">
        <v>2540</v>
      </c>
      <c r="B9216" s="77"/>
      <c r="C9216" s="78"/>
      <c r="D9216" s="78"/>
      <c r="E9216" s="78">
        <f>E9214+E9215</f>
        <v>5.75</v>
      </c>
    </row>
    <row r="9217" spans="1:5">
      <c r="A9217" s="76"/>
      <c r="B9217" s="77"/>
      <c r="C9217" s="78"/>
      <c r="D9217" s="78"/>
      <c r="E9217" s="78"/>
    </row>
    <row r="9218" spans="1:5">
      <c r="A9218" s="76" t="s">
        <v>3092</v>
      </c>
      <c r="B9218" s="77" t="s">
        <v>4504</v>
      </c>
      <c r="C9218" s="78"/>
      <c r="D9218" s="78"/>
      <c r="E9218" s="78"/>
    </row>
    <row r="9219" ht="25.5" spans="1:5">
      <c r="A9219" s="76" t="s">
        <v>4505</v>
      </c>
      <c r="B9219" s="77"/>
      <c r="C9219" s="78"/>
      <c r="D9219" s="78"/>
      <c r="E9219" s="78"/>
    </row>
    <row r="9220" spans="1:5">
      <c r="A9220" s="76" t="s">
        <v>2776</v>
      </c>
      <c r="B9220" s="77"/>
      <c r="C9220" s="78"/>
      <c r="D9220" s="78"/>
      <c r="E9220" s="78"/>
    </row>
    <row r="9221" spans="1:5">
      <c r="A9221" s="76"/>
      <c r="B9221" s="77"/>
      <c r="C9221" s="78"/>
      <c r="D9221" s="78"/>
      <c r="E9221" s="78"/>
    </row>
    <row r="9222" spans="1:5">
      <c r="A9222" s="76" t="s">
        <v>2543</v>
      </c>
      <c r="B9222" s="77" t="s">
        <v>135</v>
      </c>
      <c r="C9222" s="78" t="s">
        <v>136</v>
      </c>
      <c r="D9222" s="78" t="s">
        <v>2534</v>
      </c>
      <c r="E9222" s="78" t="s">
        <v>2535</v>
      </c>
    </row>
    <row r="9223" spans="1:5">
      <c r="A9223" s="76" t="s">
        <v>4506</v>
      </c>
      <c r="B9223" s="77" t="s">
        <v>463</v>
      </c>
      <c r="C9223" s="78">
        <v>1</v>
      </c>
      <c r="D9223" s="78">
        <v>34.86</v>
      </c>
      <c r="E9223" s="78">
        <f>TRUNC(C9223*D9223,2)</f>
        <v>34.86</v>
      </c>
    </row>
    <row r="9224" spans="1:5">
      <c r="A9224" s="76" t="s">
        <v>2566</v>
      </c>
      <c r="B9224" s="77" t="s">
        <v>839</v>
      </c>
      <c r="C9224" s="78">
        <v>0.74549534</v>
      </c>
      <c r="D9224" s="78">
        <v>24.4</v>
      </c>
      <c r="E9224" s="78">
        <f>TRUNC(C9224*D9224,2)</f>
        <v>18.19</v>
      </c>
    </row>
    <row r="9225" spans="1:5">
      <c r="A9225" s="76" t="s">
        <v>3590</v>
      </c>
      <c r="B9225" s="77" t="s">
        <v>839</v>
      </c>
      <c r="C9225" s="78">
        <v>0.74549534</v>
      </c>
      <c r="D9225" s="78">
        <v>32.07</v>
      </c>
      <c r="E9225" s="78">
        <f>TRUNC(C9225*D9225,2)</f>
        <v>23.9</v>
      </c>
    </row>
    <row r="9226" spans="1:5">
      <c r="A9226" s="76" t="s">
        <v>4507</v>
      </c>
      <c r="B9226" s="77" t="s">
        <v>977</v>
      </c>
      <c r="C9226" s="78">
        <v>0.74549534</v>
      </c>
      <c r="D9226" s="78">
        <v>5.77</v>
      </c>
      <c r="E9226" s="78">
        <f>TRUNC(C9226*D9226,2)</f>
        <v>4.3</v>
      </c>
    </row>
    <row r="9227" ht="25.5" spans="1:5">
      <c r="A9227" s="76" t="s">
        <v>2568</v>
      </c>
      <c r="B9227" s="77" t="s">
        <v>601</v>
      </c>
      <c r="C9227" s="78">
        <v>0.001</v>
      </c>
      <c r="D9227" s="78">
        <v>33.98</v>
      </c>
      <c r="E9227" s="78">
        <f>TRUNC(C9227*D9227,2)</f>
        <v>0.03</v>
      </c>
    </row>
    <row r="9228" spans="1:5">
      <c r="A9228" s="76" t="s">
        <v>122</v>
      </c>
      <c r="B9228" s="77"/>
      <c r="C9228" s="78"/>
      <c r="D9228" s="78"/>
      <c r="E9228" s="78">
        <f>SUM(E9223:E9227)</f>
        <v>81.28</v>
      </c>
    </row>
    <row r="9229" spans="1:5">
      <c r="A9229" s="76"/>
      <c r="B9229" s="77"/>
      <c r="C9229" s="78"/>
      <c r="D9229" s="78"/>
      <c r="E9229" s="78"/>
    </row>
    <row r="9230" spans="1:5">
      <c r="A9230" s="76" t="s">
        <v>2538</v>
      </c>
      <c r="B9230" s="77"/>
      <c r="C9230" s="78"/>
      <c r="D9230" s="78"/>
      <c r="E9230" s="78">
        <f>E9228</f>
        <v>81.28</v>
      </c>
    </row>
    <row r="9231" spans="1:5">
      <c r="A9231" s="76" t="s">
        <v>2539</v>
      </c>
      <c r="B9231" s="77"/>
      <c r="C9231" s="78"/>
      <c r="D9231" s="78">
        <v>0</v>
      </c>
      <c r="E9231" s="78">
        <f>TRUNC(D9231*E9230/100,2)</f>
        <v>0</v>
      </c>
    </row>
    <row r="9232" spans="1:5">
      <c r="A9232" s="76" t="s">
        <v>2540</v>
      </c>
      <c r="B9232" s="77"/>
      <c r="C9232" s="78"/>
      <c r="D9232" s="78"/>
      <c r="E9232" s="78">
        <f>E9230+E9231</f>
        <v>81.28</v>
      </c>
    </row>
    <row r="9233" spans="1:5">
      <c r="A9233" s="76"/>
      <c r="B9233" s="77"/>
      <c r="C9233" s="78"/>
      <c r="D9233" s="78"/>
      <c r="E9233" s="78"/>
    </row>
    <row r="9234" spans="1:5">
      <c r="A9234" s="76" t="s">
        <v>3092</v>
      </c>
      <c r="B9234" s="77" t="s">
        <v>4508</v>
      </c>
      <c r="C9234" s="78"/>
      <c r="D9234" s="78"/>
      <c r="E9234" s="78"/>
    </row>
    <row r="9235" spans="1:5">
      <c r="A9235" s="76" t="s">
        <v>4509</v>
      </c>
      <c r="B9235" s="77"/>
      <c r="C9235" s="78"/>
      <c r="D9235" s="78"/>
      <c r="E9235" s="78"/>
    </row>
    <row r="9236" spans="1:5">
      <c r="A9236" s="76" t="s">
        <v>3085</v>
      </c>
      <c r="B9236" s="77"/>
      <c r="C9236" s="78"/>
      <c r="D9236" s="78"/>
      <c r="E9236" s="78"/>
    </row>
    <row r="9237" spans="1:5">
      <c r="A9237" s="76"/>
      <c r="B9237" s="77"/>
      <c r="C9237" s="78"/>
      <c r="D9237" s="78"/>
      <c r="E9237" s="78"/>
    </row>
    <row r="9238" spans="1:5">
      <c r="A9238" s="76" t="s">
        <v>2543</v>
      </c>
      <c r="B9238" s="77" t="s">
        <v>135</v>
      </c>
      <c r="C9238" s="78" t="s">
        <v>136</v>
      </c>
      <c r="D9238" s="78" t="s">
        <v>2534</v>
      </c>
      <c r="E9238" s="78" t="s">
        <v>2535</v>
      </c>
    </row>
    <row r="9239" ht="25.5" spans="1:5">
      <c r="A9239" s="76" t="s">
        <v>4510</v>
      </c>
      <c r="B9239" s="77" t="s">
        <v>839</v>
      </c>
      <c r="C9239" s="78">
        <v>1</v>
      </c>
      <c r="D9239" s="78">
        <v>0.06</v>
      </c>
      <c r="E9239" s="78">
        <f>TRUNC(C9239*D9239,2)</f>
        <v>0.06</v>
      </c>
    </row>
    <row r="9240" spans="1:5">
      <c r="A9240" s="76" t="s">
        <v>4511</v>
      </c>
      <c r="B9240" s="77" t="s">
        <v>839</v>
      </c>
      <c r="C9240" s="78">
        <v>1</v>
      </c>
      <c r="D9240" s="78">
        <v>0</v>
      </c>
      <c r="E9240" s="78">
        <f>TRUNC(C9240*D9240,2)</f>
        <v>0</v>
      </c>
    </row>
    <row r="9241" ht="25.5" spans="1:5">
      <c r="A9241" s="76" t="s">
        <v>4512</v>
      </c>
      <c r="B9241" s="77" t="s">
        <v>839</v>
      </c>
      <c r="C9241" s="78">
        <v>1</v>
      </c>
      <c r="D9241" s="78">
        <v>5.63</v>
      </c>
      <c r="E9241" s="78">
        <f>TRUNC(C9241*D9241,2)</f>
        <v>5.63</v>
      </c>
    </row>
    <row r="9242" ht="25.5" spans="1:5">
      <c r="A9242" s="76" t="s">
        <v>4513</v>
      </c>
      <c r="B9242" s="77" t="s">
        <v>839</v>
      </c>
      <c r="C9242" s="78">
        <v>1</v>
      </c>
      <c r="D9242" s="78">
        <v>0.08</v>
      </c>
      <c r="E9242" s="78">
        <f>TRUNC(C9242*D9242,2)</f>
        <v>0.08</v>
      </c>
    </row>
    <row r="9243" spans="1:5">
      <c r="A9243" s="76" t="s">
        <v>122</v>
      </c>
      <c r="B9243" s="77"/>
      <c r="C9243" s="78"/>
      <c r="D9243" s="78"/>
      <c r="E9243" s="78">
        <f>SUM(E9239:E9242)</f>
        <v>5.77</v>
      </c>
    </row>
    <row r="9244" spans="1:5">
      <c r="A9244" s="76"/>
      <c r="B9244" s="77"/>
      <c r="C9244" s="78"/>
      <c r="D9244" s="78"/>
      <c r="E9244" s="78"/>
    </row>
    <row r="9245" spans="1:5">
      <c r="A9245" s="76" t="s">
        <v>2538</v>
      </c>
      <c r="B9245" s="77"/>
      <c r="C9245" s="78"/>
      <c r="D9245" s="78"/>
      <c r="E9245" s="78">
        <f>E9243</f>
        <v>5.77</v>
      </c>
    </row>
    <row r="9246" spans="1:5">
      <c r="A9246" s="76" t="s">
        <v>2539</v>
      </c>
      <c r="B9246" s="77"/>
      <c r="C9246" s="78"/>
      <c r="D9246" s="78">
        <v>0</v>
      </c>
      <c r="E9246" s="78">
        <f>TRUNC(D9246*E9245/100,2)</f>
        <v>0</v>
      </c>
    </row>
    <row r="9247" spans="1:5">
      <c r="A9247" s="76" t="s">
        <v>2540</v>
      </c>
      <c r="B9247" s="77"/>
      <c r="C9247" s="78"/>
      <c r="D9247" s="78"/>
      <c r="E9247" s="78">
        <f>E9245+E9246</f>
        <v>5.77</v>
      </c>
    </row>
    <row r="9248" spans="1:5">
      <c r="A9248" s="76"/>
      <c r="B9248" s="77"/>
      <c r="C9248" s="78"/>
      <c r="D9248" s="78"/>
      <c r="E9248" s="78"/>
    </row>
    <row r="9249" spans="1:5">
      <c r="A9249" s="76" t="s">
        <v>3092</v>
      </c>
      <c r="B9249" s="77" t="s">
        <v>4514</v>
      </c>
      <c r="C9249" s="78"/>
      <c r="D9249" s="78"/>
      <c r="E9249" s="78"/>
    </row>
    <row r="9250" spans="1:5">
      <c r="A9250" s="76" t="s">
        <v>4515</v>
      </c>
      <c r="B9250" s="77"/>
      <c r="C9250" s="78"/>
      <c r="D9250" s="78"/>
      <c r="E9250" s="78"/>
    </row>
    <row r="9251" spans="1:5">
      <c r="A9251" s="76" t="s">
        <v>2764</v>
      </c>
      <c r="B9251" s="77"/>
      <c r="C9251" s="78"/>
      <c r="D9251" s="78"/>
      <c r="E9251" s="78"/>
    </row>
    <row r="9252" spans="1:5">
      <c r="A9252" s="76"/>
      <c r="B9252" s="77"/>
      <c r="C9252" s="78"/>
      <c r="D9252" s="78"/>
      <c r="E9252" s="78"/>
    </row>
    <row r="9253" spans="1:5">
      <c r="A9253" s="76" t="s">
        <v>2543</v>
      </c>
      <c r="B9253" s="77" t="s">
        <v>135</v>
      </c>
      <c r="C9253" s="78" t="s">
        <v>136</v>
      </c>
      <c r="D9253" s="78" t="s">
        <v>2534</v>
      </c>
      <c r="E9253" s="78" t="s">
        <v>2535</v>
      </c>
    </row>
    <row r="9254" spans="1:5">
      <c r="A9254" s="76" t="s">
        <v>4516</v>
      </c>
      <c r="B9254" s="77" t="s">
        <v>494</v>
      </c>
      <c r="C9254" s="78">
        <v>5.605e-5</v>
      </c>
      <c r="D9254" s="78">
        <v>1248.71</v>
      </c>
      <c r="E9254" s="78">
        <f>TRUNC(C9254*D9254,2)</f>
        <v>0.06</v>
      </c>
    </row>
    <row r="9255" spans="1:5">
      <c r="A9255" s="76" t="s">
        <v>122</v>
      </c>
      <c r="B9255" s="77"/>
      <c r="C9255" s="78"/>
      <c r="D9255" s="78"/>
      <c r="E9255" s="78">
        <f>SUM(E9254:E9254)</f>
        <v>0.06</v>
      </c>
    </row>
    <row r="9256" spans="1:5">
      <c r="A9256" s="76"/>
      <c r="B9256" s="77"/>
      <c r="C9256" s="78"/>
      <c r="D9256" s="78"/>
      <c r="E9256" s="78"/>
    </row>
    <row r="9257" spans="1:5">
      <c r="A9257" s="76" t="s">
        <v>2538</v>
      </c>
      <c r="B9257" s="77"/>
      <c r="C9257" s="78"/>
      <c r="D9257" s="78"/>
      <c r="E9257" s="78">
        <f>E9255</f>
        <v>0.06</v>
      </c>
    </row>
    <row r="9258" spans="1:5">
      <c r="A9258" s="76" t="s">
        <v>2539</v>
      </c>
      <c r="B9258" s="77"/>
      <c r="C9258" s="78"/>
      <c r="D9258" s="78">
        <v>0</v>
      </c>
      <c r="E9258" s="78">
        <f>TRUNC(D9258*E9257/100,2)</f>
        <v>0</v>
      </c>
    </row>
    <row r="9259" spans="1:5">
      <c r="A9259" s="76" t="s">
        <v>2540</v>
      </c>
      <c r="B9259" s="77"/>
      <c r="C9259" s="78"/>
      <c r="D9259" s="78"/>
      <c r="E9259" s="78">
        <f>E9257+E9258</f>
        <v>0.06</v>
      </c>
    </row>
    <row r="9260" spans="1:5">
      <c r="A9260" s="76"/>
      <c r="B9260" s="77"/>
      <c r="C9260" s="78"/>
      <c r="D9260" s="78"/>
      <c r="E9260" s="78"/>
    </row>
    <row r="9261" spans="1:5">
      <c r="A9261" s="76" t="s">
        <v>3092</v>
      </c>
      <c r="B9261" s="77" t="s">
        <v>4517</v>
      </c>
      <c r="C9261" s="78"/>
      <c r="D9261" s="78"/>
      <c r="E9261" s="78"/>
    </row>
    <row r="9262" spans="1:5">
      <c r="A9262" s="76" t="s">
        <v>4518</v>
      </c>
      <c r="B9262" s="77"/>
      <c r="C9262" s="78"/>
      <c r="D9262" s="78"/>
      <c r="E9262" s="78"/>
    </row>
    <row r="9263" spans="1:5">
      <c r="A9263" s="76" t="s">
        <v>2764</v>
      </c>
      <c r="B9263" s="77"/>
      <c r="C9263" s="78"/>
      <c r="D9263" s="78"/>
      <c r="E9263" s="78"/>
    </row>
    <row r="9264" spans="1:5">
      <c r="A9264" s="76"/>
      <c r="B9264" s="77"/>
      <c r="C9264" s="78"/>
      <c r="D9264" s="78"/>
      <c r="E9264" s="78"/>
    </row>
    <row r="9265" spans="1:5">
      <c r="A9265" s="76" t="s">
        <v>2543</v>
      </c>
      <c r="B9265" s="77" t="s">
        <v>135</v>
      </c>
      <c r="C9265" s="78" t="s">
        <v>136</v>
      </c>
      <c r="D9265" s="78" t="s">
        <v>2534</v>
      </c>
      <c r="E9265" s="78" t="s">
        <v>2535</v>
      </c>
    </row>
    <row r="9266" spans="1:5">
      <c r="A9266" s="76" t="s">
        <v>4516</v>
      </c>
      <c r="B9266" s="77" t="s">
        <v>494</v>
      </c>
      <c r="C9266" s="78">
        <v>8e-6</v>
      </c>
      <c r="D9266" s="78">
        <v>1248.71</v>
      </c>
      <c r="E9266" s="78">
        <f>TRUNC(C9266*D9266,2)</f>
        <v>0</v>
      </c>
    </row>
    <row r="9267" spans="1:5">
      <c r="A9267" s="76" t="s">
        <v>122</v>
      </c>
      <c r="B9267" s="77"/>
      <c r="C9267" s="78"/>
      <c r="D9267" s="78"/>
      <c r="E9267" s="78">
        <f>SUM(E9266:E9266)</f>
        <v>0</v>
      </c>
    </row>
    <row r="9268" spans="1:5">
      <c r="A9268" s="76"/>
      <c r="B9268" s="77"/>
      <c r="C9268" s="78"/>
      <c r="D9268" s="78"/>
      <c r="E9268" s="78"/>
    </row>
    <row r="9269" spans="1:5">
      <c r="A9269" s="76" t="s">
        <v>2538</v>
      </c>
      <c r="B9269" s="77"/>
      <c r="C9269" s="78"/>
      <c r="D9269" s="78"/>
      <c r="E9269" s="78">
        <f>E9267</f>
        <v>0</v>
      </c>
    </row>
    <row r="9270" spans="1:5">
      <c r="A9270" s="76" t="s">
        <v>2539</v>
      </c>
      <c r="B9270" s="77"/>
      <c r="C9270" s="78"/>
      <c r="D9270" s="78">
        <v>0</v>
      </c>
      <c r="E9270" s="78">
        <f>TRUNC(D9270*E9269/100,2)</f>
        <v>0</v>
      </c>
    </row>
    <row r="9271" spans="1:5">
      <c r="A9271" s="76" t="s">
        <v>2540</v>
      </c>
      <c r="B9271" s="77"/>
      <c r="C9271" s="78"/>
      <c r="D9271" s="78"/>
      <c r="E9271" s="78">
        <f>E9269+E9270</f>
        <v>0</v>
      </c>
    </row>
    <row r="9272" spans="1:5">
      <c r="A9272" s="76"/>
      <c r="B9272" s="77"/>
      <c r="C9272" s="78"/>
      <c r="D9272" s="78"/>
      <c r="E9272" s="78"/>
    </row>
    <row r="9273" spans="1:5">
      <c r="A9273" s="76" t="s">
        <v>3092</v>
      </c>
      <c r="B9273" s="77" t="s">
        <v>4519</v>
      </c>
      <c r="C9273" s="78"/>
      <c r="D9273" s="78"/>
      <c r="E9273" s="78"/>
    </row>
    <row r="9274" spans="1:5">
      <c r="A9274" s="76" t="s">
        <v>4520</v>
      </c>
      <c r="B9274" s="77"/>
      <c r="C9274" s="78"/>
      <c r="D9274" s="78"/>
      <c r="E9274" s="78"/>
    </row>
    <row r="9275" spans="1:5">
      <c r="A9275" s="76" t="s">
        <v>2764</v>
      </c>
      <c r="B9275" s="77"/>
      <c r="C9275" s="78"/>
      <c r="D9275" s="78"/>
      <c r="E9275" s="78"/>
    </row>
    <row r="9276" spans="1:5">
      <c r="A9276" s="76"/>
      <c r="B9276" s="77"/>
      <c r="C9276" s="78"/>
      <c r="D9276" s="78"/>
      <c r="E9276" s="78"/>
    </row>
    <row r="9277" spans="1:5">
      <c r="A9277" s="76" t="s">
        <v>2543</v>
      </c>
      <c r="B9277" s="77" t="s">
        <v>135</v>
      </c>
      <c r="C9277" s="78" t="s">
        <v>136</v>
      </c>
      <c r="D9277" s="78" t="s">
        <v>2534</v>
      </c>
      <c r="E9277" s="78" t="s">
        <v>2535</v>
      </c>
    </row>
    <row r="9278" spans="1:5">
      <c r="A9278" s="76" t="s">
        <v>3242</v>
      </c>
      <c r="B9278" s="77" t="s">
        <v>1695</v>
      </c>
      <c r="C9278" s="78">
        <v>7.82</v>
      </c>
      <c r="D9278" s="78">
        <v>0.72</v>
      </c>
      <c r="E9278" s="78">
        <f>TRUNC(C9278*D9278,2)</f>
        <v>5.63</v>
      </c>
    </row>
    <row r="9279" spans="1:5">
      <c r="A9279" s="76" t="s">
        <v>122</v>
      </c>
      <c r="B9279" s="77"/>
      <c r="C9279" s="78"/>
      <c r="D9279" s="78"/>
      <c r="E9279" s="78">
        <f>SUM(E9278:E9278)</f>
        <v>5.63</v>
      </c>
    </row>
    <row r="9280" spans="1:5">
      <c r="A9280" s="76"/>
      <c r="B9280" s="77"/>
      <c r="C9280" s="78"/>
      <c r="D9280" s="78"/>
      <c r="E9280" s="78"/>
    </row>
    <row r="9281" spans="1:5">
      <c r="A9281" s="76" t="s">
        <v>2538</v>
      </c>
      <c r="B9281" s="77"/>
      <c r="C9281" s="78"/>
      <c r="D9281" s="78"/>
      <c r="E9281" s="78">
        <f>E9279</f>
        <v>5.63</v>
      </c>
    </row>
    <row r="9282" spans="1:5">
      <c r="A9282" s="76" t="s">
        <v>2539</v>
      </c>
      <c r="B9282" s="77"/>
      <c r="C9282" s="78"/>
      <c r="D9282" s="78">
        <v>0</v>
      </c>
      <c r="E9282" s="78">
        <f>TRUNC(D9282*E9281/100,2)</f>
        <v>0</v>
      </c>
    </row>
    <row r="9283" spans="1:5">
      <c r="A9283" s="76" t="s">
        <v>2540</v>
      </c>
      <c r="B9283" s="77"/>
      <c r="C9283" s="78"/>
      <c r="D9283" s="78"/>
      <c r="E9283" s="78">
        <f>E9281+E9282</f>
        <v>5.63</v>
      </c>
    </row>
    <row r="9284" spans="1:5">
      <c r="A9284" s="76"/>
      <c r="B9284" s="77"/>
      <c r="C9284" s="78"/>
      <c r="D9284" s="78"/>
      <c r="E9284" s="78"/>
    </row>
    <row r="9285" spans="1:5">
      <c r="A9285" s="76" t="s">
        <v>3092</v>
      </c>
      <c r="B9285" s="77" t="s">
        <v>4521</v>
      </c>
      <c r="C9285" s="78"/>
      <c r="D9285" s="78"/>
      <c r="E9285" s="78"/>
    </row>
    <row r="9286" spans="1:5">
      <c r="A9286" s="76" t="s">
        <v>4522</v>
      </c>
      <c r="B9286" s="77"/>
      <c r="C9286" s="78"/>
      <c r="D9286" s="78"/>
      <c r="E9286" s="78"/>
    </row>
    <row r="9287" spans="1:5">
      <c r="A9287" s="76" t="s">
        <v>2764</v>
      </c>
      <c r="B9287" s="77"/>
      <c r="C9287" s="78"/>
      <c r="D9287" s="78"/>
      <c r="E9287" s="78"/>
    </row>
    <row r="9288" spans="1:5">
      <c r="A9288" s="76"/>
      <c r="B9288" s="77"/>
      <c r="C9288" s="78"/>
      <c r="D9288" s="78"/>
      <c r="E9288" s="78"/>
    </row>
    <row r="9289" spans="1:5">
      <c r="A9289" s="76" t="s">
        <v>2543</v>
      </c>
      <c r="B9289" s="77" t="s">
        <v>135</v>
      </c>
      <c r="C9289" s="78" t="s">
        <v>136</v>
      </c>
      <c r="D9289" s="78" t="s">
        <v>2534</v>
      </c>
      <c r="E9289" s="78" t="s">
        <v>2535</v>
      </c>
    </row>
    <row r="9290" spans="1:5">
      <c r="A9290" s="76" t="s">
        <v>4516</v>
      </c>
      <c r="B9290" s="77" t="s">
        <v>494</v>
      </c>
      <c r="C9290" s="78">
        <v>7.207e-5</v>
      </c>
      <c r="D9290" s="78">
        <v>1248.71</v>
      </c>
      <c r="E9290" s="78">
        <f>TRUNC(C9290*D9290,2)</f>
        <v>0.08</v>
      </c>
    </row>
    <row r="9291" spans="1:5">
      <c r="A9291" s="76" t="s">
        <v>122</v>
      </c>
      <c r="B9291" s="77"/>
      <c r="C9291" s="78"/>
      <c r="D9291" s="78"/>
      <c r="E9291" s="78">
        <f>SUM(E9290:E9290)</f>
        <v>0.08</v>
      </c>
    </row>
    <row r="9292" spans="1:5">
      <c r="A9292" s="76"/>
      <c r="B9292" s="77"/>
      <c r="C9292" s="78"/>
      <c r="D9292" s="78"/>
      <c r="E9292" s="78"/>
    </row>
    <row r="9293" spans="1:5">
      <c r="A9293" s="76" t="s">
        <v>2538</v>
      </c>
      <c r="B9293" s="77"/>
      <c r="C9293" s="78"/>
      <c r="D9293" s="78"/>
      <c r="E9293" s="78">
        <f>E9291</f>
        <v>0.08</v>
      </c>
    </row>
    <row r="9294" spans="1:5">
      <c r="A9294" s="76" t="s">
        <v>2539</v>
      </c>
      <c r="B9294" s="77"/>
      <c r="C9294" s="78"/>
      <c r="D9294" s="78">
        <v>0</v>
      </c>
      <c r="E9294" s="78">
        <f>TRUNC(D9294*E9293/100,2)</f>
        <v>0</v>
      </c>
    </row>
    <row r="9295" spans="1:5">
      <c r="A9295" s="76" t="s">
        <v>2540</v>
      </c>
      <c r="B9295" s="77"/>
      <c r="C9295" s="78"/>
      <c r="D9295" s="78"/>
      <c r="E9295" s="78">
        <f>E9293+E9294</f>
        <v>0.08</v>
      </c>
    </row>
    <row r="9296" spans="1:5">
      <c r="A9296" s="76"/>
      <c r="B9296" s="77"/>
      <c r="C9296" s="78"/>
      <c r="D9296" s="78"/>
      <c r="E9296" s="78"/>
    </row>
    <row r="9297" spans="1:5">
      <c r="A9297" s="76" t="s">
        <v>3092</v>
      </c>
      <c r="B9297" s="77" t="s">
        <v>4523</v>
      </c>
      <c r="C9297" s="78"/>
      <c r="D9297" s="78"/>
      <c r="E9297" s="78"/>
    </row>
    <row r="9298" ht="25.5" spans="1:5">
      <c r="A9298" s="76" t="s">
        <v>4524</v>
      </c>
      <c r="B9298" s="77"/>
      <c r="C9298" s="78"/>
      <c r="D9298" s="78"/>
      <c r="E9298" s="78"/>
    </row>
    <row r="9299" spans="1:5">
      <c r="A9299" s="76" t="s">
        <v>3085</v>
      </c>
      <c r="B9299" s="77"/>
      <c r="C9299" s="78"/>
      <c r="D9299" s="78"/>
      <c r="E9299" s="78"/>
    </row>
    <row r="9300" spans="1:5">
      <c r="A9300" s="76"/>
      <c r="B9300" s="77"/>
      <c r="C9300" s="78"/>
      <c r="D9300" s="78"/>
      <c r="E9300" s="78"/>
    </row>
    <row r="9301" spans="1:5">
      <c r="A9301" s="76" t="s">
        <v>2543</v>
      </c>
      <c r="B9301" s="77" t="s">
        <v>135</v>
      </c>
      <c r="C9301" s="78" t="s">
        <v>136</v>
      </c>
      <c r="D9301" s="78" t="s">
        <v>2534</v>
      </c>
      <c r="E9301" s="78" t="s">
        <v>2535</v>
      </c>
    </row>
    <row r="9302" spans="1:5">
      <c r="A9302" s="76" t="s">
        <v>4525</v>
      </c>
      <c r="B9302" s="77" t="s">
        <v>839</v>
      </c>
      <c r="C9302" s="78">
        <v>1</v>
      </c>
      <c r="D9302" s="78">
        <v>26.15</v>
      </c>
      <c r="E9302" s="78">
        <f t="shared" ref="E9302:E9307" si="70">TRUNC(C9302*D9302,2)</f>
        <v>26.15</v>
      </c>
    </row>
    <row r="9303" ht="25.5" spans="1:5">
      <c r="A9303" s="76" t="s">
        <v>4526</v>
      </c>
      <c r="B9303" s="77" t="s">
        <v>839</v>
      </c>
      <c r="C9303" s="78">
        <v>1</v>
      </c>
      <c r="D9303" s="78">
        <v>99.43</v>
      </c>
      <c r="E9303" s="78">
        <f t="shared" si="70"/>
        <v>99.43</v>
      </c>
    </row>
    <row r="9304" ht="25.5" spans="1:5">
      <c r="A9304" s="76" t="s">
        <v>4527</v>
      </c>
      <c r="B9304" s="77" t="s">
        <v>839</v>
      </c>
      <c r="C9304" s="78">
        <v>1</v>
      </c>
      <c r="D9304" s="78">
        <v>35.05</v>
      </c>
      <c r="E9304" s="78">
        <f t="shared" si="70"/>
        <v>35.05</v>
      </c>
    </row>
    <row r="9305" ht="38.25" spans="1:5">
      <c r="A9305" s="76" t="s">
        <v>4528</v>
      </c>
      <c r="B9305" s="77" t="s">
        <v>839</v>
      </c>
      <c r="C9305" s="78">
        <v>1</v>
      </c>
      <c r="D9305" s="78">
        <v>9.36</v>
      </c>
      <c r="E9305" s="78">
        <f t="shared" si="70"/>
        <v>9.36</v>
      </c>
    </row>
    <row r="9306" ht="25.5" spans="1:5">
      <c r="A9306" s="76" t="s">
        <v>4529</v>
      </c>
      <c r="B9306" s="77" t="s">
        <v>839</v>
      </c>
      <c r="C9306" s="78">
        <v>1</v>
      </c>
      <c r="D9306" s="78">
        <v>159.83</v>
      </c>
      <c r="E9306" s="78">
        <f t="shared" si="70"/>
        <v>159.83</v>
      </c>
    </row>
    <row r="9307" ht="25.5" spans="1:5">
      <c r="A9307" s="76" t="s">
        <v>4530</v>
      </c>
      <c r="B9307" s="77" t="s">
        <v>839</v>
      </c>
      <c r="C9307" s="78">
        <v>1</v>
      </c>
      <c r="D9307" s="78">
        <v>14.16</v>
      </c>
      <c r="E9307" s="78">
        <f t="shared" si="70"/>
        <v>14.16</v>
      </c>
    </row>
    <row r="9308" spans="1:5">
      <c r="A9308" s="76" t="s">
        <v>122</v>
      </c>
      <c r="B9308" s="77"/>
      <c r="C9308" s="78"/>
      <c r="D9308" s="78"/>
      <c r="E9308" s="78">
        <f>SUM(E9302:E9307)</f>
        <v>343.98</v>
      </c>
    </row>
    <row r="9309" spans="1:5">
      <c r="A9309" s="76"/>
      <c r="B9309" s="77"/>
      <c r="C9309" s="78"/>
      <c r="D9309" s="78"/>
      <c r="E9309" s="78"/>
    </row>
    <row r="9310" spans="1:5">
      <c r="A9310" s="76" t="s">
        <v>2538</v>
      </c>
      <c r="B9310" s="77"/>
      <c r="C9310" s="78"/>
      <c r="D9310" s="78"/>
      <c r="E9310" s="78">
        <f>E9308</f>
        <v>343.98</v>
      </c>
    </row>
    <row r="9311" spans="1:5">
      <c r="A9311" s="76" t="s">
        <v>2539</v>
      </c>
      <c r="B9311" s="77"/>
      <c r="C9311" s="78"/>
      <c r="D9311" s="78">
        <v>0</v>
      </c>
      <c r="E9311" s="78">
        <f>TRUNC(D9311*E9310/100,2)</f>
        <v>0</v>
      </c>
    </row>
    <row r="9312" spans="1:5">
      <c r="A9312" s="76" t="s">
        <v>2540</v>
      </c>
      <c r="B9312" s="77"/>
      <c r="C9312" s="78"/>
      <c r="D9312" s="78"/>
      <c r="E9312" s="78">
        <f>E9310+E9311</f>
        <v>343.98</v>
      </c>
    </row>
    <row r="9313" spans="1:5">
      <c r="A9313" s="76"/>
      <c r="B9313" s="77"/>
      <c r="C9313" s="78"/>
      <c r="D9313" s="78"/>
      <c r="E9313" s="78"/>
    </row>
    <row r="9314" spans="1:5">
      <c r="A9314" s="76" t="s">
        <v>3092</v>
      </c>
      <c r="B9314" s="77" t="s">
        <v>4531</v>
      </c>
      <c r="C9314" s="78"/>
      <c r="D9314" s="78"/>
      <c r="E9314" s="78"/>
    </row>
    <row r="9315" spans="1:5">
      <c r="A9315" s="76" t="s">
        <v>4532</v>
      </c>
      <c r="B9315" s="77"/>
      <c r="C9315" s="78"/>
      <c r="D9315" s="78"/>
      <c r="E9315" s="78"/>
    </row>
    <row r="9316" spans="1:5">
      <c r="A9316" s="76" t="s">
        <v>2764</v>
      </c>
      <c r="B9316" s="77"/>
      <c r="C9316" s="78"/>
      <c r="D9316" s="78"/>
      <c r="E9316" s="78"/>
    </row>
    <row r="9317" spans="1:5">
      <c r="A9317" s="76"/>
      <c r="B9317" s="77"/>
      <c r="C9317" s="78"/>
      <c r="D9317" s="78"/>
      <c r="E9317" s="78"/>
    </row>
    <row r="9318" spans="1:5">
      <c r="A9318" s="76" t="s">
        <v>279</v>
      </c>
      <c r="B9318" s="77" t="s">
        <v>135</v>
      </c>
      <c r="C9318" s="78" t="s">
        <v>136</v>
      </c>
      <c r="D9318" s="78" t="s">
        <v>2534</v>
      </c>
      <c r="E9318" s="78" t="s">
        <v>2535</v>
      </c>
    </row>
    <row r="9319" ht="25.5" spans="1:5">
      <c r="A9319" s="76" t="s">
        <v>3111</v>
      </c>
      <c r="B9319" s="77" t="s">
        <v>839</v>
      </c>
      <c r="C9319" s="78">
        <v>1</v>
      </c>
      <c r="D9319" s="78">
        <v>1.5</v>
      </c>
      <c r="E9319" s="78">
        <f>TRUNC(C9319*D9319,2)</f>
        <v>1.5</v>
      </c>
    </row>
    <row r="9320" spans="1:5">
      <c r="A9320" s="76" t="s">
        <v>122</v>
      </c>
      <c r="B9320" s="77"/>
      <c r="C9320" s="78"/>
      <c r="D9320" s="78"/>
      <c r="E9320" s="78">
        <f>SUM(E9319:E9319)</f>
        <v>1.5</v>
      </c>
    </row>
    <row r="9321" spans="1:5">
      <c r="A9321" s="76"/>
      <c r="B9321" s="77"/>
      <c r="C9321" s="78"/>
      <c r="D9321" s="78"/>
      <c r="E9321" s="78"/>
    </row>
    <row r="9322" spans="1:5">
      <c r="A9322" s="76" t="s">
        <v>280</v>
      </c>
      <c r="B9322" s="77" t="s">
        <v>135</v>
      </c>
      <c r="C9322" s="78" t="s">
        <v>136</v>
      </c>
      <c r="D9322" s="78" t="s">
        <v>2534</v>
      </c>
      <c r="E9322" s="78" t="s">
        <v>2535</v>
      </c>
    </row>
    <row r="9323" ht="25.5" spans="1:5">
      <c r="A9323" s="76" t="s">
        <v>3112</v>
      </c>
      <c r="B9323" s="77" t="s">
        <v>839</v>
      </c>
      <c r="C9323" s="78">
        <v>1</v>
      </c>
      <c r="D9323" s="78">
        <v>3.95</v>
      </c>
      <c r="E9323" s="78">
        <f>TRUNC(C9323*D9323,2)</f>
        <v>3.95</v>
      </c>
    </row>
    <row r="9324" spans="1:5">
      <c r="A9324" s="76" t="s">
        <v>4533</v>
      </c>
      <c r="B9324" s="77" t="s">
        <v>839</v>
      </c>
      <c r="C9324" s="78">
        <v>1</v>
      </c>
      <c r="D9324" s="78">
        <v>18</v>
      </c>
      <c r="E9324" s="78">
        <f>TRUNC(C9324*D9324,2)</f>
        <v>18</v>
      </c>
    </row>
    <row r="9325" ht="25.5" spans="1:5">
      <c r="A9325" s="76" t="s">
        <v>3113</v>
      </c>
      <c r="B9325" s="77" t="s">
        <v>839</v>
      </c>
      <c r="C9325" s="78">
        <v>1</v>
      </c>
      <c r="D9325" s="78">
        <v>0.08</v>
      </c>
      <c r="E9325" s="78">
        <f>TRUNC(C9325*D9325,2)</f>
        <v>0.08</v>
      </c>
    </row>
    <row r="9326" spans="1:5">
      <c r="A9326" s="76" t="s">
        <v>122</v>
      </c>
      <c r="B9326" s="77"/>
      <c r="C9326" s="78"/>
      <c r="D9326" s="78"/>
      <c r="E9326" s="78">
        <f>SUM(E9323:E9325)</f>
        <v>22.03</v>
      </c>
    </row>
    <row r="9327" spans="1:5">
      <c r="A9327" s="76" t="s">
        <v>117</v>
      </c>
      <c r="B9327" s="77"/>
      <c r="C9327" s="78"/>
      <c r="D9327" s="78"/>
      <c r="E9327" s="78" t="str">
        <f>"0"</f>
        <v>0</v>
      </c>
    </row>
    <row r="9328" spans="1:5">
      <c r="A9328" s="76" t="s">
        <v>2537</v>
      </c>
      <c r="B9328" s="77"/>
      <c r="C9328" s="78"/>
      <c r="D9328" s="78"/>
      <c r="E9328" s="78">
        <f>E9326+E9327</f>
        <v>22.03</v>
      </c>
    </row>
    <row r="9329" spans="1:5">
      <c r="A9329" s="76"/>
      <c r="B9329" s="77"/>
      <c r="C9329" s="78"/>
      <c r="D9329" s="78"/>
      <c r="E9329" s="78"/>
    </row>
    <row r="9330" spans="1:5">
      <c r="A9330" s="76" t="s">
        <v>2543</v>
      </c>
      <c r="B9330" s="77" t="s">
        <v>135</v>
      </c>
      <c r="C9330" s="78" t="s">
        <v>136</v>
      </c>
      <c r="D9330" s="78" t="s">
        <v>2534</v>
      </c>
      <c r="E9330" s="78" t="s">
        <v>2535</v>
      </c>
    </row>
    <row r="9331" ht="25.5" spans="1:5">
      <c r="A9331" s="76" t="s">
        <v>3195</v>
      </c>
      <c r="B9331" s="77" t="s">
        <v>839</v>
      </c>
      <c r="C9331" s="78">
        <v>1</v>
      </c>
      <c r="D9331" s="78">
        <v>0.89</v>
      </c>
      <c r="E9331" s="78">
        <f>TRUNC(C9331*D9331,2)</f>
        <v>0.89</v>
      </c>
    </row>
    <row r="9332" spans="1:5">
      <c r="A9332" s="76" t="s">
        <v>3116</v>
      </c>
      <c r="B9332" s="77" t="s">
        <v>839</v>
      </c>
      <c r="C9332" s="78">
        <v>1</v>
      </c>
      <c r="D9332" s="78">
        <v>1.43</v>
      </c>
      <c r="E9332" s="78">
        <f>TRUNC(C9332*D9332,2)</f>
        <v>1.43</v>
      </c>
    </row>
    <row r="9333" ht="25.5" spans="1:5">
      <c r="A9333" s="76" t="s">
        <v>3196</v>
      </c>
      <c r="B9333" s="77" t="s">
        <v>839</v>
      </c>
      <c r="C9333" s="78">
        <v>1</v>
      </c>
      <c r="D9333" s="78">
        <v>0.01</v>
      </c>
      <c r="E9333" s="78">
        <f>TRUNC(C9333*D9333,2)</f>
        <v>0.01</v>
      </c>
    </row>
    <row r="9334" ht="25.5" spans="1:5">
      <c r="A9334" s="76" t="s">
        <v>4534</v>
      </c>
      <c r="B9334" s="77" t="s">
        <v>839</v>
      </c>
      <c r="C9334" s="78">
        <v>1</v>
      </c>
      <c r="D9334" s="78">
        <v>0.29</v>
      </c>
      <c r="E9334" s="78">
        <f>TRUNC(C9334*D9334,2)</f>
        <v>0.29</v>
      </c>
    </row>
    <row r="9335" spans="1:5">
      <c r="A9335" s="76" t="s">
        <v>122</v>
      </c>
      <c r="B9335" s="77"/>
      <c r="C9335" s="78"/>
      <c r="D9335" s="78"/>
      <c r="E9335" s="78">
        <f>SUM(E9331:E9334)</f>
        <v>2.62</v>
      </c>
    </row>
    <row r="9336" spans="1:5">
      <c r="A9336" s="76"/>
      <c r="B9336" s="77"/>
      <c r="C9336" s="78"/>
      <c r="D9336" s="78"/>
      <c r="E9336" s="78"/>
    </row>
    <row r="9337" spans="1:5">
      <c r="A9337" s="76" t="s">
        <v>2538</v>
      </c>
      <c r="B9337" s="77"/>
      <c r="C9337" s="78"/>
      <c r="D9337" s="78"/>
      <c r="E9337" s="78">
        <f>E9320+E9328+E9335</f>
        <v>26.15</v>
      </c>
    </row>
    <row r="9338" spans="1:5">
      <c r="A9338" s="76" t="s">
        <v>2539</v>
      </c>
      <c r="B9338" s="77"/>
      <c r="C9338" s="78"/>
      <c r="D9338" s="78">
        <v>0</v>
      </c>
      <c r="E9338" s="78">
        <f>TRUNC(D9338*E9337/100,2)</f>
        <v>0</v>
      </c>
    </row>
    <row r="9339" spans="1:5">
      <c r="A9339" s="76" t="s">
        <v>2540</v>
      </c>
      <c r="B9339" s="77"/>
      <c r="C9339" s="78"/>
      <c r="D9339" s="78"/>
      <c r="E9339" s="78">
        <f>E9337+E9338</f>
        <v>26.15</v>
      </c>
    </row>
    <row r="9340" spans="1:5">
      <c r="A9340" s="76"/>
      <c r="B9340" s="77"/>
      <c r="C9340" s="78"/>
      <c r="D9340" s="78"/>
      <c r="E9340" s="78"/>
    </row>
    <row r="9341" spans="1:5">
      <c r="A9341" s="76" t="s">
        <v>3092</v>
      </c>
      <c r="B9341" s="77" t="s">
        <v>4535</v>
      </c>
      <c r="C9341" s="78"/>
      <c r="D9341" s="78"/>
      <c r="E9341" s="78"/>
    </row>
    <row r="9342" ht="25.5" spans="1:5">
      <c r="A9342" s="76" t="s">
        <v>4536</v>
      </c>
      <c r="B9342" s="77"/>
      <c r="C9342" s="78"/>
      <c r="D9342" s="78"/>
      <c r="E9342" s="78"/>
    </row>
    <row r="9343" spans="1:5">
      <c r="A9343" s="76" t="s">
        <v>2764</v>
      </c>
      <c r="B9343" s="77"/>
      <c r="C9343" s="78"/>
      <c r="D9343" s="78"/>
      <c r="E9343" s="78"/>
    </row>
    <row r="9344" spans="1:5">
      <c r="A9344" s="76"/>
      <c r="B9344" s="77"/>
      <c r="C9344" s="78"/>
      <c r="D9344" s="78"/>
      <c r="E9344" s="78"/>
    </row>
    <row r="9345" spans="1:5">
      <c r="A9345" s="76" t="s">
        <v>280</v>
      </c>
      <c r="B9345" s="77" t="s">
        <v>135</v>
      </c>
      <c r="C9345" s="78" t="s">
        <v>136</v>
      </c>
      <c r="D9345" s="78" t="s">
        <v>2534</v>
      </c>
      <c r="E9345" s="78" t="s">
        <v>2535</v>
      </c>
    </row>
    <row r="9346" spans="1:5">
      <c r="A9346" s="76" t="s">
        <v>4533</v>
      </c>
      <c r="B9346" s="77" t="s">
        <v>839</v>
      </c>
      <c r="C9346" s="78">
        <v>0.01637</v>
      </c>
      <c r="D9346" s="78">
        <v>18</v>
      </c>
      <c r="E9346" s="78">
        <f>TRUNC(C9346*D9346,2)</f>
        <v>0.29</v>
      </c>
    </row>
    <row r="9347" spans="1:5">
      <c r="A9347" s="76" t="s">
        <v>122</v>
      </c>
      <c r="B9347" s="77"/>
      <c r="C9347" s="78"/>
      <c r="D9347" s="78"/>
      <c r="E9347" s="78">
        <f>SUM(E9346:E9346)</f>
        <v>0.29</v>
      </c>
    </row>
    <row r="9348" spans="1:5">
      <c r="A9348" s="76" t="s">
        <v>117</v>
      </c>
      <c r="B9348" s="77"/>
      <c r="C9348" s="78"/>
      <c r="D9348" s="78"/>
      <c r="E9348" s="78" t="str">
        <f>"0"</f>
        <v>0</v>
      </c>
    </row>
    <row r="9349" spans="1:5">
      <c r="A9349" s="76" t="s">
        <v>2537</v>
      </c>
      <c r="B9349" s="77"/>
      <c r="C9349" s="78"/>
      <c r="D9349" s="78"/>
      <c r="E9349" s="78">
        <f>E9347+E9348</f>
        <v>0.29</v>
      </c>
    </row>
    <row r="9350" spans="1:5">
      <c r="A9350" s="76"/>
      <c r="B9350" s="77"/>
      <c r="C9350" s="78"/>
      <c r="D9350" s="78"/>
      <c r="E9350" s="78"/>
    </row>
    <row r="9351" spans="1:5">
      <c r="A9351" s="76" t="s">
        <v>2538</v>
      </c>
      <c r="B9351" s="77"/>
      <c r="C9351" s="78"/>
      <c r="D9351" s="78"/>
      <c r="E9351" s="78">
        <f>E9349</f>
        <v>0.29</v>
      </c>
    </row>
    <row r="9352" spans="1:5">
      <c r="A9352" s="76" t="s">
        <v>2539</v>
      </c>
      <c r="B9352" s="77"/>
      <c r="C9352" s="78"/>
      <c r="D9352" s="78">
        <v>0</v>
      </c>
      <c r="E9352" s="78">
        <f>TRUNC(D9352*E9351/100,2)</f>
        <v>0</v>
      </c>
    </row>
    <row r="9353" spans="1:5">
      <c r="A9353" s="76" t="s">
        <v>2540</v>
      </c>
      <c r="B9353" s="77"/>
      <c r="C9353" s="78"/>
      <c r="D9353" s="78"/>
      <c r="E9353" s="78">
        <f>E9351+E9352</f>
        <v>0.29</v>
      </c>
    </row>
    <row r="9354" spans="1:5">
      <c r="A9354" s="76"/>
      <c r="B9354" s="77"/>
      <c r="C9354" s="78"/>
      <c r="D9354" s="78"/>
      <c r="E9354" s="78"/>
    </row>
    <row r="9355" spans="1:5">
      <c r="A9355" s="76" t="s">
        <v>3092</v>
      </c>
      <c r="B9355" s="77" t="s">
        <v>4537</v>
      </c>
      <c r="C9355" s="78"/>
      <c r="D9355" s="78"/>
      <c r="E9355" s="78"/>
    </row>
    <row r="9356" ht="25.5" spans="1:5">
      <c r="A9356" s="76" t="s">
        <v>4538</v>
      </c>
      <c r="B9356" s="77"/>
      <c r="C9356" s="78"/>
      <c r="D9356" s="78"/>
      <c r="E9356" s="78"/>
    </row>
    <row r="9357" spans="1:5">
      <c r="A9357" s="76" t="s">
        <v>2764</v>
      </c>
      <c r="B9357" s="77"/>
      <c r="C9357" s="78"/>
      <c r="D9357" s="78"/>
      <c r="E9357" s="78"/>
    </row>
    <row r="9358" spans="1:5">
      <c r="A9358" s="76"/>
      <c r="B9358" s="77"/>
      <c r="C9358" s="78"/>
      <c r="D9358" s="78"/>
      <c r="E9358" s="78"/>
    </row>
    <row r="9359" spans="1:5">
      <c r="A9359" s="76" t="s">
        <v>279</v>
      </c>
      <c r="B9359" s="77" t="s">
        <v>135</v>
      </c>
      <c r="C9359" s="78" t="s">
        <v>136</v>
      </c>
      <c r="D9359" s="78" t="s">
        <v>2534</v>
      </c>
      <c r="E9359" s="78" t="s">
        <v>2535</v>
      </c>
    </row>
    <row r="9360" ht="25.5" spans="1:5">
      <c r="A9360" s="76" t="s">
        <v>4539</v>
      </c>
      <c r="B9360" s="77" t="s">
        <v>494</v>
      </c>
      <c r="C9360" s="78">
        <v>4e-5</v>
      </c>
      <c r="D9360" s="78">
        <v>2485831.6</v>
      </c>
      <c r="E9360" s="78">
        <f>TRUNC(C9360*D9360,2)</f>
        <v>99.43</v>
      </c>
    </row>
    <row r="9361" spans="1:5">
      <c r="A9361" s="76" t="s">
        <v>122</v>
      </c>
      <c r="B9361" s="77"/>
      <c r="C9361" s="78"/>
      <c r="D9361" s="78"/>
      <c r="E9361" s="78">
        <f>SUM(E9360:E9360)</f>
        <v>99.43</v>
      </c>
    </row>
    <row r="9362" spans="1:5">
      <c r="A9362" s="76"/>
      <c r="B9362" s="77"/>
      <c r="C9362" s="78"/>
      <c r="D9362" s="78"/>
      <c r="E9362" s="78"/>
    </row>
    <row r="9363" spans="1:5">
      <c r="A9363" s="76" t="s">
        <v>2538</v>
      </c>
      <c r="B9363" s="77"/>
      <c r="C9363" s="78"/>
      <c r="D9363" s="78"/>
      <c r="E9363" s="78">
        <f>E9361</f>
        <v>99.43</v>
      </c>
    </row>
    <row r="9364" spans="1:5">
      <c r="A9364" s="76" t="s">
        <v>2539</v>
      </c>
      <c r="B9364" s="77"/>
      <c r="C9364" s="78"/>
      <c r="D9364" s="78">
        <v>0</v>
      </c>
      <c r="E9364" s="78">
        <f>TRUNC(D9364*E9363/100,2)</f>
        <v>0</v>
      </c>
    </row>
    <row r="9365" spans="1:5">
      <c r="A9365" s="76" t="s">
        <v>2540</v>
      </c>
      <c r="B9365" s="77"/>
      <c r="C9365" s="78"/>
      <c r="D9365" s="78"/>
      <c r="E9365" s="78">
        <f>E9363+E9364</f>
        <v>99.43</v>
      </c>
    </row>
    <row r="9366" spans="1:5">
      <c r="A9366" s="76"/>
      <c r="B9366" s="77"/>
      <c r="C9366" s="78"/>
      <c r="D9366" s="78"/>
      <c r="E9366" s="78"/>
    </row>
    <row r="9367" spans="1:5">
      <c r="A9367" s="76" t="s">
        <v>3092</v>
      </c>
      <c r="B9367" s="77" t="s">
        <v>4540</v>
      </c>
      <c r="C9367" s="78"/>
      <c r="D9367" s="78"/>
      <c r="E9367" s="78"/>
    </row>
    <row r="9368" ht="25.5" spans="1:5">
      <c r="A9368" s="76" t="s">
        <v>4541</v>
      </c>
      <c r="B9368" s="77"/>
      <c r="C9368" s="78"/>
      <c r="D9368" s="78"/>
      <c r="E9368" s="78"/>
    </row>
    <row r="9369" spans="1:5">
      <c r="A9369" s="76" t="s">
        <v>2764</v>
      </c>
      <c r="B9369" s="77"/>
      <c r="C9369" s="78"/>
      <c r="D9369" s="78"/>
      <c r="E9369" s="78"/>
    </row>
    <row r="9370" spans="1:5">
      <c r="A9370" s="76"/>
      <c r="B9370" s="77"/>
      <c r="C9370" s="78"/>
      <c r="D9370" s="78"/>
      <c r="E9370" s="78"/>
    </row>
    <row r="9371" spans="1:5">
      <c r="A9371" s="76" t="s">
        <v>279</v>
      </c>
      <c r="B9371" s="77" t="s">
        <v>135</v>
      </c>
      <c r="C9371" s="78" t="s">
        <v>136</v>
      </c>
      <c r="D9371" s="78" t="s">
        <v>2534</v>
      </c>
      <c r="E9371" s="78" t="s">
        <v>2535</v>
      </c>
    </row>
    <row r="9372" ht="25.5" spans="1:5">
      <c r="A9372" s="76" t="s">
        <v>4539</v>
      </c>
      <c r="B9372" s="77" t="s">
        <v>494</v>
      </c>
      <c r="C9372" s="78">
        <v>1.41e-5</v>
      </c>
      <c r="D9372" s="78">
        <v>2485831.6</v>
      </c>
      <c r="E9372" s="78">
        <f>TRUNC(C9372*D9372,2)</f>
        <v>35.05</v>
      </c>
    </row>
    <row r="9373" spans="1:5">
      <c r="A9373" s="76" t="s">
        <v>122</v>
      </c>
      <c r="B9373" s="77"/>
      <c r="C9373" s="78"/>
      <c r="D9373" s="78"/>
      <c r="E9373" s="78">
        <f>SUM(E9372:E9372)</f>
        <v>35.05</v>
      </c>
    </row>
    <row r="9374" spans="1:5">
      <c r="A9374" s="76"/>
      <c r="B9374" s="77"/>
      <c r="C9374" s="78"/>
      <c r="D9374" s="78"/>
      <c r="E9374" s="78"/>
    </row>
    <row r="9375" spans="1:5">
      <c r="A9375" s="76" t="s">
        <v>2538</v>
      </c>
      <c r="B9375" s="77"/>
      <c r="C9375" s="78"/>
      <c r="D9375" s="78"/>
      <c r="E9375" s="78">
        <f>E9373</f>
        <v>35.05</v>
      </c>
    </row>
    <row r="9376" spans="1:5">
      <c r="A9376" s="76" t="s">
        <v>2539</v>
      </c>
      <c r="B9376" s="77"/>
      <c r="C9376" s="78"/>
      <c r="D9376" s="78">
        <v>0</v>
      </c>
      <c r="E9376" s="78">
        <f>TRUNC(D9376*E9375/100,2)</f>
        <v>0</v>
      </c>
    </row>
    <row r="9377" spans="1:5">
      <c r="A9377" s="76" t="s">
        <v>2540</v>
      </c>
      <c r="B9377" s="77"/>
      <c r="C9377" s="78"/>
      <c r="D9377" s="78"/>
      <c r="E9377" s="78">
        <f>E9375+E9376</f>
        <v>35.05</v>
      </c>
    </row>
    <row r="9378" spans="1:5">
      <c r="A9378" s="76"/>
      <c r="B9378" s="77"/>
      <c r="C9378" s="78"/>
      <c r="D9378" s="78"/>
      <c r="E9378" s="78"/>
    </row>
    <row r="9379" spans="1:5">
      <c r="A9379" s="76" t="s">
        <v>3092</v>
      </c>
      <c r="B9379" s="77" t="s">
        <v>4542</v>
      </c>
      <c r="C9379" s="78"/>
      <c r="D9379" s="78"/>
      <c r="E9379" s="78"/>
    </row>
    <row r="9380" ht="25.5" spans="1:5">
      <c r="A9380" s="76" t="s">
        <v>4543</v>
      </c>
      <c r="B9380" s="77"/>
      <c r="C9380" s="78"/>
      <c r="D9380" s="78"/>
      <c r="E9380" s="78"/>
    </row>
    <row r="9381" spans="1:5">
      <c r="A9381" s="76" t="s">
        <v>2764</v>
      </c>
      <c r="B9381" s="77"/>
      <c r="C9381" s="78"/>
      <c r="D9381" s="78"/>
      <c r="E9381" s="78"/>
    </row>
    <row r="9382" spans="1:5">
      <c r="A9382" s="76"/>
      <c r="B9382" s="77"/>
      <c r="C9382" s="78"/>
      <c r="D9382" s="78"/>
      <c r="E9382" s="78"/>
    </row>
    <row r="9383" spans="1:5">
      <c r="A9383" s="76" t="s">
        <v>2543</v>
      </c>
      <c r="B9383" s="77" t="s">
        <v>135</v>
      </c>
      <c r="C9383" s="78" t="s">
        <v>136</v>
      </c>
      <c r="D9383" s="78" t="s">
        <v>2534</v>
      </c>
      <c r="E9383" s="78" t="s">
        <v>2535</v>
      </c>
    </row>
    <row r="9384" spans="1:5">
      <c r="A9384" s="76" t="s">
        <v>3242</v>
      </c>
      <c r="B9384" s="77" t="s">
        <v>1695</v>
      </c>
      <c r="C9384" s="78">
        <v>13</v>
      </c>
      <c r="D9384" s="78">
        <v>0.72</v>
      </c>
      <c r="E9384" s="78">
        <f>TRUNC(C9384*D9384,2)</f>
        <v>9.36</v>
      </c>
    </row>
    <row r="9385" spans="1:5">
      <c r="A9385" s="76" t="s">
        <v>122</v>
      </c>
      <c r="B9385" s="77"/>
      <c r="C9385" s="78"/>
      <c r="D9385" s="78"/>
      <c r="E9385" s="78">
        <f>SUM(E9384:E9384)</f>
        <v>9.36</v>
      </c>
    </row>
    <row r="9386" spans="1:5">
      <c r="A9386" s="76"/>
      <c r="B9386" s="77"/>
      <c r="C9386" s="78"/>
      <c r="D9386" s="78"/>
      <c r="E9386" s="78"/>
    </row>
    <row r="9387" spans="1:5">
      <c r="A9387" s="76" t="s">
        <v>2538</v>
      </c>
      <c r="B9387" s="77"/>
      <c r="C9387" s="78"/>
      <c r="D9387" s="78"/>
      <c r="E9387" s="78">
        <f>E9385</f>
        <v>9.36</v>
      </c>
    </row>
    <row r="9388" spans="1:5">
      <c r="A9388" s="76" t="s">
        <v>2539</v>
      </c>
      <c r="B9388" s="77"/>
      <c r="C9388" s="78"/>
      <c r="D9388" s="78">
        <v>0</v>
      </c>
      <c r="E9388" s="78">
        <f>TRUNC(D9388*E9387/100,2)</f>
        <v>0</v>
      </c>
    </row>
    <row r="9389" spans="1:5">
      <c r="A9389" s="76" t="s">
        <v>2540</v>
      </c>
      <c r="B9389" s="77"/>
      <c r="C9389" s="78"/>
      <c r="D9389" s="78"/>
      <c r="E9389" s="78">
        <f>E9387+E9388</f>
        <v>9.36</v>
      </c>
    </row>
    <row r="9390" spans="1:5">
      <c r="A9390" s="76"/>
      <c r="B9390" s="77"/>
      <c r="C9390" s="78"/>
      <c r="D9390" s="78"/>
      <c r="E9390" s="78"/>
    </row>
    <row r="9391" spans="1:5">
      <c r="A9391" s="76" t="s">
        <v>3092</v>
      </c>
      <c r="B9391" s="77" t="s">
        <v>4544</v>
      </c>
      <c r="C9391" s="78"/>
      <c r="D9391" s="78"/>
      <c r="E9391" s="78"/>
    </row>
    <row r="9392" ht="25.5" spans="1:5">
      <c r="A9392" s="76" t="s">
        <v>4545</v>
      </c>
      <c r="B9392" s="77"/>
      <c r="C9392" s="78"/>
      <c r="D9392" s="78"/>
      <c r="E9392" s="78"/>
    </row>
    <row r="9393" spans="1:5">
      <c r="A9393" s="76" t="s">
        <v>2764</v>
      </c>
      <c r="B9393" s="77"/>
      <c r="C9393" s="78"/>
      <c r="D9393" s="78"/>
      <c r="E9393" s="78"/>
    </row>
    <row r="9394" spans="1:5">
      <c r="A9394" s="76"/>
      <c r="B9394" s="77"/>
      <c r="C9394" s="78"/>
      <c r="D9394" s="78"/>
      <c r="E9394" s="78"/>
    </row>
    <row r="9395" spans="1:5">
      <c r="A9395" s="76" t="s">
        <v>279</v>
      </c>
      <c r="B9395" s="77" t="s">
        <v>135</v>
      </c>
      <c r="C9395" s="78" t="s">
        <v>136</v>
      </c>
      <c r="D9395" s="78" t="s">
        <v>2534</v>
      </c>
      <c r="E9395" s="78" t="s">
        <v>2535</v>
      </c>
    </row>
    <row r="9396" ht="25.5" spans="1:5">
      <c r="A9396" s="76" t="s">
        <v>4539</v>
      </c>
      <c r="B9396" s="77" t="s">
        <v>494</v>
      </c>
      <c r="C9396" s="78">
        <v>6.43e-5</v>
      </c>
      <c r="D9396" s="78">
        <v>2485831.6</v>
      </c>
      <c r="E9396" s="78">
        <f>TRUNC(C9396*D9396,2)</f>
        <v>159.83</v>
      </c>
    </row>
    <row r="9397" spans="1:5">
      <c r="A9397" s="76" t="s">
        <v>122</v>
      </c>
      <c r="B9397" s="77"/>
      <c r="C9397" s="78"/>
      <c r="D9397" s="78"/>
      <c r="E9397" s="78">
        <f>SUM(E9396:E9396)</f>
        <v>159.83</v>
      </c>
    </row>
    <row r="9398" spans="1:5">
      <c r="A9398" s="76"/>
      <c r="B9398" s="77"/>
      <c r="C9398" s="78"/>
      <c r="D9398" s="78"/>
      <c r="E9398" s="78"/>
    </row>
    <row r="9399" spans="1:5">
      <c r="A9399" s="76" t="s">
        <v>2538</v>
      </c>
      <c r="B9399" s="77"/>
      <c r="C9399" s="78"/>
      <c r="D9399" s="78"/>
      <c r="E9399" s="78">
        <f>E9397</f>
        <v>159.83</v>
      </c>
    </row>
    <row r="9400" spans="1:5">
      <c r="A9400" s="76" t="s">
        <v>2539</v>
      </c>
      <c r="B9400" s="77"/>
      <c r="C9400" s="78"/>
      <c r="D9400" s="78">
        <v>0</v>
      </c>
      <c r="E9400" s="78">
        <f>TRUNC(D9400*E9399/100,2)</f>
        <v>0</v>
      </c>
    </row>
    <row r="9401" spans="1:5">
      <c r="A9401" s="76" t="s">
        <v>2540</v>
      </c>
      <c r="B9401" s="77"/>
      <c r="C9401" s="78"/>
      <c r="D9401" s="78"/>
      <c r="E9401" s="78">
        <f>E9399+E9400</f>
        <v>159.83</v>
      </c>
    </row>
    <row r="9402" spans="1:5">
      <c r="A9402" s="76"/>
      <c r="B9402" s="77"/>
      <c r="C9402" s="78"/>
      <c r="D9402" s="78"/>
      <c r="E9402" s="78"/>
    </row>
    <row r="9403" spans="1:5">
      <c r="A9403" s="76" t="s">
        <v>3092</v>
      </c>
      <c r="B9403" s="77" t="s">
        <v>4546</v>
      </c>
      <c r="C9403" s="78"/>
      <c r="D9403" s="78"/>
      <c r="E9403" s="78"/>
    </row>
    <row r="9404" ht="25.5" spans="1:5">
      <c r="A9404" s="76" t="s">
        <v>4547</v>
      </c>
      <c r="B9404" s="77"/>
      <c r="C9404" s="78"/>
      <c r="D9404" s="78"/>
      <c r="E9404" s="78"/>
    </row>
    <row r="9405" spans="1:5">
      <c r="A9405" s="76" t="s">
        <v>2764</v>
      </c>
      <c r="B9405" s="77"/>
      <c r="C9405" s="78"/>
      <c r="D9405" s="78"/>
      <c r="E9405" s="78"/>
    </row>
    <row r="9406" spans="1:5">
      <c r="A9406" s="76"/>
      <c r="B9406" s="77"/>
      <c r="C9406" s="78"/>
      <c r="D9406" s="78"/>
      <c r="E9406" s="78"/>
    </row>
    <row r="9407" spans="1:5">
      <c r="A9407" s="76" t="s">
        <v>279</v>
      </c>
      <c r="B9407" s="77" t="s">
        <v>135</v>
      </c>
      <c r="C9407" s="78" t="s">
        <v>136</v>
      </c>
      <c r="D9407" s="78" t="s">
        <v>2534</v>
      </c>
      <c r="E9407" s="78" t="s">
        <v>2535</v>
      </c>
    </row>
    <row r="9408" ht="25.5" spans="1:5">
      <c r="A9408" s="76" t="s">
        <v>4539</v>
      </c>
      <c r="B9408" s="77" t="s">
        <v>494</v>
      </c>
      <c r="C9408" s="78">
        <v>5.7e-6</v>
      </c>
      <c r="D9408" s="78">
        <v>2485831.6</v>
      </c>
      <c r="E9408" s="78">
        <f>TRUNC(C9408*D9408,2)</f>
        <v>14.16</v>
      </c>
    </row>
    <row r="9409" spans="1:5">
      <c r="A9409" s="76" t="s">
        <v>122</v>
      </c>
      <c r="B9409" s="77"/>
      <c r="C9409" s="78"/>
      <c r="D9409" s="78"/>
      <c r="E9409" s="78">
        <f>SUM(E9408:E9408)</f>
        <v>14.16</v>
      </c>
    </row>
    <row r="9410" spans="1:5">
      <c r="A9410" s="76"/>
      <c r="B9410" s="77"/>
      <c r="C9410" s="78"/>
      <c r="D9410" s="78"/>
      <c r="E9410" s="78"/>
    </row>
    <row r="9411" spans="1:5">
      <c r="A9411" s="76" t="s">
        <v>2538</v>
      </c>
      <c r="B9411" s="77"/>
      <c r="C9411" s="78"/>
      <c r="D9411" s="78"/>
      <c r="E9411" s="78">
        <f>E9409</f>
        <v>14.16</v>
      </c>
    </row>
    <row r="9412" spans="1:5">
      <c r="A9412" s="76" t="s">
        <v>2539</v>
      </c>
      <c r="B9412" s="77"/>
      <c r="C9412" s="78"/>
      <c r="D9412" s="78">
        <v>0</v>
      </c>
      <c r="E9412" s="78">
        <f>TRUNC(D9412*E9411/100,2)</f>
        <v>0</v>
      </c>
    </row>
    <row r="9413" spans="1:5">
      <c r="A9413" s="76" t="s">
        <v>2540</v>
      </c>
      <c r="B9413" s="77"/>
      <c r="C9413" s="78"/>
      <c r="D9413" s="78"/>
      <c r="E9413" s="78">
        <f>E9411+E9412</f>
        <v>14.16</v>
      </c>
    </row>
    <row r="9414" spans="1:5">
      <c r="A9414" s="76"/>
      <c r="B9414" s="77"/>
      <c r="C9414" s="78"/>
      <c r="D9414" s="78"/>
      <c r="E9414" s="78"/>
    </row>
    <row r="9415" spans="1:5">
      <c r="A9415" s="76" t="s">
        <v>3092</v>
      </c>
      <c r="B9415" s="77" t="s">
        <v>4548</v>
      </c>
      <c r="C9415" s="78"/>
      <c r="D9415" s="78"/>
      <c r="E9415" s="78"/>
    </row>
    <row r="9416" ht="25.5" spans="1:5">
      <c r="A9416" s="76" t="s">
        <v>4549</v>
      </c>
      <c r="B9416" s="77"/>
      <c r="C9416" s="78"/>
      <c r="D9416" s="78"/>
      <c r="E9416" s="78"/>
    </row>
    <row r="9417" spans="1:5">
      <c r="A9417" s="76" t="s">
        <v>3091</v>
      </c>
      <c r="B9417" s="77"/>
      <c r="C9417" s="78"/>
      <c r="D9417" s="78"/>
      <c r="E9417" s="78"/>
    </row>
    <row r="9418" spans="1:5">
      <c r="A9418" s="76"/>
      <c r="B9418" s="77"/>
      <c r="C9418" s="78"/>
      <c r="D9418" s="78"/>
      <c r="E9418" s="78"/>
    </row>
    <row r="9419" spans="1:5">
      <c r="A9419" s="76" t="s">
        <v>2543</v>
      </c>
      <c r="B9419" s="77" t="s">
        <v>135</v>
      </c>
      <c r="C9419" s="78" t="s">
        <v>136</v>
      </c>
      <c r="D9419" s="78" t="s">
        <v>2534</v>
      </c>
      <c r="E9419" s="78" t="s">
        <v>2535</v>
      </c>
    </row>
    <row r="9420" spans="1:5">
      <c r="A9420" s="76" t="s">
        <v>4525</v>
      </c>
      <c r="B9420" s="77" t="s">
        <v>839</v>
      </c>
      <c r="C9420" s="78">
        <v>1</v>
      </c>
      <c r="D9420" s="78">
        <v>26.15</v>
      </c>
      <c r="E9420" s="78">
        <f>TRUNC(C9420*D9420,2)</f>
        <v>26.15</v>
      </c>
    </row>
    <row r="9421" ht="25.5" spans="1:5">
      <c r="A9421" s="76" t="s">
        <v>4526</v>
      </c>
      <c r="B9421" s="77" t="s">
        <v>839</v>
      </c>
      <c r="C9421" s="78">
        <v>1</v>
      </c>
      <c r="D9421" s="78">
        <v>99.43</v>
      </c>
      <c r="E9421" s="78">
        <f>TRUNC(C9421*D9421,2)</f>
        <v>99.43</v>
      </c>
    </row>
    <row r="9422" ht="25.5" spans="1:5">
      <c r="A9422" s="76" t="s">
        <v>4527</v>
      </c>
      <c r="B9422" s="77" t="s">
        <v>839</v>
      </c>
      <c r="C9422" s="78">
        <v>1</v>
      </c>
      <c r="D9422" s="78">
        <v>35.05</v>
      </c>
      <c r="E9422" s="78">
        <f>TRUNC(C9422*D9422,2)</f>
        <v>35.05</v>
      </c>
    </row>
    <row r="9423" ht="25.5" spans="1:5">
      <c r="A9423" s="76" t="s">
        <v>4530</v>
      </c>
      <c r="B9423" s="77" t="s">
        <v>839</v>
      </c>
      <c r="C9423" s="78">
        <v>1</v>
      </c>
      <c r="D9423" s="78">
        <v>14.16</v>
      </c>
      <c r="E9423" s="78">
        <f>TRUNC(C9423*D9423,2)</f>
        <v>14.16</v>
      </c>
    </row>
    <row r="9424" spans="1:5">
      <c r="A9424" s="76" t="s">
        <v>122</v>
      </c>
      <c r="B9424" s="77"/>
      <c r="C9424" s="78"/>
      <c r="D9424" s="78"/>
      <c r="E9424" s="78">
        <f>SUM(E9420:E9423)</f>
        <v>174.79</v>
      </c>
    </row>
    <row r="9425" spans="1:5">
      <c r="A9425" s="76"/>
      <c r="B9425" s="77"/>
      <c r="C9425" s="78"/>
      <c r="D9425" s="78"/>
      <c r="E9425" s="78"/>
    </row>
    <row r="9426" spans="1:5">
      <c r="A9426" s="76" t="s">
        <v>2538</v>
      </c>
      <c r="B9426" s="77"/>
      <c r="C9426" s="78"/>
      <c r="D9426" s="78"/>
      <c r="E9426" s="78">
        <f>E9424</f>
        <v>174.79</v>
      </c>
    </row>
    <row r="9427" spans="1:5">
      <c r="A9427" s="76" t="s">
        <v>2539</v>
      </c>
      <c r="B9427" s="77"/>
      <c r="C9427" s="78"/>
      <c r="D9427" s="78">
        <v>0</v>
      </c>
      <c r="E9427" s="78">
        <f>TRUNC(D9427*E9426/100,2)</f>
        <v>0</v>
      </c>
    </row>
    <row r="9428" spans="1:5">
      <c r="A9428" s="76" t="s">
        <v>2540</v>
      </c>
      <c r="B9428" s="77"/>
      <c r="C9428" s="78"/>
      <c r="D9428" s="78"/>
      <c r="E9428" s="78">
        <f>E9426+E9427</f>
        <v>174.79</v>
      </c>
    </row>
    <row r="9429" spans="1:5">
      <c r="A9429" s="76"/>
      <c r="B9429" s="77"/>
      <c r="C9429" s="78"/>
      <c r="D9429" s="78"/>
      <c r="E9429" s="78"/>
    </row>
    <row r="9430" spans="1:5">
      <c r="A9430" s="76" t="s">
        <v>3092</v>
      </c>
      <c r="B9430" s="77">
        <v>127000059024</v>
      </c>
      <c r="C9430" s="78"/>
      <c r="D9430" s="78"/>
      <c r="E9430" s="78"/>
    </row>
    <row r="9431" spans="1:5">
      <c r="A9431" s="76" t="s">
        <v>4550</v>
      </c>
      <c r="B9431" s="77"/>
      <c r="C9431" s="78"/>
      <c r="D9431" s="78"/>
      <c r="E9431" s="78"/>
    </row>
    <row r="9432" spans="1:5">
      <c r="A9432" s="76" t="s">
        <v>2764</v>
      </c>
      <c r="B9432" s="77"/>
      <c r="C9432" s="78"/>
      <c r="D9432" s="78"/>
      <c r="E9432" s="78"/>
    </row>
    <row r="9433" spans="1:5">
      <c r="A9433" s="76"/>
      <c r="B9433" s="77"/>
      <c r="C9433" s="78"/>
      <c r="D9433" s="78"/>
      <c r="E9433" s="78"/>
    </row>
    <row r="9434" spans="1:5">
      <c r="A9434" s="76" t="s">
        <v>280</v>
      </c>
      <c r="B9434" s="77" t="s">
        <v>135</v>
      </c>
      <c r="C9434" s="78" t="s">
        <v>136</v>
      </c>
      <c r="D9434" s="78" t="s">
        <v>2534</v>
      </c>
      <c r="E9434" s="78" t="s">
        <v>2535</v>
      </c>
    </row>
    <row r="9435" spans="1:5">
      <c r="A9435" s="76" t="s">
        <v>4551</v>
      </c>
      <c r="B9435" s="77" t="s">
        <v>839</v>
      </c>
      <c r="C9435" s="78">
        <v>1</v>
      </c>
      <c r="D9435" s="78">
        <v>144.18</v>
      </c>
      <c r="E9435" s="78">
        <f>TRUNC(C9435*D9435,2)</f>
        <v>144.18</v>
      </c>
    </row>
    <row r="9436" ht="25.5" spans="1:5">
      <c r="A9436" s="76" t="s">
        <v>3113</v>
      </c>
      <c r="B9436" s="77" t="s">
        <v>839</v>
      </c>
      <c r="C9436" s="78">
        <v>1</v>
      </c>
      <c r="D9436" s="78">
        <v>0.08</v>
      </c>
      <c r="E9436" s="78">
        <f>TRUNC(C9436*D9436,2)</f>
        <v>0.08</v>
      </c>
    </row>
    <row r="9437" spans="1:5">
      <c r="A9437" s="76" t="s">
        <v>122</v>
      </c>
      <c r="B9437" s="77"/>
      <c r="C9437" s="78"/>
      <c r="D9437" s="78"/>
      <c r="E9437" s="78">
        <f>SUM(E9435:E9436)</f>
        <v>144.26</v>
      </c>
    </row>
    <row r="9438" spans="1:5">
      <c r="A9438" s="76" t="s">
        <v>117</v>
      </c>
      <c r="B9438" s="77"/>
      <c r="C9438" s="78"/>
      <c r="D9438" s="78"/>
      <c r="E9438" s="78" t="str">
        <f>"0"</f>
        <v>0</v>
      </c>
    </row>
    <row r="9439" spans="1:5">
      <c r="A9439" s="76" t="s">
        <v>2537</v>
      </c>
      <c r="B9439" s="77"/>
      <c r="C9439" s="78"/>
      <c r="D9439" s="78"/>
      <c r="E9439" s="78">
        <f>E9437+E9438</f>
        <v>144.26</v>
      </c>
    </row>
    <row r="9440" spans="1:5">
      <c r="A9440" s="76"/>
      <c r="B9440" s="77"/>
      <c r="C9440" s="78"/>
      <c r="D9440" s="78"/>
      <c r="E9440" s="78"/>
    </row>
    <row r="9441" spans="1:5">
      <c r="A9441" s="76" t="s">
        <v>2543</v>
      </c>
      <c r="B9441" s="77" t="s">
        <v>135</v>
      </c>
      <c r="C9441" s="78" t="s">
        <v>136</v>
      </c>
      <c r="D9441" s="78" t="s">
        <v>2534</v>
      </c>
      <c r="E9441" s="78" t="s">
        <v>2535</v>
      </c>
    </row>
    <row r="9442" ht="25.5" spans="1:5">
      <c r="A9442" s="76" t="s">
        <v>4552</v>
      </c>
      <c r="B9442" s="77" t="s">
        <v>839</v>
      </c>
      <c r="C9442" s="78">
        <v>1</v>
      </c>
      <c r="D9442" s="78">
        <v>0.77</v>
      </c>
      <c r="E9442" s="78">
        <f>TRUNC(C9442*D9442,2)</f>
        <v>0.77</v>
      </c>
    </row>
    <row r="9443" spans="1:5">
      <c r="A9443" s="76" t="s">
        <v>3116</v>
      </c>
      <c r="B9443" s="77" t="s">
        <v>839</v>
      </c>
      <c r="C9443" s="78">
        <v>1</v>
      </c>
      <c r="D9443" s="78">
        <v>1.43</v>
      </c>
      <c r="E9443" s="78">
        <f>TRUNC(C9443*D9443,2)</f>
        <v>1.43</v>
      </c>
    </row>
    <row r="9444" ht="25.5" spans="1:5">
      <c r="A9444" s="76" t="s">
        <v>4553</v>
      </c>
      <c r="B9444" s="77" t="s">
        <v>839</v>
      </c>
      <c r="C9444" s="78">
        <v>1</v>
      </c>
      <c r="D9444" s="78">
        <v>0.01</v>
      </c>
      <c r="E9444" s="78">
        <f>TRUNC(C9444*D9444,2)</f>
        <v>0.01</v>
      </c>
    </row>
    <row r="9445" ht="25.5" spans="1:5">
      <c r="A9445" s="76" t="s">
        <v>4554</v>
      </c>
      <c r="B9445" s="77" t="s">
        <v>839</v>
      </c>
      <c r="C9445" s="78">
        <v>1</v>
      </c>
      <c r="D9445" s="78">
        <v>2.13</v>
      </c>
      <c r="E9445" s="78">
        <f>TRUNC(C9445*D9445,2)</f>
        <v>2.13</v>
      </c>
    </row>
    <row r="9446" spans="1:5">
      <c r="A9446" s="76" t="s">
        <v>122</v>
      </c>
      <c r="B9446" s="77"/>
      <c r="C9446" s="78"/>
      <c r="D9446" s="78"/>
      <c r="E9446" s="78">
        <f>SUM(E9442:E9445)</f>
        <v>4.34</v>
      </c>
    </row>
    <row r="9447" spans="1:5">
      <c r="A9447" s="76"/>
      <c r="B9447" s="77"/>
      <c r="C9447" s="78"/>
      <c r="D9447" s="78"/>
      <c r="E9447" s="78"/>
    </row>
    <row r="9448" spans="1:5">
      <c r="A9448" s="76" t="s">
        <v>2538</v>
      </c>
      <c r="B9448" s="77"/>
      <c r="C9448" s="78"/>
      <c r="D9448" s="78"/>
      <c r="E9448" s="78">
        <f>E9439+E9446</f>
        <v>148.6</v>
      </c>
    </row>
    <row r="9449" spans="1:5">
      <c r="A9449" s="76" t="s">
        <v>2539</v>
      </c>
      <c r="B9449" s="77"/>
      <c r="C9449" s="78"/>
      <c r="D9449" s="78">
        <v>0</v>
      </c>
      <c r="E9449" s="78">
        <f>TRUNC(D9449*E9448/100,2)</f>
        <v>0</v>
      </c>
    </row>
    <row r="9450" spans="1:5">
      <c r="A9450" s="76" t="s">
        <v>2540</v>
      </c>
      <c r="B9450" s="77"/>
      <c r="C9450" s="78"/>
      <c r="D9450" s="78"/>
      <c r="E9450" s="78">
        <f>E9448+E9449</f>
        <v>148.6</v>
      </c>
    </row>
    <row r="9451" spans="1:5">
      <c r="A9451" s="76"/>
      <c r="B9451" s="77"/>
      <c r="C9451" s="78"/>
      <c r="D9451" s="78"/>
      <c r="E9451" s="78"/>
    </row>
    <row r="9452" spans="1:5">
      <c r="A9452" s="76" t="s">
        <v>3092</v>
      </c>
      <c r="B9452" s="77">
        <v>128100118006</v>
      </c>
      <c r="C9452" s="78"/>
      <c r="D9452" s="78"/>
      <c r="E9452" s="78"/>
    </row>
    <row r="9453" ht="25.5" spans="1:5">
      <c r="A9453" s="76" t="s">
        <v>4555</v>
      </c>
      <c r="B9453" s="77"/>
      <c r="C9453" s="78"/>
      <c r="D9453" s="78"/>
      <c r="E9453" s="78"/>
    </row>
    <row r="9454" spans="1:5">
      <c r="A9454" s="76" t="s">
        <v>2764</v>
      </c>
      <c r="B9454" s="77"/>
      <c r="C9454" s="78"/>
      <c r="D9454" s="78"/>
      <c r="E9454" s="78"/>
    </row>
    <row r="9455" spans="1:5">
      <c r="A9455" s="76"/>
      <c r="B9455" s="77"/>
      <c r="C9455" s="78"/>
      <c r="D9455" s="78"/>
      <c r="E9455" s="78"/>
    </row>
    <row r="9456" spans="1:5">
      <c r="A9456" s="76" t="s">
        <v>280</v>
      </c>
      <c r="B9456" s="77" t="s">
        <v>135</v>
      </c>
      <c r="C9456" s="78" t="s">
        <v>136</v>
      </c>
      <c r="D9456" s="78" t="s">
        <v>2534</v>
      </c>
      <c r="E9456" s="78" t="s">
        <v>2535</v>
      </c>
    </row>
    <row r="9457" spans="1:5">
      <c r="A9457" s="76" t="s">
        <v>4551</v>
      </c>
      <c r="B9457" s="77" t="s">
        <v>839</v>
      </c>
      <c r="C9457" s="78">
        <v>0.0148</v>
      </c>
      <c r="D9457" s="78">
        <v>144.18</v>
      </c>
      <c r="E9457" s="78">
        <f>TRUNC(C9457*D9457,2)</f>
        <v>2.13</v>
      </c>
    </row>
    <row r="9458" spans="1:5">
      <c r="A9458" s="76" t="s">
        <v>122</v>
      </c>
      <c r="B9458" s="77"/>
      <c r="C9458" s="78"/>
      <c r="D9458" s="78"/>
      <c r="E9458" s="78">
        <f>SUM(E9457:E9457)</f>
        <v>2.13</v>
      </c>
    </row>
    <row r="9459" spans="1:5">
      <c r="A9459" s="76" t="s">
        <v>117</v>
      </c>
      <c r="B9459" s="77"/>
      <c r="C9459" s="78"/>
      <c r="D9459" s="78"/>
      <c r="E9459" s="78" t="str">
        <f>"0"</f>
        <v>0</v>
      </c>
    </row>
    <row r="9460" spans="1:5">
      <c r="A9460" s="76" t="s">
        <v>2537</v>
      </c>
      <c r="B9460" s="77"/>
      <c r="C9460" s="78"/>
      <c r="D9460" s="78"/>
      <c r="E9460" s="78">
        <f>E9458+E9459</f>
        <v>2.13</v>
      </c>
    </row>
    <row r="9461" spans="1:5">
      <c r="A9461" s="76"/>
      <c r="B9461" s="77"/>
      <c r="C9461" s="78"/>
      <c r="D9461" s="78"/>
      <c r="E9461" s="78"/>
    </row>
    <row r="9462" spans="1:5">
      <c r="A9462" s="76" t="s">
        <v>2538</v>
      </c>
      <c r="B9462" s="77"/>
      <c r="C9462" s="78"/>
      <c r="D9462" s="78"/>
      <c r="E9462" s="78">
        <f>E9460</f>
        <v>2.13</v>
      </c>
    </row>
    <row r="9463" spans="1:5">
      <c r="A9463" s="76" t="s">
        <v>2539</v>
      </c>
      <c r="B9463" s="77"/>
      <c r="C9463" s="78"/>
      <c r="D9463" s="78">
        <v>0</v>
      </c>
      <c r="E9463" s="78">
        <f>TRUNC(D9463*E9462/100,2)</f>
        <v>0</v>
      </c>
    </row>
    <row r="9464" spans="1:5">
      <c r="A9464" s="76" t="s">
        <v>2540</v>
      </c>
      <c r="B9464" s="77"/>
      <c r="C9464" s="78"/>
      <c r="D9464" s="78"/>
      <c r="E9464" s="78">
        <f>E9462+E9463</f>
        <v>2.13</v>
      </c>
    </row>
    <row r="9465" spans="1:5">
      <c r="A9465" s="76"/>
      <c r="B9465" s="77"/>
      <c r="C9465" s="78"/>
      <c r="D9465" s="78"/>
      <c r="E9465" s="78"/>
    </row>
    <row r="9466" spans="1:5">
      <c r="A9466" s="76" t="s">
        <v>3092</v>
      </c>
      <c r="B9466" s="77">
        <v>2240019002011</v>
      </c>
      <c r="C9466" s="78"/>
      <c r="D9466" s="78"/>
      <c r="E9466" s="78"/>
    </row>
    <row r="9467" ht="25.5" spans="1:5">
      <c r="A9467" s="76" t="s">
        <v>4556</v>
      </c>
      <c r="B9467" s="77"/>
      <c r="C9467" s="78"/>
      <c r="D9467" s="78"/>
      <c r="E9467" s="78"/>
    </row>
    <row r="9468" spans="1:5">
      <c r="A9468" s="76" t="s">
        <v>3085</v>
      </c>
      <c r="B9468" s="77"/>
      <c r="C9468" s="78"/>
      <c r="D9468" s="78"/>
      <c r="E9468" s="78"/>
    </row>
    <row r="9469" spans="1:5">
      <c r="A9469" s="76"/>
      <c r="B9469" s="77"/>
      <c r="C9469" s="78"/>
      <c r="D9469" s="78"/>
      <c r="E9469" s="78"/>
    </row>
    <row r="9470" spans="1:5">
      <c r="A9470" s="76" t="s">
        <v>2543</v>
      </c>
      <c r="B9470" s="77" t="s">
        <v>135</v>
      </c>
      <c r="C9470" s="78" t="s">
        <v>136</v>
      </c>
      <c r="D9470" s="78" t="s">
        <v>2534</v>
      </c>
      <c r="E9470" s="78" t="s">
        <v>2535</v>
      </c>
    </row>
    <row r="9471" ht="25.5" spans="1:5">
      <c r="A9471" s="76" t="s">
        <v>4557</v>
      </c>
      <c r="B9471" s="77" t="s">
        <v>839</v>
      </c>
      <c r="C9471" s="78">
        <v>1</v>
      </c>
      <c r="D9471" s="78">
        <v>0.44</v>
      </c>
      <c r="E9471" s="78">
        <f>TRUNC(C9471*D9471,2)</f>
        <v>0.44</v>
      </c>
    </row>
    <row r="9472" spans="1:5">
      <c r="A9472" s="76" t="s">
        <v>4558</v>
      </c>
      <c r="B9472" s="77" t="s">
        <v>839</v>
      </c>
      <c r="C9472" s="78">
        <v>1</v>
      </c>
      <c r="D9472" s="78">
        <v>0.12</v>
      </c>
      <c r="E9472" s="78">
        <f>TRUNC(C9472*D9472,2)</f>
        <v>0.12</v>
      </c>
    </row>
    <row r="9473" ht="25.5" spans="1:5">
      <c r="A9473" s="76" t="s">
        <v>4559</v>
      </c>
      <c r="B9473" s="77" t="s">
        <v>839</v>
      </c>
      <c r="C9473" s="78">
        <v>1</v>
      </c>
      <c r="D9473" s="78">
        <v>0.57</v>
      </c>
      <c r="E9473" s="78">
        <f>TRUNC(C9473*D9473,2)</f>
        <v>0.57</v>
      </c>
    </row>
    <row r="9474" spans="1:5">
      <c r="A9474" s="76" t="s">
        <v>122</v>
      </c>
      <c r="B9474" s="77"/>
      <c r="C9474" s="78"/>
      <c r="D9474" s="78"/>
      <c r="E9474" s="78">
        <f>SUM(E9471:E9473)</f>
        <v>1.13</v>
      </c>
    </row>
    <row r="9475" spans="1:5">
      <c r="A9475" s="76"/>
      <c r="B9475" s="77"/>
      <c r="C9475" s="78"/>
      <c r="D9475" s="78"/>
      <c r="E9475" s="78"/>
    </row>
    <row r="9476" spans="1:5">
      <c r="A9476" s="76" t="s">
        <v>2538</v>
      </c>
      <c r="B9476" s="77"/>
      <c r="C9476" s="78"/>
      <c r="D9476" s="78"/>
      <c r="E9476" s="78">
        <f>E9474</f>
        <v>1.13</v>
      </c>
    </row>
    <row r="9477" spans="1:5">
      <c r="A9477" s="76" t="s">
        <v>2539</v>
      </c>
      <c r="B9477" s="77"/>
      <c r="C9477" s="78"/>
      <c r="D9477" s="78">
        <v>0</v>
      </c>
      <c r="E9477" s="78">
        <f>TRUNC(D9477*E9476/100,2)</f>
        <v>0</v>
      </c>
    </row>
    <row r="9478" spans="1:5">
      <c r="A9478" s="76" t="s">
        <v>2540</v>
      </c>
      <c r="B9478" s="77"/>
      <c r="C9478" s="78"/>
      <c r="D9478" s="78"/>
      <c r="E9478" s="78">
        <f>E9476+E9477</f>
        <v>1.13</v>
      </c>
    </row>
    <row r="9479" spans="1:5">
      <c r="A9479" s="76"/>
      <c r="B9479" s="77"/>
      <c r="C9479" s="78"/>
      <c r="D9479" s="78"/>
      <c r="E9479" s="78"/>
    </row>
    <row r="9480" spans="1:5">
      <c r="A9480" s="76" t="s">
        <v>3092</v>
      </c>
      <c r="B9480" s="77">
        <v>2203009001125</v>
      </c>
      <c r="C9480" s="78"/>
      <c r="D9480" s="78"/>
      <c r="E9480" s="78"/>
    </row>
    <row r="9481" spans="1:5">
      <c r="A9481" s="76" t="s">
        <v>4560</v>
      </c>
      <c r="B9481" s="77"/>
      <c r="C9481" s="78"/>
      <c r="D9481" s="78"/>
      <c r="E9481" s="78"/>
    </row>
    <row r="9482" spans="1:5">
      <c r="A9482" s="76" t="s">
        <v>2764</v>
      </c>
      <c r="B9482" s="77"/>
      <c r="C9482" s="78"/>
      <c r="D9482" s="78"/>
      <c r="E9482" s="78"/>
    </row>
    <row r="9483" spans="1:5">
      <c r="A9483" s="76"/>
      <c r="B9483" s="77"/>
      <c r="C9483" s="78"/>
      <c r="D9483" s="78"/>
      <c r="E9483" s="78"/>
    </row>
    <row r="9484" spans="1:5">
      <c r="A9484" s="76" t="s">
        <v>279</v>
      </c>
      <c r="B9484" s="77" t="s">
        <v>135</v>
      </c>
      <c r="C9484" s="78" t="s">
        <v>136</v>
      </c>
      <c r="D9484" s="78" t="s">
        <v>2534</v>
      </c>
      <c r="E9484" s="78" t="s">
        <v>2535</v>
      </c>
    </row>
    <row r="9485" spans="1:5">
      <c r="A9485" s="76" t="s">
        <v>4561</v>
      </c>
      <c r="B9485" s="77" t="s">
        <v>494</v>
      </c>
      <c r="C9485" s="78">
        <v>4.91e-5</v>
      </c>
      <c r="D9485" s="78">
        <v>9163.25</v>
      </c>
      <c r="E9485" s="78">
        <f>TRUNC(C9485*D9485,2)</f>
        <v>0.44</v>
      </c>
    </row>
    <row r="9486" spans="1:5">
      <c r="A9486" s="76" t="s">
        <v>122</v>
      </c>
      <c r="B9486" s="77"/>
      <c r="C9486" s="78"/>
      <c r="D9486" s="78"/>
      <c r="E9486" s="78">
        <f>SUM(E9485:E9485)</f>
        <v>0.44</v>
      </c>
    </row>
    <row r="9487" spans="1:5">
      <c r="A9487" s="76"/>
      <c r="B9487" s="77"/>
      <c r="C9487" s="78"/>
      <c r="D9487" s="78"/>
      <c r="E9487" s="78"/>
    </row>
    <row r="9488" spans="1:5">
      <c r="A9488" s="76" t="s">
        <v>2538</v>
      </c>
      <c r="B9488" s="77"/>
      <c r="C9488" s="78"/>
      <c r="D9488" s="78"/>
      <c r="E9488" s="78">
        <f>E9486</f>
        <v>0.44</v>
      </c>
    </row>
    <row r="9489" spans="1:5">
      <c r="A9489" s="76" t="s">
        <v>2539</v>
      </c>
      <c r="B9489" s="77"/>
      <c r="C9489" s="78"/>
      <c r="D9489" s="78">
        <v>0</v>
      </c>
      <c r="E9489" s="78">
        <f>TRUNC(D9489*E9488/100,2)</f>
        <v>0</v>
      </c>
    </row>
    <row r="9490" spans="1:5">
      <c r="A9490" s="76" t="s">
        <v>2540</v>
      </c>
      <c r="B9490" s="77"/>
      <c r="C9490" s="78"/>
      <c r="D9490" s="78"/>
      <c r="E9490" s="78">
        <f>E9488+E9489</f>
        <v>0.44</v>
      </c>
    </row>
    <row r="9491" spans="1:5">
      <c r="A9491" s="76"/>
      <c r="B9491" s="77"/>
      <c r="C9491" s="78"/>
      <c r="D9491" s="78"/>
      <c r="E9491" s="78"/>
    </row>
    <row r="9492" spans="1:5">
      <c r="A9492" s="76" t="s">
        <v>3092</v>
      </c>
      <c r="B9492" s="77">
        <v>2203009001122</v>
      </c>
      <c r="C9492" s="78"/>
      <c r="D9492" s="78"/>
      <c r="E9492" s="78"/>
    </row>
    <row r="9493" spans="1:5">
      <c r="A9493" s="76" t="s">
        <v>4562</v>
      </c>
      <c r="B9493" s="77"/>
      <c r="C9493" s="78"/>
      <c r="D9493" s="78"/>
      <c r="E9493" s="78"/>
    </row>
    <row r="9494" spans="1:5">
      <c r="A9494" s="76" t="s">
        <v>2764</v>
      </c>
      <c r="B9494" s="77"/>
      <c r="C9494" s="78"/>
      <c r="D9494" s="78"/>
      <c r="E9494" s="78"/>
    </row>
    <row r="9495" spans="1:5">
      <c r="A9495" s="76"/>
      <c r="B9495" s="77"/>
      <c r="C9495" s="78"/>
      <c r="D9495" s="78"/>
      <c r="E9495" s="78"/>
    </row>
    <row r="9496" spans="1:5">
      <c r="A9496" s="76" t="s">
        <v>279</v>
      </c>
      <c r="B9496" s="77" t="s">
        <v>135</v>
      </c>
      <c r="C9496" s="78" t="s">
        <v>136</v>
      </c>
      <c r="D9496" s="78" t="s">
        <v>2534</v>
      </c>
      <c r="E9496" s="78" t="s">
        <v>2535</v>
      </c>
    </row>
    <row r="9497" spans="1:5">
      <c r="A9497" s="76" t="s">
        <v>4561</v>
      </c>
      <c r="B9497" s="77" t="s">
        <v>494</v>
      </c>
      <c r="C9497" s="78">
        <v>1.418e-5</v>
      </c>
      <c r="D9497" s="78">
        <v>9163.25</v>
      </c>
      <c r="E9497" s="78">
        <f>TRUNC(C9497*D9497,2)</f>
        <v>0.12</v>
      </c>
    </row>
    <row r="9498" spans="1:5">
      <c r="A9498" s="76" t="s">
        <v>122</v>
      </c>
      <c r="B9498" s="77"/>
      <c r="C9498" s="78"/>
      <c r="D9498" s="78"/>
      <c r="E9498" s="78">
        <f>SUM(E9497:E9497)</f>
        <v>0.12</v>
      </c>
    </row>
    <row r="9499" spans="1:5">
      <c r="A9499" s="76"/>
      <c r="B9499" s="77"/>
      <c r="C9499" s="78"/>
      <c r="D9499" s="78"/>
      <c r="E9499" s="78"/>
    </row>
    <row r="9500" spans="1:5">
      <c r="A9500" s="76" t="s">
        <v>2538</v>
      </c>
      <c r="B9500" s="77"/>
      <c r="C9500" s="78"/>
      <c r="D9500" s="78"/>
      <c r="E9500" s="78">
        <f>E9498</f>
        <v>0.12</v>
      </c>
    </row>
    <row r="9501" spans="1:5">
      <c r="A9501" s="76" t="s">
        <v>2539</v>
      </c>
      <c r="B9501" s="77"/>
      <c r="C9501" s="78"/>
      <c r="D9501" s="78">
        <v>0</v>
      </c>
      <c r="E9501" s="78">
        <f>TRUNC(D9501*E9500/100,2)</f>
        <v>0</v>
      </c>
    </row>
    <row r="9502" spans="1:5">
      <c r="A9502" s="76" t="s">
        <v>2540</v>
      </c>
      <c r="B9502" s="77"/>
      <c r="C9502" s="78"/>
      <c r="D9502" s="78"/>
      <c r="E9502" s="78">
        <f>E9500+E9501</f>
        <v>0.12</v>
      </c>
    </row>
    <row r="9503" spans="1:5">
      <c r="A9503" s="76"/>
      <c r="B9503" s="77"/>
      <c r="C9503" s="78"/>
      <c r="D9503" s="78"/>
      <c r="E9503" s="78"/>
    </row>
    <row r="9504" spans="1:5">
      <c r="A9504" s="76" t="s">
        <v>3092</v>
      </c>
      <c r="B9504" s="77">
        <v>2203009001121</v>
      </c>
      <c r="C9504" s="78"/>
      <c r="D9504" s="78"/>
      <c r="E9504" s="78"/>
    </row>
    <row r="9505" spans="1:5">
      <c r="A9505" s="76" t="s">
        <v>4563</v>
      </c>
      <c r="B9505" s="77"/>
      <c r="C9505" s="78"/>
      <c r="D9505" s="78"/>
      <c r="E9505" s="78"/>
    </row>
    <row r="9506" spans="1:5">
      <c r="A9506" s="76" t="s">
        <v>2764</v>
      </c>
      <c r="B9506" s="77"/>
      <c r="C9506" s="78"/>
      <c r="D9506" s="78"/>
      <c r="E9506" s="78"/>
    </row>
    <row r="9507" spans="1:5">
      <c r="A9507" s="76"/>
      <c r="B9507" s="77"/>
      <c r="C9507" s="78"/>
      <c r="D9507" s="78"/>
      <c r="E9507" s="78"/>
    </row>
    <row r="9508" spans="1:5">
      <c r="A9508" s="76" t="s">
        <v>279</v>
      </c>
      <c r="B9508" s="77" t="s">
        <v>135</v>
      </c>
      <c r="C9508" s="78" t="s">
        <v>136</v>
      </c>
      <c r="D9508" s="78" t="s">
        <v>2534</v>
      </c>
      <c r="E9508" s="78" t="s">
        <v>2535</v>
      </c>
    </row>
    <row r="9509" spans="1:5">
      <c r="A9509" s="76" t="s">
        <v>4561</v>
      </c>
      <c r="B9509" s="77" t="s">
        <v>494</v>
      </c>
      <c r="C9509" s="78">
        <v>6.329e-5</v>
      </c>
      <c r="D9509" s="78">
        <v>9163.25</v>
      </c>
      <c r="E9509" s="78">
        <f>TRUNC(C9509*D9509,2)</f>
        <v>0.57</v>
      </c>
    </row>
    <row r="9510" spans="1:5">
      <c r="A9510" s="76" t="s">
        <v>122</v>
      </c>
      <c r="B9510" s="77"/>
      <c r="C9510" s="78"/>
      <c r="D9510" s="78"/>
      <c r="E9510" s="78">
        <f>SUM(E9509:E9509)</f>
        <v>0.57</v>
      </c>
    </row>
    <row r="9511" spans="1:5">
      <c r="A9511" s="76"/>
      <c r="B9511" s="77"/>
      <c r="C9511" s="78"/>
      <c r="D9511" s="78"/>
      <c r="E9511" s="78"/>
    </row>
    <row r="9512" spans="1:5">
      <c r="A9512" s="76" t="s">
        <v>2538</v>
      </c>
      <c r="B9512" s="77"/>
      <c r="C9512" s="78"/>
      <c r="D9512" s="78"/>
      <c r="E9512" s="78">
        <f>E9510</f>
        <v>0.57</v>
      </c>
    </row>
    <row r="9513" spans="1:5">
      <c r="A9513" s="76" t="s">
        <v>2539</v>
      </c>
      <c r="B9513" s="77"/>
      <c r="C9513" s="78"/>
      <c r="D9513" s="78">
        <v>0</v>
      </c>
      <c r="E9513" s="78">
        <f>TRUNC(D9513*E9512/100,2)</f>
        <v>0</v>
      </c>
    </row>
    <row r="9514" spans="1:5">
      <c r="A9514" s="76" t="s">
        <v>2540</v>
      </c>
      <c r="B9514" s="77"/>
      <c r="C9514" s="78"/>
      <c r="D9514" s="78"/>
      <c r="E9514" s="78">
        <f>E9512+E9513</f>
        <v>0.57</v>
      </c>
    </row>
    <row r="9515" spans="1:5">
      <c r="A9515" s="76"/>
      <c r="B9515" s="77"/>
      <c r="C9515" s="78"/>
      <c r="D9515" s="78"/>
      <c r="E9515" s="78"/>
    </row>
    <row r="9516" spans="1:5">
      <c r="A9516" s="76" t="s">
        <v>3092</v>
      </c>
      <c r="B9516" s="77">
        <v>2207019002003</v>
      </c>
      <c r="C9516" s="78"/>
      <c r="D9516" s="78"/>
      <c r="E9516" s="78"/>
    </row>
    <row r="9517" ht="25.5" spans="1:5">
      <c r="A9517" s="76" t="s">
        <v>4564</v>
      </c>
      <c r="B9517" s="77"/>
      <c r="C9517" s="78"/>
      <c r="D9517" s="78"/>
      <c r="E9517" s="78"/>
    </row>
    <row r="9518" spans="1:5">
      <c r="A9518" s="76" t="s">
        <v>3085</v>
      </c>
      <c r="B9518" s="77"/>
      <c r="C9518" s="78"/>
      <c r="D9518" s="78"/>
      <c r="E9518" s="78"/>
    </row>
    <row r="9519" spans="1:5">
      <c r="A9519" s="76"/>
      <c r="B9519" s="77"/>
      <c r="C9519" s="78"/>
      <c r="D9519" s="78"/>
      <c r="E9519" s="78"/>
    </row>
    <row r="9520" spans="1:5">
      <c r="A9520" s="76" t="s">
        <v>2543</v>
      </c>
      <c r="B9520" s="77" t="s">
        <v>135</v>
      </c>
      <c r="C9520" s="78" t="s">
        <v>136</v>
      </c>
      <c r="D9520" s="78" t="s">
        <v>2534</v>
      </c>
      <c r="E9520" s="78" t="s">
        <v>2535</v>
      </c>
    </row>
    <row r="9521" ht="25.5" spans="1:5">
      <c r="A9521" s="76" t="s">
        <v>4565</v>
      </c>
      <c r="B9521" s="77" t="s">
        <v>839</v>
      </c>
      <c r="C9521" s="78">
        <v>1</v>
      </c>
      <c r="D9521" s="78">
        <v>0.18</v>
      </c>
      <c r="E9521" s="78">
        <f>TRUNC(C9521*D9521,2)</f>
        <v>0.18</v>
      </c>
    </row>
    <row r="9522" ht="25.5" spans="1:5">
      <c r="A9522" s="76" t="s">
        <v>4566</v>
      </c>
      <c r="B9522" s="77" t="s">
        <v>839</v>
      </c>
      <c r="C9522" s="78">
        <v>1</v>
      </c>
      <c r="D9522" s="78">
        <v>0.2</v>
      </c>
      <c r="E9522" s="78">
        <f>TRUNC(C9522*D9522,2)</f>
        <v>0.2</v>
      </c>
    </row>
    <row r="9523" ht="25.5" spans="1:5">
      <c r="A9523" s="76" t="s">
        <v>4567</v>
      </c>
      <c r="B9523" s="77" t="s">
        <v>839</v>
      </c>
      <c r="C9523" s="78">
        <v>1</v>
      </c>
      <c r="D9523" s="78">
        <v>15.49</v>
      </c>
      <c r="E9523" s="78">
        <f>TRUNC(C9523*D9523,2)</f>
        <v>15.49</v>
      </c>
    </row>
    <row r="9524" ht="25.5" spans="1:5">
      <c r="A9524" s="76" t="s">
        <v>4568</v>
      </c>
      <c r="B9524" s="77" t="s">
        <v>839</v>
      </c>
      <c r="C9524" s="78">
        <v>1</v>
      </c>
      <c r="D9524" s="78">
        <v>0.06</v>
      </c>
      <c r="E9524" s="78">
        <f>TRUNC(C9524*D9524,2)</f>
        <v>0.06</v>
      </c>
    </row>
    <row r="9525" spans="1:5">
      <c r="A9525" s="76" t="s">
        <v>122</v>
      </c>
      <c r="B9525" s="77"/>
      <c r="C9525" s="78"/>
      <c r="D9525" s="78"/>
      <c r="E9525" s="78">
        <f>SUM(E9521:E9524)</f>
        <v>15.93</v>
      </c>
    </row>
    <row r="9526" spans="1:5">
      <c r="A9526" s="76"/>
      <c r="B9526" s="77"/>
      <c r="C9526" s="78"/>
      <c r="D9526" s="78"/>
      <c r="E9526" s="78"/>
    </row>
    <row r="9527" spans="1:5">
      <c r="A9527" s="76" t="s">
        <v>2538</v>
      </c>
      <c r="B9527" s="77"/>
      <c r="C9527" s="78"/>
      <c r="D9527" s="78"/>
      <c r="E9527" s="78">
        <f>E9525</f>
        <v>15.93</v>
      </c>
    </row>
    <row r="9528" spans="1:5">
      <c r="A9528" s="76" t="s">
        <v>2539</v>
      </c>
      <c r="B9528" s="77"/>
      <c r="C9528" s="78"/>
      <c r="D9528" s="78">
        <v>0</v>
      </c>
      <c r="E9528" s="78">
        <f>TRUNC(D9528*E9527/100,2)</f>
        <v>0</v>
      </c>
    </row>
    <row r="9529" spans="1:5">
      <c r="A9529" s="76" t="s">
        <v>2540</v>
      </c>
      <c r="B9529" s="77"/>
      <c r="C9529" s="78"/>
      <c r="D9529" s="78"/>
      <c r="E9529" s="78">
        <f>E9527+E9528</f>
        <v>15.93</v>
      </c>
    </row>
    <row r="9530" spans="1:5">
      <c r="A9530" s="76"/>
      <c r="B9530" s="77"/>
      <c r="C9530" s="78"/>
      <c r="D9530" s="78"/>
      <c r="E9530" s="78"/>
    </row>
    <row r="9531" spans="1:5">
      <c r="A9531" s="76" t="s">
        <v>3092</v>
      </c>
      <c r="B9531" s="77">
        <v>2203009001155</v>
      </c>
      <c r="C9531" s="78"/>
      <c r="D9531" s="78"/>
      <c r="E9531" s="78"/>
    </row>
    <row r="9532" ht="25.5" spans="1:5">
      <c r="A9532" s="76" t="s">
        <v>4569</v>
      </c>
      <c r="B9532" s="77"/>
      <c r="C9532" s="78"/>
      <c r="D9532" s="78"/>
      <c r="E9532" s="78"/>
    </row>
    <row r="9533" spans="1:5">
      <c r="A9533" s="76" t="s">
        <v>2764</v>
      </c>
      <c r="B9533" s="77"/>
      <c r="C9533" s="78"/>
      <c r="D9533" s="78"/>
      <c r="E9533" s="78"/>
    </row>
    <row r="9534" spans="1:5">
      <c r="A9534" s="76"/>
      <c r="B9534" s="77"/>
      <c r="C9534" s="78"/>
      <c r="D9534" s="78"/>
      <c r="E9534" s="78"/>
    </row>
    <row r="9535" spans="1:5">
      <c r="A9535" s="76" t="s">
        <v>2543</v>
      </c>
      <c r="B9535" s="77" t="s">
        <v>135</v>
      </c>
      <c r="C9535" s="78" t="s">
        <v>136</v>
      </c>
      <c r="D9535" s="78" t="s">
        <v>2534</v>
      </c>
      <c r="E9535" s="78" t="s">
        <v>2535</v>
      </c>
    </row>
    <row r="9536" ht="25.5" spans="1:5">
      <c r="A9536" s="76" t="s">
        <v>4570</v>
      </c>
      <c r="B9536" s="77" t="s">
        <v>494</v>
      </c>
      <c r="C9536" s="78">
        <v>3.517e-5</v>
      </c>
      <c r="D9536" s="78">
        <v>5400.9</v>
      </c>
      <c r="E9536" s="78">
        <f>TRUNC(C9536*D9536,2)</f>
        <v>0.18</v>
      </c>
    </row>
    <row r="9537" spans="1:5">
      <c r="A9537" s="76" t="s">
        <v>122</v>
      </c>
      <c r="B9537" s="77"/>
      <c r="C9537" s="78"/>
      <c r="D9537" s="78"/>
      <c r="E9537" s="78">
        <f>SUM(E9536:E9536)</f>
        <v>0.18</v>
      </c>
    </row>
    <row r="9538" spans="1:5">
      <c r="A9538" s="76"/>
      <c r="B9538" s="77"/>
      <c r="C9538" s="78"/>
      <c r="D9538" s="78"/>
      <c r="E9538" s="78"/>
    </row>
    <row r="9539" spans="1:5">
      <c r="A9539" s="76" t="s">
        <v>2538</v>
      </c>
      <c r="B9539" s="77"/>
      <c r="C9539" s="78"/>
      <c r="D9539" s="78"/>
      <c r="E9539" s="78">
        <f>E9537</f>
        <v>0.18</v>
      </c>
    </row>
    <row r="9540" spans="1:5">
      <c r="A9540" s="76" t="s">
        <v>2539</v>
      </c>
      <c r="B9540" s="77"/>
      <c r="C9540" s="78"/>
      <c r="D9540" s="78">
        <v>0</v>
      </c>
      <c r="E9540" s="78">
        <f>TRUNC(D9540*E9539/100,2)</f>
        <v>0</v>
      </c>
    </row>
    <row r="9541" spans="1:5">
      <c r="A9541" s="76" t="s">
        <v>2540</v>
      </c>
      <c r="B9541" s="77"/>
      <c r="C9541" s="78"/>
      <c r="D9541" s="78"/>
      <c r="E9541" s="78">
        <f>E9539+E9540</f>
        <v>0.18</v>
      </c>
    </row>
    <row r="9542" spans="1:5">
      <c r="A9542" s="76"/>
      <c r="B9542" s="77"/>
      <c r="C9542" s="78"/>
      <c r="D9542" s="78"/>
      <c r="E9542" s="78"/>
    </row>
    <row r="9543" spans="1:5">
      <c r="A9543" s="76" t="s">
        <v>3092</v>
      </c>
      <c r="B9543" s="77">
        <v>2203009001151</v>
      </c>
      <c r="C9543" s="78"/>
      <c r="D9543" s="78"/>
      <c r="E9543" s="78"/>
    </row>
    <row r="9544" ht="25.5" spans="1:5">
      <c r="A9544" s="76" t="s">
        <v>4571</v>
      </c>
      <c r="B9544" s="77"/>
      <c r="C9544" s="78"/>
      <c r="D9544" s="78"/>
      <c r="E9544" s="78"/>
    </row>
    <row r="9545" spans="1:5">
      <c r="A9545" s="76" t="s">
        <v>2764</v>
      </c>
      <c r="B9545" s="77"/>
      <c r="C9545" s="78"/>
      <c r="D9545" s="78"/>
      <c r="E9545" s="78"/>
    </row>
    <row r="9546" spans="1:5">
      <c r="A9546" s="76"/>
      <c r="B9546" s="77"/>
      <c r="C9546" s="78"/>
      <c r="D9546" s="78"/>
      <c r="E9546" s="78"/>
    </row>
    <row r="9547" spans="1:5">
      <c r="A9547" s="76" t="s">
        <v>2543</v>
      </c>
      <c r="B9547" s="77" t="s">
        <v>135</v>
      </c>
      <c r="C9547" s="78" t="s">
        <v>136</v>
      </c>
      <c r="D9547" s="78" t="s">
        <v>2534</v>
      </c>
      <c r="E9547" s="78" t="s">
        <v>2535</v>
      </c>
    </row>
    <row r="9548" ht="25.5" spans="1:5">
      <c r="A9548" s="76" t="s">
        <v>4570</v>
      </c>
      <c r="B9548" s="77" t="s">
        <v>494</v>
      </c>
      <c r="C9548" s="78">
        <v>3.888e-5</v>
      </c>
      <c r="D9548" s="78">
        <v>5400.9</v>
      </c>
      <c r="E9548" s="78">
        <f>TRUNC(C9548*D9548,2)</f>
        <v>0.2</v>
      </c>
    </row>
    <row r="9549" spans="1:5">
      <c r="A9549" s="76" t="s">
        <v>122</v>
      </c>
      <c r="B9549" s="77"/>
      <c r="C9549" s="78"/>
      <c r="D9549" s="78"/>
      <c r="E9549" s="78">
        <f>SUM(E9548:E9548)</f>
        <v>0.2</v>
      </c>
    </row>
    <row r="9550" spans="1:5">
      <c r="A9550" s="76"/>
      <c r="B9550" s="77"/>
      <c r="C9550" s="78"/>
      <c r="D9550" s="78"/>
      <c r="E9550" s="78"/>
    </row>
    <row r="9551" spans="1:5">
      <c r="A9551" s="76" t="s">
        <v>2538</v>
      </c>
      <c r="B9551" s="77"/>
      <c r="C9551" s="78"/>
      <c r="D9551" s="78"/>
      <c r="E9551" s="78">
        <f>E9549</f>
        <v>0.2</v>
      </c>
    </row>
    <row r="9552" spans="1:5">
      <c r="A9552" s="76" t="s">
        <v>2539</v>
      </c>
      <c r="B9552" s="77"/>
      <c r="C9552" s="78"/>
      <c r="D9552" s="78">
        <v>0</v>
      </c>
      <c r="E9552" s="78">
        <f>TRUNC(D9552*E9551/100,2)</f>
        <v>0</v>
      </c>
    </row>
    <row r="9553" spans="1:5">
      <c r="A9553" s="76" t="s">
        <v>2540</v>
      </c>
      <c r="B9553" s="77"/>
      <c r="C9553" s="78"/>
      <c r="D9553" s="78"/>
      <c r="E9553" s="78">
        <f>E9551+E9552</f>
        <v>0.2</v>
      </c>
    </row>
    <row r="9554" spans="1:5">
      <c r="A9554" s="76"/>
      <c r="B9554" s="77"/>
      <c r="C9554" s="78"/>
      <c r="D9554" s="78"/>
      <c r="E9554" s="78"/>
    </row>
    <row r="9555" spans="1:5">
      <c r="A9555" s="76" t="s">
        <v>3092</v>
      </c>
      <c r="B9555" s="77">
        <v>2203009001154</v>
      </c>
      <c r="C9555" s="78"/>
      <c r="D9555" s="78"/>
      <c r="E9555" s="78"/>
    </row>
    <row r="9556" ht="25.5" spans="1:5">
      <c r="A9556" s="76" t="s">
        <v>4572</v>
      </c>
      <c r="B9556" s="77"/>
      <c r="C9556" s="78"/>
      <c r="D9556" s="78"/>
      <c r="E9556" s="78"/>
    </row>
    <row r="9557" spans="1:5">
      <c r="A9557" s="76" t="s">
        <v>2764</v>
      </c>
      <c r="B9557" s="77"/>
      <c r="C9557" s="78"/>
      <c r="D9557" s="78"/>
      <c r="E9557" s="78"/>
    </row>
    <row r="9558" spans="1:5">
      <c r="A9558" s="76"/>
      <c r="B9558" s="77"/>
      <c r="C9558" s="78"/>
      <c r="D9558" s="78"/>
      <c r="E9558" s="78"/>
    </row>
    <row r="9559" spans="1:5">
      <c r="A9559" s="76" t="s">
        <v>2543</v>
      </c>
      <c r="B9559" s="77" t="s">
        <v>135</v>
      </c>
      <c r="C9559" s="78" t="s">
        <v>136</v>
      </c>
      <c r="D9559" s="78" t="s">
        <v>2534</v>
      </c>
      <c r="E9559" s="78" t="s">
        <v>2535</v>
      </c>
    </row>
    <row r="9560" spans="1:5">
      <c r="A9560" s="76" t="s">
        <v>3366</v>
      </c>
      <c r="B9560" s="77" t="s">
        <v>215</v>
      </c>
      <c r="C9560" s="78">
        <v>2.6</v>
      </c>
      <c r="D9560" s="78">
        <v>5.96</v>
      </c>
      <c r="E9560" s="78">
        <f>TRUNC(C9560*D9560,2)</f>
        <v>15.49</v>
      </c>
    </row>
    <row r="9561" spans="1:5">
      <c r="A9561" s="76" t="s">
        <v>122</v>
      </c>
      <c r="B9561" s="77"/>
      <c r="C9561" s="78"/>
      <c r="D9561" s="78"/>
      <c r="E9561" s="78">
        <f>SUM(E9560:E9560)</f>
        <v>15.49</v>
      </c>
    </row>
    <row r="9562" spans="1:5">
      <c r="A9562" s="76"/>
      <c r="B9562" s="77"/>
      <c r="C9562" s="78"/>
      <c r="D9562" s="78"/>
      <c r="E9562" s="78"/>
    </row>
    <row r="9563" spans="1:5">
      <c r="A9563" s="76" t="s">
        <v>2538</v>
      </c>
      <c r="B9563" s="77"/>
      <c r="C9563" s="78"/>
      <c r="D9563" s="78"/>
      <c r="E9563" s="78">
        <f>E9561</f>
        <v>15.49</v>
      </c>
    </row>
    <row r="9564" spans="1:5">
      <c r="A9564" s="76" t="s">
        <v>2539</v>
      </c>
      <c r="B9564" s="77"/>
      <c r="C9564" s="78"/>
      <c r="D9564" s="78">
        <v>0</v>
      </c>
      <c r="E9564" s="78">
        <f>TRUNC(D9564*E9563/100,2)</f>
        <v>0</v>
      </c>
    </row>
    <row r="9565" spans="1:5">
      <c r="A9565" s="76" t="s">
        <v>2540</v>
      </c>
      <c r="B9565" s="77"/>
      <c r="C9565" s="78"/>
      <c r="D9565" s="78"/>
      <c r="E9565" s="78">
        <f>E9563+E9564</f>
        <v>15.49</v>
      </c>
    </row>
    <row r="9566" spans="1:5">
      <c r="A9566" s="76"/>
      <c r="B9566" s="77"/>
      <c r="C9566" s="78"/>
      <c r="D9566" s="78"/>
      <c r="E9566" s="78"/>
    </row>
    <row r="9567" spans="1:5">
      <c r="A9567" s="76" t="s">
        <v>3092</v>
      </c>
      <c r="B9567" s="77">
        <v>2203009001152</v>
      </c>
      <c r="C9567" s="78"/>
      <c r="D9567" s="78"/>
      <c r="E9567" s="78"/>
    </row>
    <row r="9568" ht="25.5" spans="1:5">
      <c r="A9568" s="76" t="s">
        <v>4573</v>
      </c>
      <c r="B9568" s="77"/>
      <c r="C9568" s="78"/>
      <c r="D9568" s="78"/>
      <c r="E9568" s="78"/>
    </row>
    <row r="9569" spans="1:5">
      <c r="A9569" s="76" t="s">
        <v>2764</v>
      </c>
      <c r="B9569" s="77"/>
      <c r="C9569" s="78"/>
      <c r="D9569" s="78"/>
      <c r="E9569" s="78"/>
    </row>
    <row r="9570" spans="1:5">
      <c r="A9570" s="76"/>
      <c r="B9570" s="77"/>
      <c r="C9570" s="78"/>
      <c r="D9570" s="78"/>
      <c r="E9570" s="78"/>
    </row>
    <row r="9571" spans="1:5">
      <c r="A9571" s="76" t="s">
        <v>2543</v>
      </c>
      <c r="B9571" s="77" t="s">
        <v>135</v>
      </c>
      <c r="C9571" s="78" t="s">
        <v>136</v>
      </c>
      <c r="D9571" s="78" t="s">
        <v>2534</v>
      </c>
      <c r="E9571" s="78" t="s">
        <v>2535</v>
      </c>
    </row>
    <row r="9572" ht="25.5" spans="1:5">
      <c r="A9572" s="76" t="s">
        <v>4570</v>
      </c>
      <c r="B9572" s="77" t="s">
        <v>494</v>
      </c>
      <c r="C9572" s="78">
        <v>1.296e-5</v>
      </c>
      <c r="D9572" s="78">
        <v>5400.9</v>
      </c>
      <c r="E9572" s="78">
        <f>TRUNC(C9572*D9572,2)</f>
        <v>0.06</v>
      </c>
    </row>
    <row r="9573" spans="1:5">
      <c r="A9573" s="76" t="s">
        <v>122</v>
      </c>
      <c r="B9573" s="77"/>
      <c r="C9573" s="78"/>
      <c r="D9573" s="78"/>
      <c r="E9573" s="78">
        <f>SUM(E9572:E9572)</f>
        <v>0.06</v>
      </c>
    </row>
    <row r="9574" spans="1:5">
      <c r="A9574" s="76"/>
      <c r="B9574" s="77"/>
      <c r="C9574" s="78"/>
      <c r="D9574" s="78"/>
      <c r="E9574" s="78"/>
    </row>
    <row r="9575" spans="1:5">
      <c r="A9575" s="76" t="s">
        <v>2538</v>
      </c>
      <c r="B9575" s="77"/>
      <c r="C9575" s="78"/>
      <c r="D9575" s="78"/>
      <c r="E9575" s="78">
        <f>E9573</f>
        <v>0.06</v>
      </c>
    </row>
    <row r="9576" spans="1:5">
      <c r="A9576" s="76" t="s">
        <v>2539</v>
      </c>
      <c r="B9576" s="77"/>
      <c r="C9576" s="78"/>
      <c r="D9576" s="78">
        <v>0</v>
      </c>
      <c r="E9576" s="78">
        <f>TRUNC(D9576*E9575/100,2)</f>
        <v>0</v>
      </c>
    </row>
    <row r="9577" spans="1:5">
      <c r="A9577" s="76" t="s">
        <v>2540</v>
      </c>
      <c r="B9577" s="77"/>
      <c r="C9577" s="78"/>
      <c r="D9577" s="78"/>
      <c r="E9577" s="78">
        <f>E9575+E9576</f>
        <v>0.06</v>
      </c>
    </row>
    <row r="9578" spans="1:5">
      <c r="A9578" s="76"/>
      <c r="B9578" s="77"/>
      <c r="C9578" s="78"/>
      <c r="D9578" s="78"/>
      <c r="E9578" s="78"/>
    </row>
    <row r="9579" spans="1:5">
      <c r="A9579" s="76" t="s">
        <v>3092</v>
      </c>
      <c r="B9579" s="77">
        <v>2270019003011</v>
      </c>
      <c r="C9579" s="78"/>
      <c r="D9579" s="78"/>
      <c r="E9579" s="78"/>
    </row>
    <row r="9580" ht="38.25" spans="1:5">
      <c r="A9580" s="76" t="s">
        <v>4081</v>
      </c>
      <c r="B9580" s="77"/>
      <c r="C9580" s="78"/>
      <c r="D9580" s="78"/>
      <c r="E9580" s="78"/>
    </row>
    <row r="9581" spans="1:5">
      <c r="A9581" s="76" t="s">
        <v>3085</v>
      </c>
      <c r="B9581" s="77"/>
      <c r="C9581" s="78"/>
      <c r="D9581" s="78"/>
      <c r="E9581" s="78"/>
    </row>
    <row r="9582" spans="1:5">
      <c r="A9582" s="76"/>
      <c r="B9582" s="77"/>
      <c r="C9582" s="78"/>
      <c r="D9582" s="78"/>
      <c r="E9582" s="78"/>
    </row>
    <row r="9583" spans="1:5">
      <c r="A9583" s="76" t="s">
        <v>279</v>
      </c>
      <c r="B9583" s="77" t="s">
        <v>135</v>
      </c>
      <c r="C9583" s="78" t="s">
        <v>136</v>
      </c>
      <c r="D9583" s="78" t="s">
        <v>2534</v>
      </c>
      <c r="E9583" s="78" t="s">
        <v>2535</v>
      </c>
    </row>
    <row r="9584" ht="25.5" spans="1:5">
      <c r="A9584" s="76" t="s">
        <v>4574</v>
      </c>
      <c r="B9584" s="77" t="s">
        <v>839</v>
      </c>
      <c r="C9584" s="78">
        <v>1</v>
      </c>
      <c r="D9584" s="78">
        <v>1.36</v>
      </c>
      <c r="E9584" s="78">
        <f>TRUNC(C9584*D9584,2)</f>
        <v>1.36</v>
      </c>
    </row>
    <row r="9585" ht="25.5" spans="1:5">
      <c r="A9585" s="76" t="s">
        <v>4575</v>
      </c>
      <c r="B9585" s="77" t="s">
        <v>839</v>
      </c>
      <c r="C9585" s="78">
        <v>1</v>
      </c>
      <c r="D9585" s="78">
        <v>0.16</v>
      </c>
      <c r="E9585" s="78">
        <f>TRUNC(C9585*D9585,2)</f>
        <v>0.16</v>
      </c>
    </row>
    <row r="9586" ht="25.5" spans="1:5">
      <c r="A9586" s="76" t="s">
        <v>4576</v>
      </c>
      <c r="B9586" s="77" t="s">
        <v>839</v>
      </c>
      <c r="C9586" s="78">
        <v>1</v>
      </c>
      <c r="D9586" s="78">
        <v>1.71</v>
      </c>
      <c r="E9586" s="78">
        <f>TRUNC(C9586*D9586,2)</f>
        <v>1.71</v>
      </c>
    </row>
    <row r="9587" spans="1:5">
      <c r="A9587" s="76" t="s">
        <v>122</v>
      </c>
      <c r="B9587" s="77"/>
      <c r="C9587" s="78"/>
      <c r="D9587" s="78"/>
      <c r="E9587" s="78">
        <f>SUM(E9584:E9586)</f>
        <v>3.23</v>
      </c>
    </row>
    <row r="9588" spans="1:5">
      <c r="A9588" s="76"/>
      <c r="B9588" s="77"/>
      <c r="C9588" s="78"/>
      <c r="D9588" s="78"/>
      <c r="E9588" s="78"/>
    </row>
    <row r="9589" spans="1:5">
      <c r="A9589" s="76" t="s">
        <v>2538</v>
      </c>
      <c r="B9589" s="77"/>
      <c r="C9589" s="78"/>
      <c r="D9589" s="78"/>
      <c r="E9589" s="78">
        <f>E9587</f>
        <v>3.23</v>
      </c>
    </row>
    <row r="9590" spans="1:5">
      <c r="A9590" s="76" t="s">
        <v>2539</v>
      </c>
      <c r="B9590" s="77"/>
      <c r="C9590" s="78"/>
      <c r="D9590" s="78">
        <v>0</v>
      </c>
      <c r="E9590" s="78">
        <f>TRUNC(D9590*E9589/100,2)</f>
        <v>0</v>
      </c>
    </row>
    <row r="9591" spans="1:5">
      <c r="A9591" s="76" t="s">
        <v>2540</v>
      </c>
      <c r="B9591" s="77"/>
      <c r="C9591" s="78"/>
      <c r="D9591" s="78"/>
      <c r="E9591" s="78">
        <f>E9589+E9590</f>
        <v>3.23</v>
      </c>
    </row>
    <row r="9592" spans="1:5">
      <c r="A9592" s="76"/>
      <c r="B9592" s="77"/>
      <c r="C9592" s="78"/>
      <c r="D9592" s="78"/>
      <c r="E9592" s="78"/>
    </row>
    <row r="9593" spans="1:5">
      <c r="A9593" s="76" t="s">
        <v>3092</v>
      </c>
      <c r="B9593" s="77">
        <v>2280019003004</v>
      </c>
      <c r="C9593" s="78"/>
      <c r="D9593" s="78"/>
      <c r="E9593" s="78"/>
    </row>
    <row r="9594" ht="51" spans="1:5">
      <c r="A9594" s="76" t="s">
        <v>4577</v>
      </c>
      <c r="B9594" s="77"/>
      <c r="C9594" s="78"/>
      <c r="D9594" s="78"/>
      <c r="E9594" s="78"/>
    </row>
    <row r="9595" spans="1:5">
      <c r="A9595" s="76" t="s">
        <v>3085</v>
      </c>
      <c r="B9595" s="77"/>
      <c r="C9595" s="78"/>
      <c r="D9595" s="78"/>
      <c r="E9595" s="78"/>
    </row>
    <row r="9596" spans="1:5">
      <c r="A9596" s="76"/>
      <c r="B9596" s="77"/>
      <c r="C9596" s="78"/>
      <c r="D9596" s="78"/>
      <c r="E9596" s="78"/>
    </row>
    <row r="9597" spans="1:5">
      <c r="A9597" s="76" t="s">
        <v>2543</v>
      </c>
      <c r="B9597" s="77" t="s">
        <v>135</v>
      </c>
      <c r="C9597" s="78" t="s">
        <v>136</v>
      </c>
      <c r="D9597" s="78" t="s">
        <v>2534</v>
      </c>
      <c r="E9597" s="78" t="s">
        <v>2535</v>
      </c>
    </row>
    <row r="9598" ht="38.25" spans="1:5">
      <c r="A9598" s="76" t="s">
        <v>4578</v>
      </c>
      <c r="B9598" s="77" t="s">
        <v>839</v>
      </c>
      <c r="C9598" s="78">
        <v>1</v>
      </c>
      <c r="D9598" s="78">
        <v>2.56</v>
      </c>
      <c r="E9598" s="78">
        <f>TRUNC(C9598*D9598,2)</f>
        <v>2.56</v>
      </c>
    </row>
    <row r="9599" ht="38.25" spans="1:5">
      <c r="A9599" s="76" t="s">
        <v>4579</v>
      </c>
      <c r="B9599" s="77" t="s">
        <v>839</v>
      </c>
      <c r="C9599" s="78">
        <v>1</v>
      </c>
      <c r="D9599" s="78">
        <v>28.93</v>
      </c>
      <c r="E9599" s="78">
        <f>TRUNC(C9599*D9599,2)</f>
        <v>28.93</v>
      </c>
    </row>
    <row r="9600" ht="38.25" spans="1:5">
      <c r="A9600" s="76" t="s">
        <v>4580</v>
      </c>
      <c r="B9600" s="77" t="s">
        <v>839</v>
      </c>
      <c r="C9600" s="78">
        <v>1</v>
      </c>
      <c r="D9600" s="78">
        <v>15.42</v>
      </c>
      <c r="E9600" s="78">
        <f>TRUNC(C9600*D9600,2)</f>
        <v>15.42</v>
      </c>
    </row>
    <row r="9601" ht="38.25" spans="1:5">
      <c r="A9601" s="76" t="s">
        <v>4581</v>
      </c>
      <c r="B9601" s="77" t="s">
        <v>839</v>
      </c>
      <c r="C9601" s="78">
        <v>1</v>
      </c>
      <c r="D9601" s="78">
        <v>6.33</v>
      </c>
      <c r="E9601" s="78">
        <f>TRUNC(C9601*D9601,2)</f>
        <v>6.33</v>
      </c>
    </row>
    <row r="9602" ht="38.25" spans="1:5">
      <c r="A9602" s="76" t="s">
        <v>4582</v>
      </c>
      <c r="B9602" s="77" t="s">
        <v>839</v>
      </c>
      <c r="C9602" s="78">
        <v>1</v>
      </c>
      <c r="D9602" s="78">
        <v>72.93</v>
      </c>
      <c r="E9602" s="78">
        <f>TRUNC(C9602*D9602,2)</f>
        <v>72.93</v>
      </c>
    </row>
    <row r="9603" spans="1:5">
      <c r="A9603" s="76" t="s">
        <v>122</v>
      </c>
      <c r="B9603" s="77"/>
      <c r="C9603" s="78"/>
      <c r="D9603" s="78"/>
      <c r="E9603" s="78">
        <f>SUM(E9598:E9602)</f>
        <v>126.17</v>
      </c>
    </row>
    <row r="9604" spans="1:5">
      <c r="A9604" s="76"/>
      <c r="B9604" s="77"/>
      <c r="C9604" s="78"/>
      <c r="D9604" s="78"/>
      <c r="E9604" s="78"/>
    </row>
    <row r="9605" spans="1:5">
      <c r="A9605" s="76" t="s">
        <v>2538</v>
      </c>
      <c r="B9605" s="77"/>
      <c r="C9605" s="78"/>
      <c r="D9605" s="78"/>
      <c r="E9605" s="78">
        <f>E9603</f>
        <v>126.17</v>
      </c>
    </row>
    <row r="9606" spans="1:5">
      <c r="A9606" s="76" t="s">
        <v>2539</v>
      </c>
      <c r="B9606" s="77"/>
      <c r="C9606" s="78"/>
      <c r="D9606" s="78">
        <v>0</v>
      </c>
      <c r="E9606" s="78">
        <f>TRUNC(D9606*E9605/100,2)</f>
        <v>0</v>
      </c>
    </row>
    <row r="9607" spans="1:5">
      <c r="A9607" s="76" t="s">
        <v>2540</v>
      </c>
      <c r="B9607" s="77"/>
      <c r="C9607" s="78"/>
      <c r="D9607" s="78"/>
      <c r="E9607" s="78">
        <f>E9605+E9606</f>
        <v>126.17</v>
      </c>
    </row>
    <row r="9608" spans="1:5">
      <c r="A9608" s="76"/>
      <c r="B9608" s="77"/>
      <c r="C9608" s="78"/>
      <c r="D9608" s="78"/>
      <c r="E9608" s="78"/>
    </row>
    <row r="9609" spans="1:5">
      <c r="A9609" s="76" t="s">
        <v>3092</v>
      </c>
      <c r="B9609" s="77">
        <v>2203009001468</v>
      </c>
      <c r="C9609" s="78"/>
      <c r="D9609" s="78"/>
      <c r="E9609" s="78"/>
    </row>
    <row r="9610" ht="38.25" spans="1:5">
      <c r="A9610" s="76" t="s">
        <v>4583</v>
      </c>
      <c r="B9610" s="77"/>
      <c r="C9610" s="78"/>
      <c r="D9610" s="78"/>
      <c r="E9610" s="78"/>
    </row>
    <row r="9611" spans="1:5">
      <c r="A9611" s="76" t="s">
        <v>2764</v>
      </c>
      <c r="B9611" s="77"/>
      <c r="C9611" s="78"/>
      <c r="D9611" s="78"/>
      <c r="E9611" s="78"/>
    </row>
    <row r="9612" spans="1:5">
      <c r="A9612" s="76"/>
      <c r="B9612" s="77"/>
      <c r="C9612" s="78"/>
      <c r="D9612" s="78"/>
      <c r="E9612" s="78"/>
    </row>
    <row r="9613" spans="1:5">
      <c r="A9613" s="76" t="s">
        <v>279</v>
      </c>
      <c r="B9613" s="77" t="s">
        <v>135</v>
      </c>
      <c r="C9613" s="78" t="s">
        <v>136</v>
      </c>
      <c r="D9613" s="78" t="s">
        <v>2534</v>
      </c>
      <c r="E9613" s="78" t="s">
        <v>2535</v>
      </c>
    </row>
    <row r="9614" ht="38.25" spans="1:5">
      <c r="A9614" s="76" t="s">
        <v>4584</v>
      </c>
      <c r="B9614" s="77" t="s">
        <v>494</v>
      </c>
      <c r="C9614" s="78">
        <v>5.7e-6</v>
      </c>
      <c r="D9614" s="78">
        <v>450240</v>
      </c>
      <c r="E9614" s="78">
        <f>TRUNC(C9614*D9614,2)</f>
        <v>2.56</v>
      </c>
    </row>
    <row r="9615" spans="1:5">
      <c r="A9615" s="76" t="s">
        <v>122</v>
      </c>
      <c r="B9615" s="77"/>
      <c r="C9615" s="78"/>
      <c r="D9615" s="78"/>
      <c r="E9615" s="78">
        <f>SUM(E9614:E9614)</f>
        <v>2.56</v>
      </c>
    </row>
    <row r="9616" spans="1:5">
      <c r="A9616" s="76"/>
      <c r="B9616" s="77"/>
      <c r="C9616" s="78"/>
      <c r="D9616" s="78"/>
      <c r="E9616" s="78"/>
    </row>
    <row r="9617" spans="1:5">
      <c r="A9617" s="76" t="s">
        <v>2538</v>
      </c>
      <c r="B9617" s="77"/>
      <c r="C9617" s="78"/>
      <c r="D9617" s="78"/>
      <c r="E9617" s="78">
        <f>E9615</f>
        <v>2.56</v>
      </c>
    </row>
    <row r="9618" spans="1:5">
      <c r="A9618" s="76" t="s">
        <v>2539</v>
      </c>
      <c r="B9618" s="77"/>
      <c r="C9618" s="78"/>
      <c r="D9618" s="78">
        <v>0</v>
      </c>
      <c r="E9618" s="78">
        <f>TRUNC(D9618*E9617/100,2)</f>
        <v>0</v>
      </c>
    </row>
    <row r="9619" spans="1:5">
      <c r="A9619" s="76" t="s">
        <v>2540</v>
      </c>
      <c r="B9619" s="77"/>
      <c r="C9619" s="78"/>
      <c r="D9619" s="78"/>
      <c r="E9619" s="78">
        <f>E9617+E9618</f>
        <v>2.56</v>
      </c>
    </row>
    <row r="9620" spans="1:5">
      <c r="A9620" s="76"/>
      <c r="B9620" s="77"/>
      <c r="C9620" s="78"/>
      <c r="D9620" s="78"/>
      <c r="E9620" s="78"/>
    </row>
    <row r="9621" spans="1:5">
      <c r="A9621" s="76" t="s">
        <v>3092</v>
      </c>
      <c r="B9621" s="77">
        <v>2203009001470</v>
      </c>
      <c r="C9621" s="78"/>
      <c r="D9621" s="78"/>
      <c r="E9621" s="78"/>
    </row>
    <row r="9622" ht="38.25" spans="1:5">
      <c r="A9622" s="76" t="s">
        <v>4585</v>
      </c>
      <c r="B9622" s="77"/>
      <c r="C9622" s="78"/>
      <c r="D9622" s="78"/>
      <c r="E9622" s="78"/>
    </row>
    <row r="9623" spans="1:5">
      <c r="A9623" s="76" t="s">
        <v>2764</v>
      </c>
      <c r="B9623" s="77"/>
      <c r="C9623" s="78"/>
      <c r="D9623" s="78"/>
      <c r="E9623" s="78"/>
    </row>
    <row r="9624" spans="1:5">
      <c r="A9624" s="76"/>
      <c r="B9624" s="77"/>
      <c r="C9624" s="78"/>
      <c r="D9624" s="78"/>
      <c r="E9624" s="78"/>
    </row>
    <row r="9625" spans="1:5">
      <c r="A9625" s="76" t="s">
        <v>279</v>
      </c>
      <c r="B9625" s="77" t="s">
        <v>135</v>
      </c>
      <c r="C9625" s="78" t="s">
        <v>136</v>
      </c>
      <c r="D9625" s="78" t="s">
        <v>2534</v>
      </c>
      <c r="E9625" s="78" t="s">
        <v>2535</v>
      </c>
    </row>
    <row r="9626" ht="38.25" spans="1:5">
      <c r="A9626" s="76" t="s">
        <v>4584</v>
      </c>
      <c r="B9626" s="77" t="s">
        <v>494</v>
      </c>
      <c r="C9626" s="78">
        <v>6.427e-5</v>
      </c>
      <c r="D9626" s="78">
        <v>450240</v>
      </c>
      <c r="E9626" s="78">
        <f>TRUNC(C9626*D9626,2)</f>
        <v>28.93</v>
      </c>
    </row>
    <row r="9627" spans="1:5">
      <c r="A9627" s="76" t="s">
        <v>122</v>
      </c>
      <c r="B9627" s="77"/>
      <c r="C9627" s="78"/>
      <c r="D9627" s="78"/>
      <c r="E9627" s="78">
        <f>SUM(E9626:E9626)</f>
        <v>28.93</v>
      </c>
    </row>
    <row r="9628" spans="1:5">
      <c r="A9628" s="76"/>
      <c r="B9628" s="77"/>
      <c r="C9628" s="78"/>
      <c r="D9628" s="78"/>
      <c r="E9628" s="78"/>
    </row>
    <row r="9629" spans="1:5">
      <c r="A9629" s="76" t="s">
        <v>2538</v>
      </c>
      <c r="B9629" s="77"/>
      <c r="C9629" s="78"/>
      <c r="D9629" s="78"/>
      <c r="E9629" s="78">
        <f>E9627</f>
        <v>28.93</v>
      </c>
    </row>
    <row r="9630" spans="1:5">
      <c r="A9630" s="76" t="s">
        <v>2539</v>
      </c>
      <c r="B9630" s="77"/>
      <c r="C9630" s="78"/>
      <c r="D9630" s="78">
        <v>0</v>
      </c>
      <c r="E9630" s="78">
        <f>TRUNC(D9630*E9629/100,2)</f>
        <v>0</v>
      </c>
    </row>
    <row r="9631" spans="1:5">
      <c r="A9631" s="76" t="s">
        <v>2540</v>
      </c>
      <c r="B9631" s="77"/>
      <c r="C9631" s="78"/>
      <c r="D9631" s="78"/>
      <c r="E9631" s="78">
        <f>E9629+E9630</f>
        <v>28.93</v>
      </c>
    </row>
    <row r="9632" spans="1:5">
      <c r="A9632" s="76"/>
      <c r="B9632" s="77"/>
      <c r="C9632" s="78"/>
      <c r="D9632" s="78"/>
      <c r="E9632" s="78"/>
    </row>
    <row r="9633" spans="1:5">
      <c r="A9633" s="76" t="s">
        <v>3092</v>
      </c>
      <c r="B9633" s="77">
        <v>2203009001466</v>
      </c>
      <c r="C9633" s="78"/>
      <c r="D9633" s="78"/>
      <c r="E9633" s="78"/>
    </row>
    <row r="9634" ht="38.25" spans="1:5">
      <c r="A9634" s="76" t="s">
        <v>4586</v>
      </c>
      <c r="B9634" s="77"/>
      <c r="C9634" s="78"/>
      <c r="D9634" s="78"/>
      <c r="E9634" s="78"/>
    </row>
    <row r="9635" spans="1:5">
      <c r="A9635" s="76" t="s">
        <v>2764</v>
      </c>
      <c r="B9635" s="77"/>
      <c r="C9635" s="78"/>
      <c r="D9635" s="78"/>
      <c r="E9635" s="78"/>
    </row>
    <row r="9636" spans="1:5">
      <c r="A9636" s="76"/>
      <c r="B9636" s="77"/>
      <c r="C9636" s="78"/>
      <c r="D9636" s="78"/>
      <c r="E9636" s="78"/>
    </row>
    <row r="9637" spans="1:5">
      <c r="A9637" s="76" t="s">
        <v>279</v>
      </c>
      <c r="B9637" s="77" t="s">
        <v>135</v>
      </c>
      <c r="C9637" s="78" t="s">
        <v>136</v>
      </c>
      <c r="D9637" s="78" t="s">
        <v>2534</v>
      </c>
      <c r="E9637" s="78" t="s">
        <v>2535</v>
      </c>
    </row>
    <row r="9638" ht="38.25" spans="1:5">
      <c r="A9638" s="76" t="s">
        <v>4584</v>
      </c>
      <c r="B9638" s="77" t="s">
        <v>494</v>
      </c>
      <c r="C9638" s="78">
        <v>3.427e-5</v>
      </c>
      <c r="D9638" s="78">
        <v>450240</v>
      </c>
      <c r="E9638" s="78">
        <f>TRUNC(C9638*D9638,2)</f>
        <v>15.42</v>
      </c>
    </row>
    <row r="9639" spans="1:5">
      <c r="A9639" s="76" t="s">
        <v>122</v>
      </c>
      <c r="B9639" s="77"/>
      <c r="C9639" s="78"/>
      <c r="D9639" s="78"/>
      <c r="E9639" s="78">
        <f>SUM(E9638:E9638)</f>
        <v>15.42</v>
      </c>
    </row>
    <row r="9640" spans="1:5">
      <c r="A9640" s="76"/>
      <c r="B9640" s="77"/>
      <c r="C9640" s="78"/>
      <c r="D9640" s="78"/>
      <c r="E9640" s="78"/>
    </row>
    <row r="9641" spans="1:5">
      <c r="A9641" s="76" t="s">
        <v>2538</v>
      </c>
      <c r="B9641" s="77"/>
      <c r="C9641" s="78"/>
      <c r="D9641" s="78"/>
      <c r="E9641" s="78">
        <f>E9639</f>
        <v>15.42</v>
      </c>
    </row>
    <row r="9642" spans="1:5">
      <c r="A9642" s="76" t="s">
        <v>2539</v>
      </c>
      <c r="B9642" s="77"/>
      <c r="C9642" s="78"/>
      <c r="D9642" s="78">
        <v>0</v>
      </c>
      <c r="E9642" s="78">
        <f>TRUNC(D9642*E9641/100,2)</f>
        <v>0</v>
      </c>
    </row>
    <row r="9643" spans="1:5">
      <c r="A9643" s="76" t="s">
        <v>2540</v>
      </c>
      <c r="B9643" s="77"/>
      <c r="C9643" s="78"/>
      <c r="D9643" s="78"/>
      <c r="E9643" s="78">
        <f>E9641+E9642</f>
        <v>15.42</v>
      </c>
    </row>
    <row r="9644" spans="1:5">
      <c r="A9644" s="76"/>
      <c r="B9644" s="77"/>
      <c r="C9644" s="78"/>
      <c r="D9644" s="78"/>
      <c r="E9644" s="78"/>
    </row>
    <row r="9645" spans="1:5">
      <c r="A9645" s="76" t="s">
        <v>3092</v>
      </c>
      <c r="B9645" s="77">
        <v>2203009001467</v>
      </c>
      <c r="C9645" s="78"/>
      <c r="D9645" s="78"/>
      <c r="E9645" s="78"/>
    </row>
    <row r="9646" ht="38.25" spans="1:5">
      <c r="A9646" s="76" t="s">
        <v>4587</v>
      </c>
      <c r="B9646" s="77"/>
      <c r="C9646" s="78"/>
      <c r="D9646" s="78"/>
      <c r="E9646" s="78"/>
    </row>
    <row r="9647" spans="1:5">
      <c r="A9647" s="76" t="s">
        <v>2764</v>
      </c>
      <c r="B9647" s="77"/>
      <c r="C9647" s="78"/>
      <c r="D9647" s="78"/>
      <c r="E9647" s="78"/>
    </row>
    <row r="9648" spans="1:5">
      <c r="A9648" s="76"/>
      <c r="B9648" s="77"/>
      <c r="C9648" s="78"/>
      <c r="D9648" s="78"/>
      <c r="E9648" s="78"/>
    </row>
    <row r="9649" spans="1:5">
      <c r="A9649" s="76" t="s">
        <v>279</v>
      </c>
      <c r="B9649" s="77" t="s">
        <v>135</v>
      </c>
      <c r="C9649" s="78" t="s">
        <v>136</v>
      </c>
      <c r="D9649" s="78" t="s">
        <v>2534</v>
      </c>
      <c r="E9649" s="78" t="s">
        <v>2535</v>
      </c>
    </row>
    <row r="9650" ht="38.25" spans="1:5">
      <c r="A9650" s="76" t="s">
        <v>4584</v>
      </c>
      <c r="B9650" s="77" t="s">
        <v>494</v>
      </c>
      <c r="C9650" s="78">
        <v>1.408e-5</v>
      </c>
      <c r="D9650" s="78">
        <v>450240</v>
      </c>
      <c r="E9650" s="78">
        <f>TRUNC(C9650*D9650,2)</f>
        <v>6.33</v>
      </c>
    </row>
    <row r="9651" spans="1:5">
      <c r="A9651" s="76" t="s">
        <v>122</v>
      </c>
      <c r="B9651" s="77"/>
      <c r="C9651" s="78"/>
      <c r="D9651" s="78"/>
      <c r="E9651" s="78">
        <f>SUM(E9650:E9650)</f>
        <v>6.33</v>
      </c>
    </row>
    <row r="9652" spans="1:5">
      <c r="A9652" s="76"/>
      <c r="B9652" s="77"/>
      <c r="C9652" s="78"/>
      <c r="D9652" s="78"/>
      <c r="E9652" s="78"/>
    </row>
    <row r="9653" spans="1:5">
      <c r="A9653" s="76" t="s">
        <v>2538</v>
      </c>
      <c r="B9653" s="77"/>
      <c r="C9653" s="78"/>
      <c r="D9653" s="78"/>
      <c r="E9653" s="78">
        <f>E9651</f>
        <v>6.33</v>
      </c>
    </row>
    <row r="9654" spans="1:5">
      <c r="A9654" s="76" t="s">
        <v>2539</v>
      </c>
      <c r="B9654" s="77"/>
      <c r="C9654" s="78"/>
      <c r="D9654" s="78">
        <v>0</v>
      </c>
      <c r="E9654" s="78">
        <f>TRUNC(D9654*E9653/100,2)</f>
        <v>0</v>
      </c>
    </row>
    <row r="9655" spans="1:5">
      <c r="A9655" s="76" t="s">
        <v>2540</v>
      </c>
      <c r="B9655" s="77"/>
      <c r="C9655" s="78"/>
      <c r="D9655" s="78"/>
      <c r="E9655" s="78">
        <f>E9653+E9654</f>
        <v>6.33</v>
      </c>
    </row>
    <row r="9656" spans="1:5">
      <c r="A9656" s="76"/>
      <c r="B9656" s="77"/>
      <c r="C9656" s="78"/>
      <c r="D9656" s="78"/>
      <c r="E9656" s="78"/>
    </row>
    <row r="9657" spans="1:5">
      <c r="A9657" s="76" t="s">
        <v>3092</v>
      </c>
      <c r="B9657" s="77">
        <v>2203009001469</v>
      </c>
      <c r="C9657" s="78"/>
      <c r="D9657" s="78"/>
      <c r="E9657" s="78"/>
    </row>
    <row r="9658" ht="38.25" spans="1:5">
      <c r="A9658" s="76" t="s">
        <v>4588</v>
      </c>
      <c r="B9658" s="77"/>
      <c r="C9658" s="78"/>
      <c r="D9658" s="78"/>
      <c r="E9658" s="78"/>
    </row>
    <row r="9659" spans="1:5">
      <c r="A9659" s="76" t="s">
        <v>2764</v>
      </c>
      <c r="B9659" s="77"/>
      <c r="C9659" s="78"/>
      <c r="D9659" s="78"/>
      <c r="E9659" s="78"/>
    </row>
    <row r="9660" spans="1:5">
      <c r="A9660" s="76"/>
      <c r="B9660" s="77"/>
      <c r="C9660" s="78"/>
      <c r="D9660" s="78"/>
      <c r="E9660" s="78"/>
    </row>
    <row r="9661" spans="1:5">
      <c r="A9661" s="76" t="s">
        <v>2543</v>
      </c>
      <c r="B9661" s="77" t="s">
        <v>135</v>
      </c>
      <c r="C9661" s="78" t="s">
        <v>136</v>
      </c>
      <c r="D9661" s="78" t="s">
        <v>2534</v>
      </c>
      <c r="E9661" s="78" t="s">
        <v>2535</v>
      </c>
    </row>
    <row r="9662" spans="1:5">
      <c r="A9662" s="76" t="s">
        <v>3202</v>
      </c>
      <c r="B9662" s="77" t="s">
        <v>215</v>
      </c>
      <c r="C9662" s="78">
        <v>12.3</v>
      </c>
      <c r="D9662" s="78">
        <v>5.93</v>
      </c>
      <c r="E9662" s="78">
        <f>TRUNC(C9662*D9662,2)</f>
        <v>72.93</v>
      </c>
    </row>
    <row r="9663" spans="1:5">
      <c r="A9663" s="76" t="s">
        <v>122</v>
      </c>
      <c r="B9663" s="77"/>
      <c r="C9663" s="78"/>
      <c r="D9663" s="78"/>
      <c r="E9663" s="78">
        <f>SUM(E9662:E9662)</f>
        <v>72.93</v>
      </c>
    </row>
    <row r="9664" spans="1:5">
      <c r="A9664" s="76"/>
      <c r="B9664" s="77"/>
      <c r="C9664" s="78"/>
      <c r="D9664" s="78"/>
      <c r="E9664" s="78"/>
    </row>
    <row r="9665" spans="1:5">
      <c r="A9665" s="76" t="s">
        <v>2538</v>
      </c>
      <c r="B9665" s="77"/>
      <c r="C9665" s="78"/>
      <c r="D9665" s="78"/>
      <c r="E9665" s="78">
        <f>E9663</f>
        <v>72.93</v>
      </c>
    </row>
    <row r="9666" spans="1:5">
      <c r="A9666" s="76" t="s">
        <v>2539</v>
      </c>
      <c r="B9666" s="77"/>
      <c r="C9666" s="78"/>
      <c r="D9666" s="78">
        <v>0</v>
      </c>
      <c r="E9666" s="78">
        <f>TRUNC(D9666*E9665/100,2)</f>
        <v>0</v>
      </c>
    </row>
    <row r="9667" spans="1:5">
      <c r="A9667" s="76" t="s">
        <v>2540</v>
      </c>
      <c r="B9667" s="77"/>
      <c r="C9667" s="78"/>
      <c r="D9667" s="78"/>
      <c r="E9667" s="78">
        <f>E9665+E9666</f>
        <v>72.93</v>
      </c>
    </row>
    <row r="9668" spans="1:5">
      <c r="A9668" s="76"/>
      <c r="B9668" s="77"/>
      <c r="C9668" s="78"/>
      <c r="D9668" s="78"/>
      <c r="E9668" s="78"/>
    </row>
    <row r="9669" spans="1:5">
      <c r="A9669" s="76" t="s">
        <v>3092</v>
      </c>
      <c r="B9669" s="77">
        <v>2240019002012</v>
      </c>
      <c r="C9669" s="78"/>
      <c r="D9669" s="78"/>
      <c r="E9669" s="78"/>
    </row>
    <row r="9670" ht="25.5" spans="1:5">
      <c r="A9670" s="76" t="s">
        <v>4556</v>
      </c>
      <c r="B9670" s="77"/>
      <c r="C9670" s="78"/>
      <c r="D9670" s="78"/>
      <c r="E9670" s="78"/>
    </row>
    <row r="9671" spans="1:5">
      <c r="A9671" s="76" t="s">
        <v>3091</v>
      </c>
      <c r="B9671" s="77"/>
      <c r="C9671" s="78"/>
      <c r="D9671" s="78"/>
      <c r="E9671" s="78"/>
    </row>
    <row r="9672" spans="1:5">
      <c r="A9672" s="76"/>
      <c r="B9672" s="77"/>
      <c r="C9672" s="78"/>
      <c r="D9672" s="78"/>
      <c r="E9672" s="78"/>
    </row>
    <row r="9673" spans="1:5">
      <c r="A9673" s="76" t="s">
        <v>2543</v>
      </c>
      <c r="B9673" s="77" t="s">
        <v>135</v>
      </c>
      <c r="C9673" s="78" t="s">
        <v>136</v>
      </c>
      <c r="D9673" s="78" t="s">
        <v>2534</v>
      </c>
      <c r="E9673" s="78" t="s">
        <v>2535</v>
      </c>
    </row>
    <row r="9674" spans="1:5">
      <c r="A9674" s="76" t="s">
        <v>4558</v>
      </c>
      <c r="B9674" s="77" t="s">
        <v>839</v>
      </c>
      <c r="C9674" s="78">
        <v>1</v>
      </c>
      <c r="D9674" s="78">
        <v>0.12</v>
      </c>
      <c r="E9674" s="78">
        <f>TRUNC(C9674*D9674,2)</f>
        <v>0.12</v>
      </c>
    </row>
    <row r="9675" ht="25.5" spans="1:5">
      <c r="A9675" s="76" t="s">
        <v>4559</v>
      </c>
      <c r="B9675" s="77" t="s">
        <v>839</v>
      </c>
      <c r="C9675" s="78">
        <v>1</v>
      </c>
      <c r="D9675" s="78">
        <v>0.57</v>
      </c>
      <c r="E9675" s="78">
        <f>TRUNC(C9675*D9675,2)</f>
        <v>0.57</v>
      </c>
    </row>
    <row r="9676" spans="1:5">
      <c r="A9676" s="76" t="s">
        <v>122</v>
      </c>
      <c r="B9676" s="77"/>
      <c r="C9676" s="78"/>
      <c r="D9676" s="78"/>
      <c r="E9676" s="78">
        <f>SUM(E9674:E9675)</f>
        <v>0.69</v>
      </c>
    </row>
    <row r="9677" spans="1:5">
      <c r="A9677" s="76"/>
      <c r="B9677" s="77"/>
      <c r="C9677" s="78"/>
      <c r="D9677" s="78"/>
      <c r="E9677" s="78"/>
    </row>
    <row r="9678" spans="1:5">
      <c r="A9678" s="76" t="s">
        <v>2538</v>
      </c>
      <c r="B9678" s="77"/>
      <c r="C9678" s="78"/>
      <c r="D9678" s="78"/>
      <c r="E9678" s="78">
        <f>E9676</f>
        <v>0.69</v>
      </c>
    </row>
    <row r="9679" spans="1:5">
      <c r="A9679" s="76" t="s">
        <v>2539</v>
      </c>
      <c r="B9679" s="77"/>
      <c r="C9679" s="78"/>
      <c r="D9679" s="78">
        <v>0</v>
      </c>
      <c r="E9679" s="78">
        <f>TRUNC(D9679*E9678/100,2)</f>
        <v>0</v>
      </c>
    </row>
    <row r="9680" spans="1:5">
      <c r="A9680" s="76" t="s">
        <v>2540</v>
      </c>
      <c r="B9680" s="77"/>
      <c r="C9680" s="78"/>
      <c r="D9680" s="78"/>
      <c r="E9680" s="78">
        <f>E9678+E9679</f>
        <v>0.69</v>
      </c>
    </row>
    <row r="9681" spans="1:5">
      <c r="A9681" s="76"/>
      <c r="B9681" s="77"/>
      <c r="C9681" s="78"/>
      <c r="D9681" s="78"/>
      <c r="E9681" s="78"/>
    </row>
    <row r="9682" spans="1:5">
      <c r="A9682" s="76" t="s">
        <v>3092</v>
      </c>
      <c r="B9682" s="77">
        <v>2207019002004</v>
      </c>
      <c r="C9682" s="78"/>
      <c r="D9682" s="78"/>
      <c r="E9682" s="78"/>
    </row>
    <row r="9683" ht="25.5" spans="1:5">
      <c r="A9683" s="76" t="s">
        <v>4564</v>
      </c>
      <c r="B9683" s="77"/>
      <c r="C9683" s="78"/>
      <c r="D9683" s="78"/>
      <c r="E9683" s="78"/>
    </row>
    <row r="9684" spans="1:5">
      <c r="A9684" s="76" t="s">
        <v>3091</v>
      </c>
      <c r="B9684" s="77"/>
      <c r="C9684" s="78"/>
      <c r="D9684" s="78"/>
      <c r="E9684" s="78"/>
    </row>
    <row r="9685" spans="1:5">
      <c r="A9685" s="76"/>
      <c r="B9685" s="77"/>
      <c r="C9685" s="78"/>
      <c r="D9685" s="78"/>
      <c r="E9685" s="78"/>
    </row>
    <row r="9686" spans="1:5">
      <c r="A9686" s="76" t="s">
        <v>2543</v>
      </c>
      <c r="B9686" s="77" t="s">
        <v>135</v>
      </c>
      <c r="C9686" s="78" t="s">
        <v>136</v>
      </c>
      <c r="D9686" s="78" t="s">
        <v>2534</v>
      </c>
      <c r="E9686" s="78" t="s">
        <v>2535</v>
      </c>
    </row>
    <row r="9687" ht="25.5" spans="1:5">
      <c r="A9687" s="76" t="s">
        <v>4566</v>
      </c>
      <c r="B9687" s="77" t="s">
        <v>839</v>
      </c>
      <c r="C9687" s="78">
        <v>1</v>
      </c>
      <c r="D9687" s="78">
        <v>0.2</v>
      </c>
      <c r="E9687" s="78">
        <f>TRUNC(C9687*D9687,2)</f>
        <v>0.2</v>
      </c>
    </row>
    <row r="9688" ht="25.5" spans="1:5">
      <c r="A9688" s="76" t="s">
        <v>4568</v>
      </c>
      <c r="B9688" s="77" t="s">
        <v>839</v>
      </c>
      <c r="C9688" s="78">
        <v>1</v>
      </c>
      <c r="D9688" s="78">
        <v>0.06</v>
      </c>
      <c r="E9688" s="78">
        <f>TRUNC(C9688*D9688,2)</f>
        <v>0.06</v>
      </c>
    </row>
    <row r="9689" spans="1:5">
      <c r="A9689" s="76" t="s">
        <v>122</v>
      </c>
      <c r="B9689" s="77"/>
      <c r="C9689" s="78"/>
      <c r="D9689" s="78"/>
      <c r="E9689" s="78">
        <f>SUM(E9687:E9688)</f>
        <v>0.26</v>
      </c>
    </row>
    <row r="9690" spans="1:5">
      <c r="A9690" s="76"/>
      <c r="B9690" s="77"/>
      <c r="C9690" s="78"/>
      <c r="D9690" s="78"/>
      <c r="E9690" s="78"/>
    </row>
    <row r="9691" spans="1:5">
      <c r="A9691" s="76" t="s">
        <v>2538</v>
      </c>
      <c r="B9691" s="77"/>
      <c r="C9691" s="78"/>
      <c r="D9691" s="78"/>
      <c r="E9691" s="78">
        <f>E9689</f>
        <v>0.26</v>
      </c>
    </row>
    <row r="9692" spans="1:5">
      <c r="A9692" s="76" t="s">
        <v>2539</v>
      </c>
      <c r="B9692" s="77"/>
      <c r="C9692" s="78"/>
      <c r="D9692" s="78">
        <v>0</v>
      </c>
      <c r="E9692" s="78">
        <f>TRUNC(D9692*E9691/100,2)</f>
        <v>0</v>
      </c>
    </row>
    <row r="9693" spans="1:5">
      <c r="A9693" s="76" t="s">
        <v>2540</v>
      </c>
      <c r="B9693" s="77"/>
      <c r="C9693" s="78"/>
      <c r="D9693" s="78"/>
      <c r="E9693" s="78">
        <f>E9691+E9692</f>
        <v>0.26</v>
      </c>
    </row>
    <row r="9694" spans="1:5">
      <c r="A9694" s="76"/>
      <c r="B9694" s="77"/>
      <c r="C9694" s="78"/>
      <c r="D9694" s="78"/>
      <c r="E9694" s="78"/>
    </row>
    <row r="9695" spans="1:5">
      <c r="A9695" s="76" t="s">
        <v>3092</v>
      </c>
      <c r="B9695" s="77">
        <v>2270019003012</v>
      </c>
      <c r="C9695" s="78"/>
      <c r="D9695" s="78"/>
      <c r="E9695" s="78"/>
    </row>
    <row r="9696" ht="38.25" spans="1:5">
      <c r="A9696" s="76" t="s">
        <v>4081</v>
      </c>
      <c r="B9696" s="77"/>
      <c r="C9696" s="78"/>
      <c r="D9696" s="78"/>
      <c r="E9696" s="78"/>
    </row>
    <row r="9697" spans="1:5">
      <c r="A9697" s="76" t="s">
        <v>3091</v>
      </c>
      <c r="B9697" s="77"/>
      <c r="C9697" s="78"/>
      <c r="D9697" s="78"/>
      <c r="E9697" s="78"/>
    </row>
    <row r="9698" spans="1:5">
      <c r="A9698" s="76"/>
      <c r="B9698" s="77"/>
      <c r="C9698" s="78"/>
      <c r="D9698" s="78"/>
      <c r="E9698" s="78"/>
    </row>
    <row r="9699" spans="1:5">
      <c r="A9699" s="76" t="s">
        <v>279</v>
      </c>
      <c r="B9699" s="77" t="s">
        <v>135</v>
      </c>
      <c r="C9699" s="78" t="s">
        <v>136</v>
      </c>
      <c r="D9699" s="78" t="s">
        <v>2534</v>
      </c>
      <c r="E9699" s="78" t="s">
        <v>2535</v>
      </c>
    </row>
    <row r="9700" ht="25.5" spans="1:5">
      <c r="A9700" s="76" t="s">
        <v>4574</v>
      </c>
      <c r="B9700" s="77" t="s">
        <v>839</v>
      </c>
      <c r="C9700" s="78">
        <v>1</v>
      </c>
      <c r="D9700" s="78">
        <v>1.36</v>
      </c>
      <c r="E9700" s="78">
        <f>TRUNC(C9700*D9700,2)</f>
        <v>1.36</v>
      </c>
    </row>
    <row r="9701" ht="25.5" spans="1:5">
      <c r="A9701" s="76" t="s">
        <v>4575</v>
      </c>
      <c r="B9701" s="77" t="s">
        <v>839</v>
      </c>
      <c r="C9701" s="78">
        <v>1</v>
      </c>
      <c r="D9701" s="78">
        <v>0.16</v>
      </c>
      <c r="E9701" s="78">
        <f>TRUNC(C9701*D9701,2)</f>
        <v>0.16</v>
      </c>
    </row>
    <row r="9702" spans="1:5">
      <c r="A9702" s="76" t="s">
        <v>122</v>
      </c>
      <c r="B9702" s="77"/>
      <c r="C9702" s="78"/>
      <c r="D9702" s="78"/>
      <c r="E9702" s="78">
        <f>SUM(E9700:E9701)</f>
        <v>1.52</v>
      </c>
    </row>
    <row r="9703" spans="1:5">
      <c r="A9703" s="76"/>
      <c r="B9703" s="77"/>
      <c r="C9703" s="78"/>
      <c r="D9703" s="78"/>
      <c r="E9703" s="78"/>
    </row>
    <row r="9704" spans="1:5">
      <c r="A9704" s="76" t="s">
        <v>2538</v>
      </c>
      <c r="B9704" s="77"/>
      <c r="C9704" s="78"/>
      <c r="D9704" s="78"/>
      <c r="E9704" s="78">
        <f>E9702</f>
        <v>1.52</v>
      </c>
    </row>
    <row r="9705" spans="1:5">
      <c r="A9705" s="76" t="s">
        <v>2539</v>
      </c>
      <c r="B9705" s="77"/>
      <c r="C9705" s="78"/>
      <c r="D9705" s="78">
        <v>0</v>
      </c>
      <c r="E9705" s="78">
        <f>TRUNC(D9705*E9704/100,2)</f>
        <v>0</v>
      </c>
    </row>
    <row r="9706" spans="1:5">
      <c r="A9706" s="76" t="s">
        <v>2540</v>
      </c>
      <c r="B9706" s="77"/>
      <c r="C9706" s="78"/>
      <c r="D9706" s="78"/>
      <c r="E9706" s="78">
        <f>E9704+E9705</f>
        <v>1.52</v>
      </c>
    </row>
    <row r="9707" spans="1:5">
      <c r="A9707" s="76"/>
      <c r="B9707" s="77"/>
      <c r="C9707" s="78"/>
      <c r="D9707" s="78"/>
      <c r="E9707" s="78"/>
    </row>
    <row r="9708" spans="1:5">
      <c r="A9708" s="76" t="s">
        <v>3092</v>
      </c>
      <c r="B9708" s="77">
        <v>2280019003005</v>
      </c>
      <c r="C9708" s="78"/>
      <c r="D9708" s="78"/>
      <c r="E9708" s="78"/>
    </row>
    <row r="9709" ht="51" spans="1:5">
      <c r="A9709" s="76" t="s">
        <v>4577</v>
      </c>
      <c r="B9709" s="77"/>
      <c r="C9709" s="78"/>
      <c r="D9709" s="78"/>
      <c r="E9709" s="78"/>
    </row>
    <row r="9710" spans="1:5">
      <c r="A9710" s="76" t="s">
        <v>3091</v>
      </c>
      <c r="B9710" s="77"/>
      <c r="C9710" s="78"/>
      <c r="D9710" s="78"/>
      <c r="E9710" s="78"/>
    </row>
    <row r="9711" spans="1:5">
      <c r="A9711" s="76"/>
      <c r="B9711" s="77"/>
      <c r="C9711" s="78"/>
      <c r="D9711" s="78"/>
      <c r="E9711" s="78"/>
    </row>
    <row r="9712" spans="1:5">
      <c r="A9712" s="76" t="s">
        <v>2543</v>
      </c>
      <c r="B9712" s="77" t="s">
        <v>135</v>
      </c>
      <c r="C9712" s="78" t="s">
        <v>136</v>
      </c>
      <c r="D9712" s="78" t="s">
        <v>2534</v>
      </c>
      <c r="E9712" s="78" t="s">
        <v>2535</v>
      </c>
    </row>
    <row r="9713" ht="38.25" spans="1:5">
      <c r="A9713" s="76" t="s">
        <v>4578</v>
      </c>
      <c r="B9713" s="77" t="s">
        <v>839</v>
      </c>
      <c r="C9713" s="78">
        <v>1</v>
      </c>
      <c r="D9713" s="78">
        <v>2.56</v>
      </c>
      <c r="E9713" s="78">
        <f>TRUNC(C9713*D9713,2)</f>
        <v>2.56</v>
      </c>
    </row>
    <row r="9714" ht="38.25" spans="1:5">
      <c r="A9714" s="76" t="s">
        <v>4580</v>
      </c>
      <c r="B9714" s="77" t="s">
        <v>839</v>
      </c>
      <c r="C9714" s="78">
        <v>1</v>
      </c>
      <c r="D9714" s="78">
        <v>15.42</v>
      </c>
      <c r="E9714" s="78">
        <f>TRUNC(C9714*D9714,2)</f>
        <v>15.42</v>
      </c>
    </row>
    <row r="9715" ht="38.25" spans="1:5">
      <c r="A9715" s="76" t="s">
        <v>4581</v>
      </c>
      <c r="B9715" s="77" t="s">
        <v>839</v>
      </c>
      <c r="C9715" s="78">
        <v>1</v>
      </c>
      <c r="D9715" s="78">
        <v>6.33</v>
      </c>
      <c r="E9715" s="78">
        <f>TRUNC(C9715*D9715,2)</f>
        <v>6.33</v>
      </c>
    </row>
    <row r="9716" spans="1:5">
      <c r="A9716" s="76" t="s">
        <v>122</v>
      </c>
      <c r="B9716" s="77"/>
      <c r="C9716" s="78"/>
      <c r="D9716" s="78"/>
      <c r="E9716" s="78">
        <f>SUM(E9713:E9715)</f>
        <v>24.31</v>
      </c>
    </row>
    <row r="9717" spans="1:5">
      <c r="A9717" s="76"/>
      <c r="B9717" s="77"/>
      <c r="C9717" s="78"/>
      <c r="D9717" s="78"/>
      <c r="E9717" s="78"/>
    </row>
    <row r="9718" spans="1:5">
      <c r="A9718" s="76" t="s">
        <v>2538</v>
      </c>
      <c r="B9718" s="77"/>
      <c r="C9718" s="78"/>
      <c r="D9718" s="78"/>
      <c r="E9718" s="78">
        <f>E9716</f>
        <v>24.31</v>
      </c>
    </row>
    <row r="9719" spans="1:5">
      <c r="A9719" s="76" t="s">
        <v>2539</v>
      </c>
      <c r="B9719" s="77"/>
      <c r="C9719" s="78"/>
      <c r="D9719" s="78">
        <v>0</v>
      </c>
      <c r="E9719" s="78">
        <f>TRUNC(D9719*E9718/100,2)</f>
        <v>0</v>
      </c>
    </row>
    <row r="9720" spans="1:5">
      <c r="A9720" s="76" t="s">
        <v>2540</v>
      </c>
      <c r="B9720" s="77"/>
      <c r="C9720" s="78"/>
      <c r="D9720" s="78"/>
      <c r="E9720" s="78">
        <f>E9718+E9719</f>
        <v>24.31</v>
      </c>
    </row>
    <row r="9721" spans="1:5">
      <c r="A9721" s="76"/>
      <c r="B9721" s="77"/>
      <c r="C9721" s="78"/>
      <c r="D9721" s="78"/>
      <c r="E9721" s="78"/>
    </row>
    <row r="9722" spans="1:5">
      <c r="A9722" s="76" t="s">
        <v>3092</v>
      </c>
      <c r="B9722" s="77">
        <v>129000010007</v>
      </c>
      <c r="C9722" s="78"/>
      <c r="D9722" s="78"/>
      <c r="E9722" s="78"/>
    </row>
    <row r="9723" ht="25.5" spans="1:5">
      <c r="A9723" s="76" t="s">
        <v>4589</v>
      </c>
      <c r="B9723" s="77"/>
      <c r="C9723" s="78"/>
      <c r="D9723" s="78"/>
      <c r="E9723" s="78"/>
    </row>
    <row r="9724" spans="1:5">
      <c r="A9724" s="76" t="s">
        <v>2764</v>
      </c>
      <c r="B9724" s="77"/>
      <c r="C9724" s="78"/>
      <c r="D9724" s="78"/>
      <c r="E9724" s="78"/>
    </row>
    <row r="9725" spans="1:5">
      <c r="A9725" s="76"/>
      <c r="B9725" s="77"/>
      <c r="C9725" s="78"/>
      <c r="D9725" s="78"/>
      <c r="E9725" s="78"/>
    </row>
    <row r="9726" spans="1:5">
      <c r="A9726" s="76" t="s">
        <v>279</v>
      </c>
      <c r="B9726" s="77" t="s">
        <v>135</v>
      </c>
      <c r="C9726" s="78" t="s">
        <v>136</v>
      </c>
      <c r="D9726" s="78" t="s">
        <v>2534</v>
      </c>
      <c r="E9726" s="78" t="s">
        <v>2535</v>
      </c>
    </row>
    <row r="9727" ht="25.5" spans="1:5">
      <c r="A9727" s="76" t="s">
        <v>3111</v>
      </c>
      <c r="B9727" s="77" t="s">
        <v>839</v>
      </c>
      <c r="C9727" s="78">
        <v>1</v>
      </c>
      <c r="D9727" s="78">
        <v>1.5</v>
      </c>
      <c r="E9727" s="78">
        <f>TRUNC(C9727*D9727,2)</f>
        <v>1.5</v>
      </c>
    </row>
    <row r="9728" spans="1:5">
      <c r="A9728" s="76" t="s">
        <v>122</v>
      </c>
      <c r="B9728" s="77"/>
      <c r="C9728" s="78"/>
      <c r="D9728" s="78"/>
      <c r="E9728" s="78">
        <f>SUM(E9727:E9727)</f>
        <v>1.5</v>
      </c>
    </row>
    <row r="9729" spans="1:5">
      <c r="A9729" s="76"/>
      <c r="B9729" s="77"/>
      <c r="C9729" s="78"/>
      <c r="D9729" s="78"/>
      <c r="E9729" s="78"/>
    </row>
    <row r="9730" spans="1:5">
      <c r="A9730" s="76" t="s">
        <v>280</v>
      </c>
      <c r="B9730" s="77" t="s">
        <v>135</v>
      </c>
      <c r="C9730" s="78" t="s">
        <v>136</v>
      </c>
      <c r="D9730" s="78" t="s">
        <v>2534</v>
      </c>
      <c r="E9730" s="78" t="s">
        <v>2535</v>
      </c>
    </row>
    <row r="9731" ht="25.5" spans="1:5">
      <c r="A9731" s="76" t="s">
        <v>3112</v>
      </c>
      <c r="B9731" s="77" t="s">
        <v>839</v>
      </c>
      <c r="C9731" s="78">
        <v>1</v>
      </c>
      <c r="D9731" s="78">
        <v>3.95</v>
      </c>
      <c r="E9731" s="78">
        <f>TRUNC(C9731*D9731,2)</f>
        <v>3.95</v>
      </c>
    </row>
    <row r="9732" spans="1:5">
      <c r="A9732" s="76" t="s">
        <v>4590</v>
      </c>
      <c r="B9732" s="77" t="s">
        <v>839</v>
      </c>
      <c r="C9732" s="78">
        <v>1</v>
      </c>
      <c r="D9732" s="78">
        <v>33.46</v>
      </c>
      <c r="E9732" s="78">
        <f>TRUNC(C9732*D9732,2)</f>
        <v>33.46</v>
      </c>
    </row>
    <row r="9733" ht="25.5" spans="1:5">
      <c r="A9733" s="76" t="s">
        <v>3113</v>
      </c>
      <c r="B9733" s="77" t="s">
        <v>839</v>
      </c>
      <c r="C9733" s="78">
        <v>1</v>
      </c>
      <c r="D9733" s="78">
        <v>0.08</v>
      </c>
      <c r="E9733" s="78">
        <f>TRUNC(C9733*D9733,2)</f>
        <v>0.08</v>
      </c>
    </row>
    <row r="9734" spans="1:5">
      <c r="A9734" s="76" t="s">
        <v>122</v>
      </c>
      <c r="B9734" s="77"/>
      <c r="C9734" s="78"/>
      <c r="D9734" s="78"/>
      <c r="E9734" s="78">
        <f>SUM(E9731:E9733)</f>
        <v>37.49</v>
      </c>
    </row>
    <row r="9735" spans="1:5">
      <c r="A9735" s="76" t="s">
        <v>117</v>
      </c>
      <c r="B9735" s="77"/>
      <c r="C9735" s="78"/>
      <c r="D9735" s="78"/>
      <c r="E9735" s="78" t="str">
        <f>"0"</f>
        <v>0</v>
      </c>
    </row>
    <row r="9736" spans="1:5">
      <c r="A9736" s="76" t="s">
        <v>2537</v>
      </c>
      <c r="B9736" s="77"/>
      <c r="C9736" s="78"/>
      <c r="D9736" s="78"/>
      <c r="E9736" s="78">
        <f>E9734+E9735</f>
        <v>37.49</v>
      </c>
    </row>
    <row r="9737" spans="1:5">
      <c r="A9737" s="76"/>
      <c r="B9737" s="77"/>
      <c r="C9737" s="78"/>
      <c r="D9737" s="78"/>
      <c r="E9737" s="78"/>
    </row>
    <row r="9738" spans="1:5">
      <c r="A9738" s="76" t="s">
        <v>2543</v>
      </c>
      <c r="B9738" s="77" t="s">
        <v>135</v>
      </c>
      <c r="C9738" s="78" t="s">
        <v>136</v>
      </c>
      <c r="D9738" s="78" t="s">
        <v>2534</v>
      </c>
      <c r="E9738" s="78" t="s">
        <v>2535</v>
      </c>
    </row>
    <row r="9739" ht="25.5" spans="1:5">
      <c r="A9739" s="76" t="s">
        <v>4053</v>
      </c>
      <c r="B9739" s="77" t="s">
        <v>839</v>
      </c>
      <c r="C9739" s="78">
        <v>1</v>
      </c>
      <c r="D9739" s="78">
        <v>1.13</v>
      </c>
      <c r="E9739" s="78">
        <f>TRUNC(C9739*D9739,2)</f>
        <v>1.13</v>
      </c>
    </row>
    <row r="9740" spans="1:5">
      <c r="A9740" s="76" t="s">
        <v>3116</v>
      </c>
      <c r="B9740" s="77" t="s">
        <v>839</v>
      </c>
      <c r="C9740" s="78">
        <v>1</v>
      </c>
      <c r="D9740" s="78">
        <v>1.43</v>
      </c>
      <c r="E9740" s="78">
        <f>TRUNC(C9740*D9740,2)</f>
        <v>1.43</v>
      </c>
    </row>
    <row r="9741" ht="25.5" spans="1:5">
      <c r="A9741" s="76" t="s">
        <v>4054</v>
      </c>
      <c r="B9741" s="77" t="s">
        <v>839</v>
      </c>
      <c r="C9741" s="78">
        <v>1</v>
      </c>
      <c r="D9741" s="78">
        <v>0.31</v>
      </c>
      <c r="E9741" s="78">
        <f>TRUNC(C9741*D9741,2)</f>
        <v>0.31</v>
      </c>
    </row>
    <row r="9742" ht="25.5" spans="1:5">
      <c r="A9742" s="76" t="s">
        <v>4591</v>
      </c>
      <c r="B9742" s="77" t="s">
        <v>839</v>
      </c>
      <c r="C9742" s="78">
        <v>1</v>
      </c>
      <c r="D9742" s="78">
        <v>0.63</v>
      </c>
      <c r="E9742" s="78">
        <f>TRUNC(C9742*D9742,2)</f>
        <v>0.63</v>
      </c>
    </row>
    <row r="9743" spans="1:5">
      <c r="A9743" s="76" t="s">
        <v>122</v>
      </c>
      <c r="B9743" s="77"/>
      <c r="C9743" s="78"/>
      <c r="D9743" s="78"/>
      <c r="E9743" s="78">
        <f>SUM(E9739:E9742)</f>
        <v>3.5</v>
      </c>
    </row>
    <row r="9744" spans="1:5">
      <c r="A9744" s="76"/>
      <c r="B9744" s="77"/>
      <c r="C9744" s="78"/>
      <c r="D9744" s="78"/>
      <c r="E9744" s="78"/>
    </row>
    <row r="9745" spans="1:5">
      <c r="A9745" s="76" t="s">
        <v>2538</v>
      </c>
      <c r="B9745" s="77"/>
      <c r="C9745" s="78"/>
      <c r="D9745" s="78"/>
      <c r="E9745" s="78">
        <f>E9728+E9736+E9743</f>
        <v>42.49</v>
      </c>
    </row>
    <row r="9746" spans="1:5">
      <c r="A9746" s="76" t="s">
        <v>2539</v>
      </c>
      <c r="B9746" s="77"/>
      <c r="C9746" s="78"/>
      <c r="D9746" s="78">
        <v>0</v>
      </c>
      <c r="E9746" s="78">
        <f>TRUNC(D9746*E9745/100,2)</f>
        <v>0</v>
      </c>
    </row>
    <row r="9747" spans="1:5">
      <c r="A9747" s="76" t="s">
        <v>2540</v>
      </c>
      <c r="B9747" s="77"/>
      <c r="C9747" s="78"/>
      <c r="D9747" s="78"/>
      <c r="E9747" s="78">
        <f>E9745+E9746</f>
        <v>42.49</v>
      </c>
    </row>
    <row r="9748" spans="1:5">
      <c r="A9748" s="76"/>
      <c r="B9748" s="77"/>
      <c r="C9748" s="78"/>
      <c r="D9748" s="78"/>
      <c r="E9748" s="78"/>
    </row>
    <row r="9749" spans="1:5">
      <c r="A9749" s="76" t="s">
        <v>3092</v>
      </c>
      <c r="B9749" s="77">
        <v>129000010006</v>
      </c>
      <c r="C9749" s="78"/>
      <c r="D9749" s="78"/>
      <c r="E9749" s="78"/>
    </row>
    <row r="9750" ht="25.5" spans="1:5">
      <c r="A9750" s="76" t="s">
        <v>4592</v>
      </c>
      <c r="B9750" s="77"/>
      <c r="C9750" s="78"/>
      <c r="D9750" s="78"/>
      <c r="E9750" s="78"/>
    </row>
    <row r="9751" spans="1:5">
      <c r="A9751" s="76" t="s">
        <v>2764</v>
      </c>
      <c r="B9751" s="77"/>
      <c r="C9751" s="78"/>
      <c r="D9751" s="78"/>
      <c r="E9751" s="78"/>
    </row>
    <row r="9752" spans="1:5">
      <c r="A9752" s="76"/>
      <c r="B9752" s="77"/>
      <c r="C9752" s="78"/>
      <c r="D9752" s="78"/>
      <c r="E9752" s="78"/>
    </row>
    <row r="9753" spans="1:5">
      <c r="A9753" s="76" t="s">
        <v>280</v>
      </c>
      <c r="B9753" s="77" t="s">
        <v>135</v>
      </c>
      <c r="C9753" s="78" t="s">
        <v>136</v>
      </c>
      <c r="D9753" s="78" t="s">
        <v>2534</v>
      </c>
      <c r="E9753" s="78" t="s">
        <v>2535</v>
      </c>
    </row>
    <row r="9754" spans="1:5">
      <c r="A9754" s="76" t="s">
        <v>4590</v>
      </c>
      <c r="B9754" s="77" t="s">
        <v>839</v>
      </c>
      <c r="C9754" s="78">
        <v>0.01887</v>
      </c>
      <c r="D9754" s="78">
        <v>33.46</v>
      </c>
      <c r="E9754" s="78">
        <f>TRUNC(C9754*D9754,2)</f>
        <v>0.63</v>
      </c>
    </row>
    <row r="9755" spans="1:5">
      <c r="A9755" s="76" t="s">
        <v>122</v>
      </c>
      <c r="B9755" s="77"/>
      <c r="C9755" s="78"/>
      <c r="D9755" s="78"/>
      <c r="E9755" s="78">
        <f>SUM(E9754:E9754)</f>
        <v>0.63</v>
      </c>
    </row>
    <row r="9756" spans="1:5">
      <c r="A9756" s="76" t="s">
        <v>117</v>
      </c>
      <c r="B9756" s="77"/>
      <c r="C9756" s="78"/>
      <c r="D9756" s="78"/>
      <c r="E9756" s="78" t="str">
        <f>"0"</f>
        <v>0</v>
      </c>
    </row>
    <row r="9757" spans="1:5">
      <c r="A9757" s="76" t="s">
        <v>2537</v>
      </c>
      <c r="B9757" s="77"/>
      <c r="C9757" s="78"/>
      <c r="D9757" s="78"/>
      <c r="E9757" s="78">
        <f>E9755+E9756</f>
        <v>0.63</v>
      </c>
    </row>
    <row r="9758" spans="1:5">
      <c r="A9758" s="76"/>
      <c r="B9758" s="77"/>
      <c r="C9758" s="78"/>
      <c r="D9758" s="78"/>
      <c r="E9758" s="78"/>
    </row>
    <row r="9759" spans="1:5">
      <c r="A9759" s="76" t="s">
        <v>2538</v>
      </c>
      <c r="B9759" s="77"/>
      <c r="C9759" s="78"/>
      <c r="D9759" s="78"/>
      <c r="E9759" s="78">
        <f>E9757</f>
        <v>0.63</v>
      </c>
    </row>
    <row r="9760" spans="1:5">
      <c r="A9760" s="76" t="s">
        <v>2539</v>
      </c>
      <c r="B9760" s="77"/>
      <c r="C9760" s="78"/>
      <c r="D9760" s="78">
        <v>0</v>
      </c>
      <c r="E9760" s="78">
        <f>TRUNC(D9760*E9759/100,2)</f>
        <v>0</v>
      </c>
    </row>
    <row r="9761" spans="1:5">
      <c r="A9761" s="76" t="s">
        <v>2540</v>
      </c>
      <c r="B9761" s="77"/>
      <c r="C9761" s="78"/>
      <c r="D9761" s="78"/>
      <c r="E9761" s="78">
        <f>E9759+E9760</f>
        <v>0.63</v>
      </c>
    </row>
    <row r="9762" spans="1:5">
      <c r="A9762" s="76"/>
      <c r="B9762" s="77"/>
      <c r="C9762" s="78"/>
      <c r="D9762" s="78"/>
      <c r="E9762" s="78"/>
    </row>
    <row r="9763" spans="1:5">
      <c r="A9763" s="76" t="s">
        <v>3092</v>
      </c>
      <c r="B9763" s="77" t="s">
        <v>4593</v>
      </c>
      <c r="C9763" s="78"/>
      <c r="D9763" s="78"/>
      <c r="E9763" s="78"/>
    </row>
    <row r="9764" spans="1:5">
      <c r="A9764" s="76" t="s">
        <v>4594</v>
      </c>
      <c r="B9764" s="77"/>
      <c r="C9764" s="78"/>
      <c r="D9764" s="78"/>
      <c r="E9764" s="78"/>
    </row>
    <row r="9765" spans="1:5">
      <c r="A9765" s="76" t="s">
        <v>2764</v>
      </c>
      <c r="B9765" s="77"/>
      <c r="C9765" s="78"/>
      <c r="D9765" s="78"/>
      <c r="E9765" s="78"/>
    </row>
    <row r="9766" spans="1:5">
      <c r="A9766" s="76"/>
      <c r="B9766" s="77"/>
      <c r="C9766" s="78"/>
      <c r="D9766" s="78"/>
      <c r="E9766" s="78"/>
    </row>
    <row r="9767" spans="1:5">
      <c r="A9767" s="76" t="s">
        <v>2543</v>
      </c>
      <c r="B9767" s="77" t="s">
        <v>135</v>
      </c>
      <c r="C9767" s="78" t="s">
        <v>136</v>
      </c>
      <c r="D9767" s="78" t="s">
        <v>2534</v>
      </c>
      <c r="E9767" s="78" t="s">
        <v>2535</v>
      </c>
    </row>
    <row r="9768" spans="1:5">
      <c r="A9768" s="76" t="s">
        <v>4595</v>
      </c>
      <c r="B9768" s="77" t="s">
        <v>494</v>
      </c>
      <c r="C9768" s="78">
        <v>3.992e-5</v>
      </c>
      <c r="D9768" s="78">
        <v>121718.91</v>
      </c>
      <c r="E9768" s="78">
        <f>TRUNC(C9768*D9768,2)</f>
        <v>4.85</v>
      </c>
    </row>
    <row r="9769" spans="1:5">
      <c r="A9769" s="76" t="s">
        <v>122</v>
      </c>
      <c r="B9769" s="77"/>
      <c r="C9769" s="78"/>
      <c r="D9769" s="78"/>
      <c r="E9769" s="78">
        <f>SUM(E9768:E9768)</f>
        <v>4.85</v>
      </c>
    </row>
    <row r="9770" spans="1:5">
      <c r="A9770" s="76"/>
      <c r="B9770" s="77"/>
      <c r="C9770" s="78"/>
      <c r="D9770" s="78"/>
      <c r="E9770" s="78"/>
    </row>
    <row r="9771" spans="1:5">
      <c r="A9771" s="76" t="s">
        <v>2538</v>
      </c>
      <c r="B9771" s="77"/>
      <c r="C9771" s="78"/>
      <c r="D9771" s="78"/>
      <c r="E9771" s="78">
        <f>E9769</f>
        <v>4.85</v>
      </c>
    </row>
    <row r="9772" spans="1:5">
      <c r="A9772" s="76" t="s">
        <v>2539</v>
      </c>
      <c r="B9772" s="77"/>
      <c r="C9772" s="78"/>
      <c r="D9772" s="78">
        <v>0</v>
      </c>
      <c r="E9772" s="78">
        <f>TRUNC(D9772*E9771/100,2)</f>
        <v>0</v>
      </c>
    </row>
    <row r="9773" spans="1:5">
      <c r="A9773" s="76" t="s">
        <v>2540</v>
      </c>
      <c r="B9773" s="77"/>
      <c r="C9773" s="78"/>
      <c r="D9773" s="78"/>
      <c r="E9773" s="78">
        <f>E9771+E9772</f>
        <v>4.85</v>
      </c>
    </row>
    <row r="9774" spans="1:5">
      <c r="A9774" s="76"/>
      <c r="B9774" s="77"/>
      <c r="C9774" s="78"/>
      <c r="D9774" s="78"/>
      <c r="E9774" s="78"/>
    </row>
    <row r="9775" spans="1:5">
      <c r="A9775" s="76" t="s">
        <v>3092</v>
      </c>
      <c r="B9775" s="77" t="s">
        <v>4596</v>
      </c>
      <c r="C9775" s="78"/>
      <c r="D9775" s="78"/>
      <c r="E9775" s="78"/>
    </row>
    <row r="9776" spans="1:5">
      <c r="A9776" s="76" t="s">
        <v>4597</v>
      </c>
      <c r="B9776" s="77"/>
      <c r="C9776" s="78"/>
      <c r="D9776" s="78"/>
      <c r="E9776" s="78"/>
    </row>
    <row r="9777" spans="1:5">
      <c r="A9777" s="76" t="s">
        <v>2764</v>
      </c>
      <c r="B9777" s="77"/>
      <c r="C9777" s="78"/>
      <c r="D9777" s="78"/>
      <c r="E9777" s="78"/>
    </row>
    <row r="9778" spans="1:5">
      <c r="A9778" s="76"/>
      <c r="B9778" s="77"/>
      <c r="C9778" s="78"/>
      <c r="D9778" s="78"/>
      <c r="E9778" s="78"/>
    </row>
    <row r="9779" spans="1:5">
      <c r="A9779" s="76" t="s">
        <v>2543</v>
      </c>
      <c r="B9779" s="77" t="s">
        <v>135</v>
      </c>
      <c r="C9779" s="78" t="s">
        <v>136</v>
      </c>
      <c r="D9779" s="78" t="s">
        <v>2534</v>
      </c>
      <c r="E9779" s="78" t="s">
        <v>2535</v>
      </c>
    </row>
    <row r="9780" spans="1:5">
      <c r="A9780" s="76" t="s">
        <v>4595</v>
      </c>
      <c r="B9780" s="77" t="s">
        <v>494</v>
      </c>
      <c r="C9780" s="78">
        <v>1.404e-5</v>
      </c>
      <c r="D9780" s="78">
        <v>121718.91</v>
      </c>
      <c r="E9780" s="78">
        <f>TRUNC(C9780*D9780,2)</f>
        <v>1.7</v>
      </c>
    </row>
    <row r="9781" spans="1:5">
      <c r="A9781" s="76" t="s">
        <v>122</v>
      </c>
      <c r="B9781" s="77"/>
      <c r="C9781" s="78"/>
      <c r="D9781" s="78"/>
      <c r="E9781" s="78">
        <f>SUM(E9780:E9780)</f>
        <v>1.7</v>
      </c>
    </row>
    <row r="9782" spans="1:5">
      <c r="A9782" s="76"/>
      <c r="B9782" s="77"/>
      <c r="C9782" s="78"/>
      <c r="D9782" s="78"/>
      <c r="E9782" s="78"/>
    </row>
    <row r="9783" spans="1:5">
      <c r="A9783" s="76" t="s">
        <v>2538</v>
      </c>
      <c r="B9783" s="77"/>
      <c r="C9783" s="78"/>
      <c r="D9783" s="78"/>
      <c r="E9783" s="78">
        <f>E9781</f>
        <v>1.7</v>
      </c>
    </row>
    <row r="9784" spans="1:5">
      <c r="A9784" s="76" t="s">
        <v>2539</v>
      </c>
      <c r="B9784" s="77"/>
      <c r="C9784" s="78"/>
      <c r="D9784" s="78">
        <v>0</v>
      </c>
      <c r="E9784" s="78">
        <f>TRUNC(D9784*E9783/100,2)</f>
        <v>0</v>
      </c>
    </row>
    <row r="9785" spans="1:5">
      <c r="A9785" s="76" t="s">
        <v>2540</v>
      </c>
      <c r="B9785" s="77"/>
      <c r="C9785" s="78"/>
      <c r="D9785" s="78"/>
      <c r="E9785" s="78">
        <f>E9783+E9784</f>
        <v>1.7</v>
      </c>
    </row>
    <row r="9786" spans="1:5">
      <c r="A9786" s="76"/>
      <c r="B9786" s="77"/>
      <c r="C9786" s="78"/>
      <c r="D9786" s="78"/>
      <c r="E9786" s="78"/>
    </row>
    <row r="9787" spans="1:5">
      <c r="A9787" s="76" t="s">
        <v>3092</v>
      </c>
      <c r="B9787" s="77" t="s">
        <v>4598</v>
      </c>
      <c r="C9787" s="78"/>
      <c r="D9787" s="78"/>
      <c r="E9787" s="78"/>
    </row>
    <row r="9788" spans="1:5">
      <c r="A9788" s="76" t="s">
        <v>4599</v>
      </c>
      <c r="B9788" s="77"/>
      <c r="C9788" s="78"/>
      <c r="D9788" s="78"/>
      <c r="E9788" s="78"/>
    </row>
    <row r="9789" spans="1:5">
      <c r="A9789" s="76" t="s">
        <v>2764</v>
      </c>
      <c r="B9789" s="77"/>
      <c r="C9789" s="78"/>
      <c r="D9789" s="78"/>
      <c r="E9789" s="78"/>
    </row>
    <row r="9790" spans="1:5">
      <c r="A9790" s="76"/>
      <c r="B9790" s="77"/>
      <c r="C9790" s="78"/>
      <c r="D9790" s="78"/>
      <c r="E9790" s="78"/>
    </row>
    <row r="9791" spans="1:5">
      <c r="A9791" s="76" t="s">
        <v>2543</v>
      </c>
      <c r="B9791" s="77" t="s">
        <v>135</v>
      </c>
      <c r="C9791" s="78" t="s">
        <v>136</v>
      </c>
      <c r="D9791" s="78" t="s">
        <v>2534</v>
      </c>
      <c r="E9791" s="78" t="s">
        <v>2535</v>
      </c>
    </row>
    <row r="9792" spans="1:5">
      <c r="A9792" s="76" t="s">
        <v>3202</v>
      </c>
      <c r="B9792" s="77" t="s">
        <v>215</v>
      </c>
      <c r="C9792" s="78">
        <v>17.1</v>
      </c>
      <c r="D9792" s="78">
        <v>5.93</v>
      </c>
      <c r="E9792" s="78">
        <f>TRUNC(C9792*D9792,2)</f>
        <v>101.4</v>
      </c>
    </row>
    <row r="9793" spans="1:5">
      <c r="A9793" s="76" t="s">
        <v>122</v>
      </c>
      <c r="B9793" s="77"/>
      <c r="C9793" s="78"/>
      <c r="D9793" s="78"/>
      <c r="E9793" s="78">
        <f>SUM(E9792:E9792)</f>
        <v>101.4</v>
      </c>
    </row>
    <row r="9794" spans="1:5">
      <c r="A9794" s="76"/>
      <c r="B9794" s="77"/>
      <c r="C9794" s="78"/>
      <c r="D9794" s="78"/>
      <c r="E9794" s="78"/>
    </row>
    <row r="9795" spans="1:5">
      <c r="A9795" s="76" t="s">
        <v>2538</v>
      </c>
      <c r="B9795" s="77"/>
      <c r="C9795" s="78"/>
      <c r="D9795" s="78"/>
      <c r="E9795" s="78">
        <f>E9793</f>
        <v>101.4</v>
      </c>
    </row>
    <row r="9796" spans="1:5">
      <c r="A9796" s="76" t="s">
        <v>2539</v>
      </c>
      <c r="B9796" s="77"/>
      <c r="C9796" s="78"/>
      <c r="D9796" s="78">
        <v>0</v>
      </c>
      <c r="E9796" s="78">
        <f>TRUNC(D9796*E9795/100,2)</f>
        <v>0</v>
      </c>
    </row>
    <row r="9797" spans="1:5">
      <c r="A9797" s="76" t="s">
        <v>2540</v>
      </c>
      <c r="B9797" s="77"/>
      <c r="C9797" s="78"/>
      <c r="D9797" s="78"/>
      <c r="E9797" s="78">
        <f>E9795+E9796</f>
        <v>101.4</v>
      </c>
    </row>
    <row r="9798" spans="1:5">
      <c r="A9798" s="76"/>
      <c r="B9798" s="77"/>
      <c r="C9798" s="78"/>
      <c r="D9798" s="78"/>
      <c r="E9798" s="78"/>
    </row>
    <row r="9799" spans="1:5">
      <c r="A9799" s="76" t="s">
        <v>3092</v>
      </c>
      <c r="B9799" s="77" t="s">
        <v>4600</v>
      </c>
      <c r="C9799" s="78"/>
      <c r="D9799" s="78"/>
      <c r="E9799" s="78"/>
    </row>
    <row r="9800" spans="1:5">
      <c r="A9800" s="76" t="s">
        <v>4601</v>
      </c>
      <c r="B9800" s="77"/>
      <c r="C9800" s="78"/>
      <c r="D9800" s="78"/>
      <c r="E9800" s="78"/>
    </row>
    <row r="9801" spans="1:5">
      <c r="A9801" s="76" t="s">
        <v>2764</v>
      </c>
      <c r="B9801" s="77"/>
      <c r="C9801" s="78"/>
      <c r="D9801" s="78"/>
      <c r="E9801" s="78"/>
    </row>
    <row r="9802" spans="1:5">
      <c r="A9802" s="76"/>
      <c r="B9802" s="77"/>
      <c r="C9802" s="78"/>
      <c r="D9802" s="78"/>
      <c r="E9802" s="78"/>
    </row>
    <row r="9803" spans="1:5">
      <c r="A9803" s="76" t="s">
        <v>2543</v>
      </c>
      <c r="B9803" s="77" t="s">
        <v>135</v>
      </c>
      <c r="C9803" s="78" t="s">
        <v>136</v>
      </c>
      <c r="D9803" s="78" t="s">
        <v>2534</v>
      </c>
      <c r="E9803" s="78" t="s">
        <v>2535</v>
      </c>
    </row>
    <row r="9804" spans="1:5">
      <c r="A9804" s="76" t="s">
        <v>4595</v>
      </c>
      <c r="B9804" s="77" t="s">
        <v>494</v>
      </c>
      <c r="C9804" s="78">
        <v>3.565e-5</v>
      </c>
      <c r="D9804" s="78">
        <v>121718.91</v>
      </c>
      <c r="E9804" s="78">
        <f>TRUNC(C9804*D9804,2)</f>
        <v>4.33</v>
      </c>
    </row>
    <row r="9805" spans="1:5">
      <c r="A9805" s="76" t="s">
        <v>122</v>
      </c>
      <c r="B9805" s="77"/>
      <c r="C9805" s="78"/>
      <c r="D9805" s="78"/>
      <c r="E9805" s="78">
        <f>SUM(E9804:E9804)</f>
        <v>4.33</v>
      </c>
    </row>
    <row r="9806" spans="1:5">
      <c r="A9806" s="76"/>
      <c r="B9806" s="77"/>
      <c r="C9806" s="78"/>
      <c r="D9806" s="78"/>
      <c r="E9806" s="78"/>
    </row>
    <row r="9807" spans="1:5">
      <c r="A9807" s="76" t="s">
        <v>2538</v>
      </c>
      <c r="B9807" s="77"/>
      <c r="C9807" s="78"/>
      <c r="D9807" s="78"/>
      <c r="E9807" s="78">
        <f>E9805</f>
        <v>4.33</v>
      </c>
    </row>
    <row r="9808" spans="1:5">
      <c r="A9808" s="76" t="s">
        <v>2539</v>
      </c>
      <c r="B9808" s="77"/>
      <c r="C9808" s="78"/>
      <c r="D9808" s="78">
        <v>0</v>
      </c>
      <c r="E9808" s="78">
        <f>TRUNC(D9808*E9807/100,2)</f>
        <v>0</v>
      </c>
    </row>
    <row r="9809" spans="1:5">
      <c r="A9809" s="76" t="s">
        <v>2540</v>
      </c>
      <c r="B9809" s="77"/>
      <c r="C9809" s="78"/>
      <c r="D9809" s="78"/>
      <c r="E9809" s="78">
        <f>E9807+E9808</f>
        <v>4.33</v>
      </c>
    </row>
  </sheetData>
  <pageMargins left="0.511811024" right="0.511811024" top="0.787401575" bottom="0.787401575" header="0.31496062" footer="0.31496062"/>
  <pageSetup paperSize="9" scale="63" orientation="portrait"/>
  <headerFooter/>
  <colBreaks count="1" manualBreakCount="1">
    <brk id="5" max="1048575" man="1"/>
  </colBreak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tabColor theme="9" tint="0.399975585192419"/>
    <pageSetUpPr fitToPage="1"/>
  </sheetPr>
  <dimension ref="A1:G15"/>
  <sheetViews>
    <sheetView view="pageBreakPreview" zoomScale="110" zoomScaleNormal="100" workbookViewId="0">
      <selection activeCell="A33" sqref="A33"/>
    </sheetView>
  </sheetViews>
  <sheetFormatPr defaultColWidth="9" defaultRowHeight="11.25" outlineLevelCol="6"/>
  <cols>
    <col min="1" max="1" width="125.885714285714" style="44" customWidth="1"/>
    <col min="2" max="2" width="10.1047619047619" style="45" customWidth="1"/>
    <col min="3" max="3" width="8.1047619047619" style="45" customWidth="1"/>
    <col min="4" max="4" width="11.3333333333333" style="46" customWidth="1"/>
    <col min="5" max="5" width="7.78095238095238" style="47" customWidth="1"/>
    <col min="6" max="6" width="6.88571428571429" style="47" customWidth="1"/>
    <col min="7" max="7" width="10.6666666666667" style="47" customWidth="1"/>
    <col min="8" max="16384" width="8.88571428571429" style="44"/>
  </cols>
  <sheetData>
    <row r="1" s="39" customFormat="1" spans="1:7">
      <c r="A1" s="48" t="s">
        <v>27</v>
      </c>
      <c r="B1" s="49" t="s">
        <v>4602</v>
      </c>
      <c r="C1" s="49" t="s">
        <v>135</v>
      </c>
      <c r="D1" s="50" t="s">
        <v>4603</v>
      </c>
      <c r="E1" s="51" t="s">
        <v>4604</v>
      </c>
      <c r="F1" s="51" t="s">
        <v>4605</v>
      </c>
      <c r="G1" s="51" t="s">
        <v>4606</v>
      </c>
    </row>
    <row r="2" s="40" customFormat="1" spans="1:7">
      <c r="A2" s="52" t="s">
        <v>4607</v>
      </c>
      <c r="B2" s="53" t="s">
        <v>4608</v>
      </c>
      <c r="C2" s="53" t="s">
        <v>428</v>
      </c>
      <c r="D2" s="54">
        <v>165</v>
      </c>
      <c r="E2" s="55">
        <v>38</v>
      </c>
      <c r="F2" s="55">
        <v>15</v>
      </c>
      <c r="G2" s="55">
        <f>D2+E2+F2</f>
        <v>218</v>
      </c>
    </row>
    <row r="3" s="41" customFormat="1" spans="1:7">
      <c r="A3" s="56" t="s">
        <v>4609</v>
      </c>
      <c r="B3" s="57" t="s">
        <v>4610</v>
      </c>
      <c r="C3" s="57" t="s">
        <v>428</v>
      </c>
      <c r="D3" s="58">
        <v>109.85</v>
      </c>
      <c r="E3" s="59"/>
      <c r="F3" s="59"/>
      <c r="G3" s="59">
        <f t="shared" ref="G3:G15" si="0">D3+E3+F3</f>
        <v>109.85</v>
      </c>
    </row>
    <row r="4" s="40" customFormat="1" spans="1:7">
      <c r="A4" s="52" t="s">
        <v>4611</v>
      </c>
      <c r="B4" s="53" t="s">
        <v>4608</v>
      </c>
      <c r="C4" s="53" t="s">
        <v>428</v>
      </c>
      <c r="D4" s="54">
        <v>185</v>
      </c>
      <c r="E4" s="55">
        <v>38</v>
      </c>
      <c r="F4" s="55">
        <v>15</v>
      </c>
      <c r="G4" s="55">
        <f t="shared" si="0"/>
        <v>238</v>
      </c>
    </row>
    <row r="5" s="41" customFormat="1" spans="1:7">
      <c r="A5" s="56" t="s">
        <v>4612</v>
      </c>
      <c r="B5" s="57" t="s">
        <v>4610</v>
      </c>
      <c r="C5" s="57" t="s">
        <v>428</v>
      </c>
      <c r="D5" s="58">
        <v>119.78</v>
      </c>
      <c r="E5" s="59"/>
      <c r="F5" s="59"/>
      <c r="G5" s="59">
        <f t="shared" si="0"/>
        <v>119.78</v>
      </c>
    </row>
    <row r="6" s="42" customFormat="1" spans="1:7">
      <c r="A6" s="60" t="s">
        <v>4613</v>
      </c>
      <c r="B6" s="61" t="s">
        <v>4608</v>
      </c>
      <c r="C6" s="61" t="s">
        <v>428</v>
      </c>
      <c r="D6" s="62">
        <v>195</v>
      </c>
      <c r="E6" s="63">
        <v>38</v>
      </c>
      <c r="F6" s="63">
        <v>15</v>
      </c>
      <c r="G6" s="63">
        <f t="shared" si="0"/>
        <v>248</v>
      </c>
    </row>
    <row r="7" s="43" customFormat="1" spans="1:7">
      <c r="A7" s="64" t="s">
        <v>4614</v>
      </c>
      <c r="B7" s="65" t="s">
        <v>4610</v>
      </c>
      <c r="C7" s="65" t="s">
        <v>428</v>
      </c>
      <c r="D7" s="66">
        <v>131</v>
      </c>
      <c r="E7" s="67"/>
      <c r="F7" s="67"/>
      <c r="G7" s="67">
        <f t="shared" si="0"/>
        <v>131</v>
      </c>
    </row>
    <row r="8" s="42" customFormat="1" spans="1:7">
      <c r="A8" s="60" t="s">
        <v>4615</v>
      </c>
      <c r="B8" s="61" t="s">
        <v>4608</v>
      </c>
      <c r="C8" s="61" t="s">
        <v>428</v>
      </c>
      <c r="D8" s="62">
        <v>237</v>
      </c>
      <c r="E8" s="63">
        <v>57</v>
      </c>
      <c r="F8" s="63">
        <v>23</v>
      </c>
      <c r="G8" s="63">
        <f t="shared" si="0"/>
        <v>317</v>
      </c>
    </row>
    <row r="9" s="43" customFormat="1" spans="1:7">
      <c r="A9" s="64" t="s">
        <v>4616</v>
      </c>
      <c r="B9" s="65" t="s">
        <v>4610</v>
      </c>
      <c r="C9" s="65" t="s">
        <v>428</v>
      </c>
      <c r="D9" s="66">
        <v>185</v>
      </c>
      <c r="E9" s="67"/>
      <c r="F9" s="67"/>
      <c r="G9" s="67">
        <f t="shared" si="0"/>
        <v>185</v>
      </c>
    </row>
    <row r="10" spans="1:7">
      <c r="A10" s="68" t="s">
        <v>4617</v>
      </c>
      <c r="B10" s="69" t="s">
        <v>4608</v>
      </c>
      <c r="C10" s="69" t="s">
        <v>4618</v>
      </c>
      <c r="D10" s="70">
        <v>355</v>
      </c>
      <c r="E10" s="71">
        <v>83.6</v>
      </c>
      <c r="F10" s="71">
        <v>55.17</v>
      </c>
      <c r="G10" s="71">
        <f t="shared" si="0"/>
        <v>493.77</v>
      </c>
    </row>
    <row r="11" spans="1:7">
      <c r="A11" s="68" t="s">
        <v>4619</v>
      </c>
      <c r="B11" s="69" t="s">
        <v>4610</v>
      </c>
      <c r="C11" s="69" t="s">
        <v>4618</v>
      </c>
      <c r="D11" s="70">
        <v>350</v>
      </c>
      <c r="E11" s="71"/>
      <c r="F11" s="71"/>
      <c r="G11" s="71">
        <f t="shared" si="0"/>
        <v>350</v>
      </c>
    </row>
    <row r="12" spans="1:7">
      <c r="A12" s="68" t="s">
        <v>4620</v>
      </c>
      <c r="B12" s="69"/>
      <c r="C12" s="69" t="s">
        <v>327</v>
      </c>
      <c r="D12" s="70">
        <v>18</v>
      </c>
      <c r="E12" s="71"/>
      <c r="F12" s="71"/>
      <c r="G12" s="71">
        <f t="shared" si="0"/>
        <v>18</v>
      </c>
    </row>
    <row r="13" spans="1:7">
      <c r="A13" s="68" t="s">
        <v>4621</v>
      </c>
      <c r="B13" s="69"/>
      <c r="C13" s="69" t="s">
        <v>327</v>
      </c>
      <c r="D13" s="70">
        <v>50</v>
      </c>
      <c r="E13" s="71"/>
      <c r="F13" s="71"/>
      <c r="G13" s="71">
        <f t="shared" si="0"/>
        <v>50</v>
      </c>
    </row>
    <row r="14" spans="1:7">
      <c r="A14" s="68" t="s">
        <v>4622</v>
      </c>
      <c r="B14" s="69"/>
      <c r="C14" s="69" t="s">
        <v>327</v>
      </c>
      <c r="D14" s="70">
        <v>105</v>
      </c>
      <c r="E14" s="71"/>
      <c r="F14" s="71"/>
      <c r="G14" s="71">
        <f t="shared" si="0"/>
        <v>105</v>
      </c>
    </row>
    <row r="15" spans="1:7">
      <c r="A15" s="68" t="s">
        <v>4623</v>
      </c>
      <c r="B15" s="69"/>
      <c r="C15" s="69" t="s">
        <v>327</v>
      </c>
      <c r="D15" s="70">
        <v>166</v>
      </c>
      <c r="E15" s="71"/>
      <c r="F15" s="71"/>
      <c r="G15" s="71">
        <f t="shared" si="0"/>
        <v>166</v>
      </c>
    </row>
  </sheetData>
  <pageMargins left="0.25" right="0.25" top="0.75" bottom="0.75" header="0.3" footer="0.3"/>
  <pageSetup paperSize="9" scale="80" orientation="landscape"/>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12"/>
  <dimension ref="A1:F192"/>
  <sheetViews>
    <sheetView workbookViewId="0">
      <selection activeCell="H17" sqref="H17"/>
    </sheetView>
  </sheetViews>
  <sheetFormatPr defaultColWidth="9" defaultRowHeight="12.75" outlineLevelCol="5"/>
  <cols>
    <col min="1" max="1" width="5.21904761904762" style="33" customWidth="1"/>
    <col min="2" max="3" width="11.6666666666667" style="33" customWidth="1"/>
    <col min="4" max="4" width="11.6666666666667" style="34" customWidth="1"/>
  </cols>
  <sheetData>
    <row r="1" spans="1:6">
      <c r="A1" s="35" t="s">
        <v>310</v>
      </c>
      <c r="B1" s="35" t="s">
        <v>4624</v>
      </c>
      <c r="C1" s="35" t="s">
        <v>4625</v>
      </c>
      <c r="D1" s="36" t="s">
        <v>4626</v>
      </c>
      <c r="F1">
        <f>SUBTOTAL(9,E:E)</f>
        <v>88.3199999999999</v>
      </c>
    </row>
    <row r="2" spans="1:6">
      <c r="A2" s="33">
        <v>1</v>
      </c>
      <c r="B2" s="35" t="s">
        <v>4627</v>
      </c>
      <c r="C2" s="33">
        <v>47</v>
      </c>
      <c r="D2" s="34">
        <v>1.35</v>
      </c>
      <c r="E2" s="37">
        <f>D2-1</f>
        <v>0.35</v>
      </c>
    </row>
    <row r="3" spans="1:6">
      <c r="A3" s="33">
        <v>2</v>
      </c>
      <c r="B3" s="35" t="s">
        <v>4628</v>
      </c>
      <c r="C3" s="33">
        <v>44</v>
      </c>
      <c r="D3" s="34">
        <v>1.74</v>
      </c>
      <c r="E3" s="37">
        <f t="shared" ref="E3:E25" si="0">D3-1</f>
        <v>0.74</v>
      </c>
    </row>
    <row r="4" spans="1:6">
      <c r="A4" s="33">
        <v>3</v>
      </c>
      <c r="B4" s="35" t="s">
        <v>4627</v>
      </c>
      <c r="C4" s="33">
        <v>48</v>
      </c>
      <c r="D4" s="34">
        <v>1.35</v>
      </c>
      <c r="E4" s="37">
        <f t="shared" si="0"/>
        <v>0.35</v>
      </c>
    </row>
    <row r="5" spans="1:6">
      <c r="A5" s="33">
        <v>4</v>
      </c>
      <c r="B5" s="35" t="s">
        <v>4628</v>
      </c>
      <c r="C5" s="33">
        <v>45</v>
      </c>
      <c r="D5" s="34">
        <v>1.43</v>
      </c>
      <c r="E5" s="37">
        <f t="shared" si="0"/>
        <v>0.43</v>
      </c>
    </row>
    <row r="6" spans="1:6">
      <c r="A6" s="33">
        <v>5</v>
      </c>
      <c r="B6" s="35" t="s">
        <v>4628</v>
      </c>
      <c r="C6" s="33">
        <v>46</v>
      </c>
      <c r="D6" s="34">
        <v>1.35</v>
      </c>
      <c r="E6" s="37">
        <f t="shared" si="0"/>
        <v>0.35</v>
      </c>
    </row>
    <row r="7" spans="1:6">
      <c r="A7" s="33">
        <v>6</v>
      </c>
      <c r="B7" s="35" t="s">
        <v>4628</v>
      </c>
      <c r="C7" s="33">
        <v>7</v>
      </c>
      <c r="D7" s="34">
        <v>1.65</v>
      </c>
      <c r="E7" s="37">
        <f t="shared" si="0"/>
        <v>0.65</v>
      </c>
    </row>
    <row r="8" spans="1:6">
      <c r="A8" s="33">
        <v>7</v>
      </c>
      <c r="B8" s="35" t="s">
        <v>4628</v>
      </c>
      <c r="C8" s="33">
        <v>8</v>
      </c>
      <c r="D8" s="34">
        <v>1.42</v>
      </c>
      <c r="E8" s="37">
        <f t="shared" si="0"/>
        <v>0.42</v>
      </c>
    </row>
    <row r="9" spans="1:6">
      <c r="A9" s="33">
        <v>8</v>
      </c>
      <c r="B9" s="35" t="s">
        <v>4628</v>
      </c>
      <c r="C9" s="33">
        <v>9</v>
      </c>
      <c r="D9" s="34">
        <v>1.59</v>
      </c>
      <c r="E9" s="37">
        <f t="shared" si="0"/>
        <v>0.59</v>
      </c>
    </row>
    <row r="10" spans="1:6">
      <c r="A10" s="33">
        <v>9</v>
      </c>
      <c r="B10" s="35" t="s">
        <v>4627</v>
      </c>
      <c r="C10" s="33">
        <v>64</v>
      </c>
      <c r="D10" s="34">
        <v>1.35</v>
      </c>
      <c r="E10" s="37">
        <f t="shared" si="0"/>
        <v>0.35</v>
      </c>
    </row>
    <row r="11" spans="1:6">
      <c r="A11" s="33">
        <v>10</v>
      </c>
      <c r="B11" s="35" t="s">
        <v>4628</v>
      </c>
      <c r="C11" s="33">
        <v>10</v>
      </c>
      <c r="D11" s="34">
        <v>1.35</v>
      </c>
      <c r="E11" s="37">
        <f t="shared" si="0"/>
        <v>0.35</v>
      </c>
    </row>
    <row r="12" spans="1:6">
      <c r="A12" s="33">
        <v>11</v>
      </c>
      <c r="B12" s="35" t="s">
        <v>4627</v>
      </c>
      <c r="C12" s="33">
        <v>65</v>
      </c>
      <c r="D12" s="34">
        <v>1.35</v>
      </c>
      <c r="E12" s="37">
        <f t="shared" si="0"/>
        <v>0.35</v>
      </c>
    </row>
    <row r="13" spans="1:6">
      <c r="A13" s="33">
        <v>12</v>
      </c>
      <c r="B13" s="35" t="s">
        <v>4628</v>
      </c>
      <c r="C13" s="33">
        <v>11</v>
      </c>
      <c r="D13" s="34">
        <v>1.56</v>
      </c>
      <c r="E13" s="37">
        <f t="shared" si="0"/>
        <v>0.56</v>
      </c>
    </row>
    <row r="14" spans="1:6">
      <c r="A14" s="33">
        <v>13</v>
      </c>
      <c r="B14" s="35" t="s">
        <v>4627</v>
      </c>
      <c r="C14" s="33">
        <v>66</v>
      </c>
      <c r="D14" s="34">
        <v>1.35</v>
      </c>
      <c r="E14" s="37">
        <f t="shared" si="0"/>
        <v>0.35</v>
      </c>
    </row>
    <row r="15" spans="1:6">
      <c r="A15" s="33">
        <v>14</v>
      </c>
      <c r="B15" s="35" t="s">
        <v>4628</v>
      </c>
      <c r="C15" s="33">
        <v>12</v>
      </c>
      <c r="D15" s="34">
        <v>1.35</v>
      </c>
      <c r="E15" s="37">
        <f t="shared" si="0"/>
        <v>0.35</v>
      </c>
    </row>
    <row r="16" spans="1:6">
      <c r="A16" s="33">
        <v>15</v>
      </c>
      <c r="B16" s="35" t="s">
        <v>4628</v>
      </c>
      <c r="C16" s="33">
        <v>13</v>
      </c>
      <c r="D16" s="34">
        <v>1.35</v>
      </c>
      <c r="E16" s="37">
        <f t="shared" si="0"/>
        <v>0.35</v>
      </c>
    </row>
    <row r="17" spans="1:5">
      <c r="A17" s="33">
        <v>16</v>
      </c>
      <c r="B17" s="35" t="s">
        <v>4628</v>
      </c>
      <c r="C17" s="33">
        <v>14</v>
      </c>
      <c r="D17" s="34">
        <v>1.77</v>
      </c>
      <c r="E17" s="37">
        <f t="shared" si="0"/>
        <v>0.77</v>
      </c>
    </row>
    <row r="18" spans="1:5">
      <c r="A18" s="33">
        <v>17</v>
      </c>
      <c r="B18" s="35" t="s">
        <v>4628</v>
      </c>
      <c r="C18" s="33">
        <v>15</v>
      </c>
      <c r="D18" s="34">
        <v>1.5</v>
      </c>
      <c r="E18" s="37">
        <f t="shared" si="0"/>
        <v>0.5</v>
      </c>
    </row>
    <row r="19" spans="1:5">
      <c r="A19" s="33">
        <v>18</v>
      </c>
      <c r="B19" s="35" t="s">
        <v>4628</v>
      </c>
      <c r="C19" s="33">
        <v>117</v>
      </c>
      <c r="D19" s="34">
        <v>1.75</v>
      </c>
      <c r="E19" s="37">
        <f t="shared" si="0"/>
        <v>0.75</v>
      </c>
    </row>
    <row r="20" spans="1:5">
      <c r="A20" s="33">
        <v>19</v>
      </c>
      <c r="B20" s="35" t="s">
        <v>4628</v>
      </c>
      <c r="C20" s="33">
        <v>115</v>
      </c>
      <c r="D20" s="34">
        <v>2.14</v>
      </c>
      <c r="E20" s="37">
        <f t="shared" si="0"/>
        <v>1.14</v>
      </c>
    </row>
    <row r="21" spans="1:5">
      <c r="A21" s="33">
        <v>20</v>
      </c>
      <c r="B21" s="35" t="s">
        <v>4628</v>
      </c>
      <c r="C21" s="33">
        <v>147</v>
      </c>
      <c r="D21" s="34">
        <v>2.22</v>
      </c>
      <c r="E21" s="37">
        <f t="shared" si="0"/>
        <v>1.22</v>
      </c>
    </row>
    <row r="22" spans="1:5">
      <c r="A22" s="33">
        <v>21</v>
      </c>
      <c r="B22" s="35" t="s">
        <v>4628</v>
      </c>
      <c r="C22" s="33">
        <v>130</v>
      </c>
      <c r="D22" s="34">
        <v>1.99</v>
      </c>
      <c r="E22" s="37">
        <f t="shared" si="0"/>
        <v>0.99</v>
      </c>
    </row>
    <row r="23" spans="1:5">
      <c r="A23" s="33">
        <v>22</v>
      </c>
      <c r="B23" s="35" t="s">
        <v>4628</v>
      </c>
      <c r="C23" s="33">
        <v>300</v>
      </c>
      <c r="D23" s="34">
        <v>1.35</v>
      </c>
      <c r="E23" s="37">
        <f t="shared" si="0"/>
        <v>0.35</v>
      </c>
    </row>
    <row r="24" spans="1:5">
      <c r="A24" s="33">
        <v>23</v>
      </c>
      <c r="B24" s="35" t="s">
        <v>4628</v>
      </c>
      <c r="C24" s="33">
        <v>301</v>
      </c>
      <c r="D24" s="34">
        <v>1.35</v>
      </c>
      <c r="E24" s="37">
        <f t="shared" si="0"/>
        <v>0.35</v>
      </c>
    </row>
    <row r="25" spans="1:5">
      <c r="A25" s="33">
        <v>24</v>
      </c>
      <c r="B25" s="35" t="s">
        <v>4628</v>
      </c>
      <c r="C25" s="33">
        <v>21</v>
      </c>
      <c r="D25" s="34">
        <v>2.15</v>
      </c>
      <c r="E25" s="37">
        <f t="shared" si="0"/>
        <v>1.15</v>
      </c>
    </row>
    <row r="26" hidden="1" spans="1:5">
      <c r="A26" s="33">
        <v>25</v>
      </c>
      <c r="E26" s="37"/>
    </row>
    <row r="27" spans="1:5">
      <c r="A27" s="33">
        <v>26</v>
      </c>
      <c r="B27" s="35" t="s">
        <v>4627</v>
      </c>
      <c r="C27" s="33">
        <v>278</v>
      </c>
      <c r="D27" s="34">
        <v>1.35</v>
      </c>
      <c r="E27" s="37">
        <f t="shared" ref="E27:E34" si="1">D27-1</f>
        <v>0.35</v>
      </c>
    </row>
    <row r="28" spans="1:5">
      <c r="A28" s="33">
        <v>27</v>
      </c>
      <c r="B28" s="35" t="s">
        <v>4628</v>
      </c>
      <c r="C28" s="33">
        <v>297</v>
      </c>
      <c r="D28" s="34">
        <v>1.8</v>
      </c>
      <c r="E28" s="37">
        <f t="shared" si="1"/>
        <v>0.8</v>
      </c>
    </row>
    <row r="29" spans="1:5">
      <c r="A29" s="33">
        <v>28</v>
      </c>
      <c r="B29" s="35" t="s">
        <v>4628</v>
      </c>
      <c r="C29" s="33">
        <v>90</v>
      </c>
      <c r="D29" s="34">
        <v>1.65</v>
      </c>
      <c r="E29" s="37">
        <f t="shared" si="1"/>
        <v>0.65</v>
      </c>
    </row>
    <row r="30" spans="1:5">
      <c r="A30" s="33">
        <v>29</v>
      </c>
      <c r="B30" s="35" t="s">
        <v>4628</v>
      </c>
      <c r="C30" s="33">
        <v>91</v>
      </c>
      <c r="D30" s="34">
        <v>1.65</v>
      </c>
      <c r="E30" s="37">
        <f t="shared" si="1"/>
        <v>0.65</v>
      </c>
    </row>
    <row r="31" spans="1:5">
      <c r="A31" s="33">
        <v>30</v>
      </c>
      <c r="B31" s="35" t="s">
        <v>4628</v>
      </c>
      <c r="C31" s="33">
        <v>92</v>
      </c>
      <c r="D31" s="34">
        <v>1.96</v>
      </c>
      <c r="E31" s="37">
        <f t="shared" si="1"/>
        <v>0.96</v>
      </c>
    </row>
    <row r="32" spans="1:5">
      <c r="A32" s="33">
        <v>31</v>
      </c>
      <c r="B32" s="35" t="s">
        <v>4628</v>
      </c>
      <c r="C32" s="33">
        <v>93</v>
      </c>
      <c r="D32" s="34">
        <v>1.8</v>
      </c>
      <c r="E32" s="37">
        <f t="shared" si="1"/>
        <v>0.8</v>
      </c>
    </row>
    <row r="33" spans="1:5">
      <c r="A33" s="33">
        <v>32</v>
      </c>
      <c r="B33" s="35" t="s">
        <v>4628</v>
      </c>
      <c r="C33" s="33">
        <v>94</v>
      </c>
      <c r="D33" s="34">
        <v>1.49</v>
      </c>
      <c r="E33" s="37">
        <f t="shared" si="1"/>
        <v>0.49</v>
      </c>
    </row>
    <row r="34" spans="1:5">
      <c r="A34" s="33">
        <v>33</v>
      </c>
      <c r="B34" s="35" t="s">
        <v>4628</v>
      </c>
      <c r="C34" s="33">
        <v>95</v>
      </c>
      <c r="D34" s="34">
        <v>1.35</v>
      </c>
      <c r="E34" s="37">
        <f t="shared" si="1"/>
        <v>0.35</v>
      </c>
    </row>
    <row r="35" hidden="1" spans="1:5">
      <c r="A35" s="33">
        <v>34</v>
      </c>
      <c r="E35" s="37"/>
    </row>
    <row r="36" spans="1:5">
      <c r="A36" s="33">
        <v>35</v>
      </c>
      <c r="B36" s="35" t="s">
        <v>4627</v>
      </c>
      <c r="C36" s="33">
        <v>109</v>
      </c>
      <c r="D36" s="34">
        <v>1.35</v>
      </c>
      <c r="E36" s="37">
        <f t="shared" ref="E36:E39" si="2">D36-1</f>
        <v>0.35</v>
      </c>
    </row>
    <row r="37" spans="1:5">
      <c r="A37" s="33">
        <v>36</v>
      </c>
      <c r="B37" s="35" t="s">
        <v>4628</v>
      </c>
      <c r="C37" s="33">
        <v>97</v>
      </c>
      <c r="D37" s="34">
        <v>1.35</v>
      </c>
      <c r="E37" s="37">
        <f t="shared" si="2"/>
        <v>0.35</v>
      </c>
    </row>
    <row r="38" spans="1:5">
      <c r="A38" s="33">
        <v>37</v>
      </c>
      <c r="B38" s="35" t="s">
        <v>4627</v>
      </c>
      <c r="C38" s="33">
        <v>108</v>
      </c>
      <c r="D38" s="34">
        <v>1.35</v>
      </c>
      <c r="E38" s="37">
        <f t="shared" si="2"/>
        <v>0.35</v>
      </c>
    </row>
    <row r="39" spans="1:5">
      <c r="A39" s="33">
        <v>38</v>
      </c>
      <c r="B39" s="35" t="s">
        <v>4628</v>
      </c>
      <c r="C39" s="33">
        <v>96</v>
      </c>
      <c r="D39" s="34">
        <v>1.35</v>
      </c>
      <c r="E39" s="37">
        <f t="shared" si="2"/>
        <v>0.35</v>
      </c>
    </row>
    <row r="40" hidden="1" spans="1:5">
      <c r="A40" s="33">
        <v>39</v>
      </c>
      <c r="B40" s="35"/>
      <c r="E40" s="37"/>
    </row>
    <row r="41" spans="1:5">
      <c r="A41" s="33">
        <v>40</v>
      </c>
      <c r="B41" s="35" t="s">
        <v>4627</v>
      </c>
      <c r="C41" s="33">
        <v>110</v>
      </c>
      <c r="D41" s="34">
        <v>1.35</v>
      </c>
      <c r="E41" s="37">
        <f t="shared" ref="E41:E48" si="3">D41-1</f>
        <v>0.35</v>
      </c>
    </row>
    <row r="42" spans="1:5">
      <c r="A42" s="33">
        <v>41</v>
      </c>
      <c r="B42" s="35" t="s">
        <v>4628</v>
      </c>
      <c r="C42" s="33">
        <v>98</v>
      </c>
      <c r="D42" s="34">
        <v>1.48</v>
      </c>
      <c r="E42" s="37">
        <f t="shared" si="3"/>
        <v>0.48</v>
      </c>
    </row>
    <row r="43" spans="1:5">
      <c r="A43" s="33">
        <v>42</v>
      </c>
      <c r="B43" s="35" t="s">
        <v>4628</v>
      </c>
      <c r="C43" s="33">
        <v>100</v>
      </c>
      <c r="D43" s="34">
        <v>1.73</v>
      </c>
      <c r="E43" s="37">
        <f t="shared" si="3"/>
        <v>0.73</v>
      </c>
    </row>
    <row r="44" spans="1:5">
      <c r="A44" s="33">
        <v>43</v>
      </c>
      <c r="B44" s="35" t="s">
        <v>4628</v>
      </c>
      <c r="C44" s="33">
        <v>16</v>
      </c>
      <c r="D44" s="34">
        <v>1.7</v>
      </c>
      <c r="E44" s="37">
        <f t="shared" si="3"/>
        <v>0.7</v>
      </c>
    </row>
    <row r="45" spans="1:5">
      <c r="A45" s="33">
        <v>44</v>
      </c>
      <c r="B45" s="35" t="s">
        <v>4628</v>
      </c>
      <c r="C45" s="33">
        <v>17</v>
      </c>
      <c r="D45" s="34">
        <v>1.69</v>
      </c>
      <c r="E45" s="37">
        <f t="shared" si="3"/>
        <v>0.69</v>
      </c>
    </row>
    <row r="46" spans="1:5">
      <c r="A46" s="33">
        <v>45</v>
      </c>
      <c r="B46" s="35" t="s">
        <v>4627</v>
      </c>
      <c r="C46" s="33">
        <v>111</v>
      </c>
      <c r="D46" s="34">
        <v>1.15</v>
      </c>
      <c r="E46" s="37">
        <f t="shared" si="3"/>
        <v>0.15</v>
      </c>
    </row>
    <row r="47" spans="1:5">
      <c r="A47" s="33">
        <v>46</v>
      </c>
      <c r="B47" s="35" t="s">
        <v>4628</v>
      </c>
      <c r="C47" s="33">
        <v>18</v>
      </c>
      <c r="D47" s="34">
        <v>1.69</v>
      </c>
      <c r="E47" s="37">
        <f t="shared" si="3"/>
        <v>0.69</v>
      </c>
    </row>
    <row r="48" spans="1:5">
      <c r="A48" s="33">
        <v>47</v>
      </c>
      <c r="B48" s="35" t="s">
        <v>4628</v>
      </c>
      <c r="C48" s="33">
        <v>19</v>
      </c>
      <c r="D48" s="34">
        <v>1.8</v>
      </c>
      <c r="E48" s="37">
        <f t="shared" si="3"/>
        <v>0.8</v>
      </c>
    </row>
    <row r="49" hidden="1" spans="1:5">
      <c r="A49" s="33">
        <v>48</v>
      </c>
      <c r="E49" s="37"/>
    </row>
    <row r="50" spans="1:5">
      <c r="A50" s="33">
        <v>49</v>
      </c>
      <c r="B50" s="35" t="s">
        <v>4627</v>
      </c>
      <c r="C50" s="33">
        <v>106</v>
      </c>
      <c r="D50" s="34">
        <v>1.35</v>
      </c>
      <c r="E50" s="37">
        <f t="shared" ref="E50:E51" si="4">D50-1</f>
        <v>0.35</v>
      </c>
    </row>
    <row r="51" spans="1:5">
      <c r="A51" s="33">
        <v>50</v>
      </c>
      <c r="B51" s="35" t="s">
        <v>4628</v>
      </c>
      <c r="C51" s="33">
        <v>107</v>
      </c>
      <c r="D51" s="34">
        <v>1.35</v>
      </c>
      <c r="E51" s="37">
        <f t="shared" si="4"/>
        <v>0.35</v>
      </c>
    </row>
    <row r="52" hidden="1" spans="1:5">
      <c r="A52" s="33">
        <v>51</v>
      </c>
      <c r="E52" s="37"/>
    </row>
    <row r="53" spans="1:5">
      <c r="A53" s="33">
        <v>52</v>
      </c>
      <c r="B53" s="35" t="s">
        <v>4627</v>
      </c>
      <c r="C53" s="33">
        <v>104</v>
      </c>
      <c r="D53" s="34">
        <v>1.35</v>
      </c>
      <c r="E53" s="37">
        <f t="shared" ref="E53:E54" si="5">D53-1</f>
        <v>0.35</v>
      </c>
    </row>
    <row r="54" spans="1:5">
      <c r="A54" s="33">
        <v>53</v>
      </c>
      <c r="B54" s="35" t="s">
        <v>4628</v>
      </c>
      <c r="C54" s="33">
        <v>105</v>
      </c>
      <c r="D54" s="34">
        <v>1.8</v>
      </c>
      <c r="E54" s="37">
        <f t="shared" si="5"/>
        <v>0.8</v>
      </c>
    </row>
    <row r="55" hidden="1" spans="1:5">
      <c r="A55" s="33">
        <v>54</v>
      </c>
      <c r="E55" s="37"/>
    </row>
    <row r="56" spans="1:5">
      <c r="A56" s="33">
        <v>55</v>
      </c>
      <c r="B56" s="35" t="s">
        <v>4627</v>
      </c>
      <c r="C56" s="33">
        <v>102</v>
      </c>
      <c r="D56" s="34">
        <v>1.35</v>
      </c>
      <c r="E56" s="37">
        <f t="shared" ref="E56:E57" si="6">D56-1</f>
        <v>0.35</v>
      </c>
    </row>
    <row r="57" spans="1:5">
      <c r="A57" s="33">
        <v>56</v>
      </c>
      <c r="B57" s="35" t="s">
        <v>4628</v>
      </c>
      <c r="C57" s="33">
        <v>103</v>
      </c>
      <c r="D57" s="34">
        <v>1.8</v>
      </c>
      <c r="E57" s="37">
        <f t="shared" si="6"/>
        <v>0.8</v>
      </c>
    </row>
    <row r="58" hidden="1" spans="1:5">
      <c r="A58" s="33">
        <v>57</v>
      </c>
      <c r="E58" s="37"/>
    </row>
    <row r="59" spans="1:5">
      <c r="A59" s="33">
        <v>58</v>
      </c>
      <c r="B59" s="35" t="s">
        <v>4627</v>
      </c>
      <c r="C59" s="33">
        <v>67</v>
      </c>
      <c r="D59" s="34">
        <v>1.35</v>
      </c>
      <c r="E59" s="37">
        <f t="shared" ref="E59:E69" si="7">D59-1</f>
        <v>0.35</v>
      </c>
    </row>
    <row r="60" spans="1:5">
      <c r="A60" s="33">
        <v>59</v>
      </c>
      <c r="B60" s="35" t="s">
        <v>4628</v>
      </c>
      <c r="C60" s="33">
        <v>68</v>
      </c>
      <c r="D60" s="34">
        <v>1.35</v>
      </c>
      <c r="E60" s="37">
        <f t="shared" si="7"/>
        <v>0.35</v>
      </c>
    </row>
    <row r="61" spans="1:5">
      <c r="A61" s="33">
        <v>60</v>
      </c>
      <c r="B61" s="35" t="s">
        <v>4627</v>
      </c>
      <c r="C61" s="33">
        <v>73</v>
      </c>
      <c r="D61" s="34">
        <v>1.35</v>
      </c>
      <c r="E61" s="37">
        <f t="shared" si="7"/>
        <v>0.35</v>
      </c>
    </row>
    <row r="62" spans="1:5">
      <c r="A62" s="33">
        <v>61</v>
      </c>
      <c r="B62" s="35" t="s">
        <v>4628</v>
      </c>
      <c r="C62" s="33">
        <v>69</v>
      </c>
      <c r="D62" s="34">
        <v>1.8</v>
      </c>
      <c r="E62" s="37">
        <f t="shared" si="7"/>
        <v>0.8</v>
      </c>
    </row>
    <row r="63" spans="1:5">
      <c r="A63" s="33">
        <v>62</v>
      </c>
      <c r="B63" s="35" t="s">
        <v>4628</v>
      </c>
      <c r="C63" s="33">
        <v>70</v>
      </c>
      <c r="D63" s="34">
        <v>1.8</v>
      </c>
      <c r="E63" s="37">
        <f t="shared" si="7"/>
        <v>0.8</v>
      </c>
    </row>
    <row r="64" spans="1:5">
      <c r="A64" s="33">
        <v>63</v>
      </c>
      <c r="B64" s="35" t="s">
        <v>4628</v>
      </c>
      <c r="C64" s="33">
        <v>71</v>
      </c>
      <c r="D64" s="34">
        <v>1.65</v>
      </c>
      <c r="E64" s="37">
        <f t="shared" si="7"/>
        <v>0.65</v>
      </c>
    </row>
    <row r="65" spans="1:5">
      <c r="A65" s="33">
        <v>64</v>
      </c>
      <c r="B65" s="35" t="s">
        <v>4627</v>
      </c>
      <c r="C65" s="33">
        <v>75</v>
      </c>
      <c r="D65" s="34">
        <v>1.35</v>
      </c>
      <c r="E65" s="37">
        <f t="shared" si="7"/>
        <v>0.35</v>
      </c>
    </row>
    <row r="66" spans="1:5">
      <c r="A66" s="33">
        <v>65</v>
      </c>
      <c r="B66" s="35" t="s">
        <v>4628</v>
      </c>
      <c r="C66" s="33">
        <v>76</v>
      </c>
      <c r="D66" s="34">
        <v>1.35</v>
      </c>
      <c r="E66" s="37">
        <f t="shared" si="7"/>
        <v>0.35</v>
      </c>
    </row>
    <row r="67" spans="1:5">
      <c r="A67" s="33">
        <v>66</v>
      </c>
      <c r="B67" s="35" t="s">
        <v>4628</v>
      </c>
      <c r="C67" s="35">
        <v>72</v>
      </c>
      <c r="D67" s="34">
        <v>1.35</v>
      </c>
      <c r="E67" s="37">
        <f t="shared" si="7"/>
        <v>0.35</v>
      </c>
    </row>
    <row r="68" spans="1:5">
      <c r="A68" s="33">
        <v>67</v>
      </c>
      <c r="B68" s="35" t="s">
        <v>4627</v>
      </c>
      <c r="C68" s="33">
        <v>77</v>
      </c>
      <c r="D68" s="34">
        <v>1.65</v>
      </c>
      <c r="E68" s="37">
        <f t="shared" si="7"/>
        <v>0.65</v>
      </c>
    </row>
    <row r="69" spans="1:5">
      <c r="A69" s="33">
        <v>68</v>
      </c>
      <c r="B69" s="35" t="s">
        <v>4628</v>
      </c>
      <c r="C69" s="33">
        <v>78</v>
      </c>
      <c r="D69" s="34">
        <v>1.65</v>
      </c>
      <c r="E69" s="37">
        <f t="shared" si="7"/>
        <v>0.65</v>
      </c>
    </row>
    <row r="70" hidden="1" spans="1:5">
      <c r="A70" s="33">
        <v>69</v>
      </c>
      <c r="E70" s="37"/>
    </row>
    <row r="71" spans="1:5">
      <c r="A71" s="33">
        <v>70</v>
      </c>
      <c r="B71" s="35" t="s">
        <v>4627</v>
      </c>
      <c r="C71" s="33">
        <v>37</v>
      </c>
      <c r="D71" s="38">
        <v>1.35</v>
      </c>
      <c r="E71" s="37">
        <f t="shared" ref="E71:E75" si="8">D71-1</f>
        <v>0.35</v>
      </c>
    </row>
    <row r="72" spans="1:5">
      <c r="A72" s="33">
        <v>71</v>
      </c>
      <c r="B72" s="35" t="s">
        <v>4628</v>
      </c>
      <c r="C72" s="33">
        <v>36</v>
      </c>
      <c r="D72" s="34">
        <v>1.35</v>
      </c>
      <c r="E72" s="37">
        <f t="shared" si="8"/>
        <v>0.35</v>
      </c>
    </row>
    <row r="73" spans="1:5">
      <c r="A73" s="33">
        <v>72</v>
      </c>
      <c r="B73" s="35" t="s">
        <v>4628</v>
      </c>
      <c r="C73" s="33">
        <v>4</v>
      </c>
      <c r="D73" s="34">
        <v>1.35</v>
      </c>
      <c r="E73" s="37">
        <f t="shared" si="8"/>
        <v>0.35</v>
      </c>
    </row>
    <row r="74" spans="1:5">
      <c r="A74" s="33">
        <v>73</v>
      </c>
      <c r="B74" s="35" t="s">
        <v>4628</v>
      </c>
      <c r="C74" s="33">
        <v>5</v>
      </c>
      <c r="D74" s="34">
        <v>1.35</v>
      </c>
      <c r="E74" s="37">
        <f t="shared" si="8"/>
        <v>0.35</v>
      </c>
    </row>
    <row r="75" spans="1:5">
      <c r="A75" s="33">
        <v>74</v>
      </c>
      <c r="B75" s="35" t="s">
        <v>4628</v>
      </c>
      <c r="C75" s="33">
        <v>6</v>
      </c>
      <c r="D75" s="34">
        <v>1.66</v>
      </c>
      <c r="E75" s="37">
        <f t="shared" si="8"/>
        <v>0.66</v>
      </c>
    </row>
    <row r="76" hidden="1" spans="1:5">
      <c r="A76" s="33">
        <v>75</v>
      </c>
      <c r="E76" s="37"/>
    </row>
    <row r="77" spans="1:5">
      <c r="A77" s="33">
        <v>76</v>
      </c>
      <c r="B77" s="35" t="s">
        <v>4627</v>
      </c>
      <c r="C77" s="33">
        <v>38</v>
      </c>
      <c r="D77" s="34">
        <v>1.35</v>
      </c>
      <c r="E77" s="37">
        <f t="shared" ref="E77:E80" si="9">D77-1</f>
        <v>0.35</v>
      </c>
    </row>
    <row r="78" spans="1:5">
      <c r="A78" s="33">
        <v>77</v>
      </c>
      <c r="B78" s="35" t="s">
        <v>4628</v>
      </c>
      <c r="C78" s="33">
        <v>39</v>
      </c>
      <c r="D78" s="34">
        <v>1.35</v>
      </c>
      <c r="E78" s="37">
        <f t="shared" si="9"/>
        <v>0.35</v>
      </c>
    </row>
    <row r="79" spans="1:5">
      <c r="A79" s="33">
        <v>78</v>
      </c>
      <c r="B79" s="35" t="s">
        <v>4627</v>
      </c>
      <c r="C79" s="33">
        <v>41</v>
      </c>
      <c r="D79" s="34">
        <v>1.35</v>
      </c>
      <c r="E79" s="37">
        <f t="shared" si="9"/>
        <v>0.35</v>
      </c>
    </row>
    <row r="80" spans="1:5">
      <c r="A80" s="33">
        <v>79</v>
      </c>
      <c r="B80" s="35" t="s">
        <v>4628</v>
      </c>
      <c r="C80" s="33">
        <v>40</v>
      </c>
      <c r="D80" s="34">
        <v>1.35</v>
      </c>
      <c r="E80" s="37">
        <f t="shared" si="9"/>
        <v>0.35</v>
      </c>
    </row>
    <row r="81" hidden="1" spans="1:5">
      <c r="A81" s="33">
        <v>80</v>
      </c>
      <c r="E81" s="37"/>
    </row>
    <row r="82" spans="1:5">
      <c r="A82" s="33">
        <v>81</v>
      </c>
      <c r="B82" s="35" t="s">
        <v>4627</v>
      </c>
      <c r="C82" s="33">
        <v>49</v>
      </c>
      <c r="D82" s="34">
        <v>1.35</v>
      </c>
      <c r="E82" s="37">
        <f t="shared" ref="E82:E94" si="10">D82-1</f>
        <v>0.35</v>
      </c>
    </row>
    <row r="83" spans="1:5">
      <c r="A83" s="33">
        <v>82</v>
      </c>
      <c r="B83" s="35" t="s">
        <v>4628</v>
      </c>
      <c r="C83" s="33">
        <v>50</v>
      </c>
      <c r="D83" s="34">
        <v>1.45</v>
      </c>
      <c r="E83" s="37">
        <f t="shared" si="10"/>
        <v>0.45</v>
      </c>
    </row>
    <row r="84" spans="1:5">
      <c r="A84" s="33">
        <v>83</v>
      </c>
      <c r="B84" s="35" t="s">
        <v>4628</v>
      </c>
      <c r="C84" s="33">
        <v>289</v>
      </c>
      <c r="D84" s="34">
        <v>1.66</v>
      </c>
      <c r="E84" s="37">
        <f t="shared" si="10"/>
        <v>0.66</v>
      </c>
    </row>
    <row r="85" spans="1:5">
      <c r="A85" s="33">
        <v>84</v>
      </c>
      <c r="B85" s="35" t="s">
        <v>4628</v>
      </c>
      <c r="C85" s="33">
        <v>60</v>
      </c>
      <c r="D85" s="34">
        <v>1.78</v>
      </c>
      <c r="E85" s="37">
        <f t="shared" si="10"/>
        <v>0.78</v>
      </c>
    </row>
    <row r="86" spans="1:5">
      <c r="A86" s="33">
        <v>85</v>
      </c>
      <c r="B86" s="35" t="s">
        <v>4628</v>
      </c>
      <c r="C86" s="33">
        <v>56</v>
      </c>
      <c r="D86" s="34">
        <v>1.72</v>
      </c>
      <c r="E86" s="37">
        <f t="shared" si="10"/>
        <v>0.72</v>
      </c>
    </row>
    <row r="87" spans="1:5">
      <c r="A87" s="33">
        <v>86</v>
      </c>
      <c r="B87" s="35" t="s">
        <v>4627</v>
      </c>
      <c r="C87" s="33">
        <v>54</v>
      </c>
      <c r="D87" s="34">
        <v>1.35</v>
      </c>
      <c r="E87" s="37">
        <f t="shared" si="10"/>
        <v>0.35</v>
      </c>
    </row>
    <row r="88" spans="1:5">
      <c r="A88" s="33">
        <v>87</v>
      </c>
      <c r="B88" s="35" t="s">
        <v>4628</v>
      </c>
      <c r="C88" s="33">
        <v>55</v>
      </c>
      <c r="D88" s="34">
        <v>1.35</v>
      </c>
      <c r="E88" s="37">
        <f t="shared" si="10"/>
        <v>0.35</v>
      </c>
    </row>
    <row r="89" spans="1:5">
      <c r="A89" s="33">
        <v>88</v>
      </c>
      <c r="B89" s="35" t="s">
        <v>4628</v>
      </c>
      <c r="C89" s="33">
        <v>57</v>
      </c>
      <c r="D89" s="34">
        <v>1.41</v>
      </c>
      <c r="E89" s="37">
        <f t="shared" si="10"/>
        <v>0.41</v>
      </c>
    </row>
    <row r="90" spans="1:5">
      <c r="A90" s="33">
        <v>89</v>
      </c>
      <c r="B90" s="35" t="s">
        <v>4627</v>
      </c>
      <c r="C90" s="33">
        <v>61</v>
      </c>
      <c r="D90" s="34">
        <v>1.35</v>
      </c>
      <c r="E90" s="37">
        <f t="shared" si="10"/>
        <v>0.35</v>
      </c>
    </row>
    <row r="91" spans="1:5">
      <c r="A91" s="33">
        <v>90</v>
      </c>
      <c r="B91" s="35" t="s">
        <v>4628</v>
      </c>
      <c r="C91" s="35">
        <v>58</v>
      </c>
      <c r="D91" s="34">
        <v>1.85</v>
      </c>
      <c r="E91" s="37">
        <f t="shared" si="10"/>
        <v>0.85</v>
      </c>
    </row>
    <row r="92" spans="1:5">
      <c r="A92" s="33">
        <v>91</v>
      </c>
      <c r="B92" s="35" t="s">
        <v>4627</v>
      </c>
      <c r="C92" s="33">
        <v>62</v>
      </c>
      <c r="D92" s="34">
        <v>1.8</v>
      </c>
      <c r="E92" s="37">
        <f t="shared" si="10"/>
        <v>0.8</v>
      </c>
    </row>
    <row r="93" spans="1:5">
      <c r="A93" s="33">
        <v>92</v>
      </c>
      <c r="B93" s="35" t="s">
        <v>4628</v>
      </c>
      <c r="C93" s="33">
        <v>59</v>
      </c>
      <c r="D93" s="34">
        <v>1.35</v>
      </c>
      <c r="E93" s="37">
        <f t="shared" si="10"/>
        <v>0.35</v>
      </c>
    </row>
    <row r="94" spans="1:5">
      <c r="A94" s="33">
        <v>93</v>
      </c>
      <c r="B94" s="35" t="s">
        <v>4627</v>
      </c>
      <c r="C94" s="33">
        <v>63</v>
      </c>
      <c r="D94" s="34">
        <v>1.35</v>
      </c>
      <c r="E94" s="37">
        <f t="shared" si="10"/>
        <v>0.35</v>
      </c>
    </row>
    <row r="95" hidden="1" spans="1:5">
      <c r="A95" s="33">
        <v>94</v>
      </c>
      <c r="E95" s="37"/>
    </row>
    <row r="96" spans="1:5">
      <c r="A96" s="33">
        <v>95</v>
      </c>
      <c r="B96" s="35" t="s">
        <v>4627</v>
      </c>
      <c r="C96" s="33">
        <v>53</v>
      </c>
      <c r="D96" s="34">
        <v>1.35</v>
      </c>
      <c r="E96" s="37">
        <f t="shared" ref="E96:E98" si="11">D96-1</f>
        <v>0.35</v>
      </c>
    </row>
    <row r="97" spans="1:5">
      <c r="A97" s="33">
        <v>96</v>
      </c>
      <c r="B97" s="35" t="s">
        <v>4628</v>
      </c>
      <c r="C97" s="33">
        <v>51</v>
      </c>
      <c r="D97" s="34">
        <v>1.76</v>
      </c>
      <c r="E97" s="37">
        <f t="shared" si="11"/>
        <v>0.76</v>
      </c>
    </row>
    <row r="98" spans="1:5">
      <c r="A98" s="33">
        <v>97</v>
      </c>
      <c r="B98" s="35" t="s">
        <v>4628</v>
      </c>
      <c r="C98" s="33">
        <v>52</v>
      </c>
      <c r="D98" s="34">
        <v>1.35</v>
      </c>
      <c r="E98" s="37">
        <f t="shared" si="11"/>
        <v>0.35</v>
      </c>
    </row>
    <row r="99" hidden="1" spans="1:5">
      <c r="A99" s="33">
        <v>98</v>
      </c>
      <c r="E99" s="37"/>
    </row>
    <row r="100" spans="1:5">
      <c r="A100" s="33">
        <v>99</v>
      </c>
      <c r="B100" s="35" t="s">
        <v>4628</v>
      </c>
      <c r="C100" s="33">
        <v>2</v>
      </c>
      <c r="D100" s="34">
        <v>1.35</v>
      </c>
      <c r="E100" s="37">
        <f t="shared" ref="E100:E101" si="12">D100-1</f>
        <v>0.35</v>
      </c>
    </row>
    <row r="101" spans="1:5">
      <c r="A101" s="33">
        <v>100</v>
      </c>
      <c r="B101" s="35" t="s">
        <v>4628</v>
      </c>
      <c r="C101" s="33">
        <v>3</v>
      </c>
      <c r="D101" s="34">
        <v>1.35</v>
      </c>
      <c r="E101" s="37">
        <f t="shared" si="12"/>
        <v>0.35</v>
      </c>
    </row>
    <row r="102" hidden="1" spans="1:5">
      <c r="A102" s="33">
        <v>101</v>
      </c>
      <c r="E102" s="37"/>
    </row>
    <row r="103" spans="1:5">
      <c r="A103" s="33">
        <v>102</v>
      </c>
      <c r="B103" s="35" t="s">
        <v>4627</v>
      </c>
      <c r="C103" s="33">
        <v>122</v>
      </c>
      <c r="D103" s="34">
        <v>1.35</v>
      </c>
      <c r="E103" s="37">
        <f t="shared" ref="E103:E120" si="13">D103-1</f>
        <v>0.35</v>
      </c>
    </row>
    <row r="104" spans="1:5">
      <c r="A104" s="33">
        <v>103</v>
      </c>
      <c r="B104" s="35" t="s">
        <v>4628</v>
      </c>
      <c r="C104" s="33">
        <v>123</v>
      </c>
      <c r="D104" s="34">
        <v>1.36</v>
      </c>
      <c r="E104" s="37">
        <f t="shared" si="13"/>
        <v>0.36</v>
      </c>
    </row>
    <row r="105" spans="1:5">
      <c r="A105" s="33">
        <v>104</v>
      </c>
      <c r="B105" s="35" t="s">
        <v>4628</v>
      </c>
      <c r="C105" s="33">
        <v>124</v>
      </c>
      <c r="D105" s="34">
        <v>1.39</v>
      </c>
      <c r="E105" s="37">
        <f t="shared" si="13"/>
        <v>0.39</v>
      </c>
    </row>
    <row r="106" spans="1:5">
      <c r="A106" s="33">
        <v>105</v>
      </c>
      <c r="B106" s="35" t="s">
        <v>4627</v>
      </c>
      <c r="C106" s="33">
        <v>125</v>
      </c>
      <c r="D106" s="34">
        <v>1.35</v>
      </c>
      <c r="E106" s="37">
        <f t="shared" si="13"/>
        <v>0.35</v>
      </c>
    </row>
    <row r="107" spans="1:5">
      <c r="A107" s="33">
        <v>106</v>
      </c>
      <c r="B107" s="35" t="s">
        <v>4628</v>
      </c>
      <c r="C107" s="33">
        <v>24</v>
      </c>
      <c r="D107" s="34">
        <v>2.78</v>
      </c>
      <c r="E107" s="37">
        <f t="shared" si="13"/>
        <v>1.78</v>
      </c>
    </row>
    <row r="108" spans="1:5">
      <c r="A108" s="33">
        <v>107</v>
      </c>
      <c r="B108" s="35" t="s">
        <v>4627</v>
      </c>
      <c r="C108" s="33">
        <v>121</v>
      </c>
      <c r="D108" s="34">
        <v>1.85</v>
      </c>
      <c r="E108" s="37">
        <f t="shared" si="13"/>
        <v>0.85</v>
      </c>
    </row>
    <row r="109" spans="1:5">
      <c r="A109" s="33">
        <v>108</v>
      </c>
      <c r="B109" s="35" t="s">
        <v>4628</v>
      </c>
      <c r="C109" s="33">
        <v>23</v>
      </c>
      <c r="D109" s="34">
        <v>2.76</v>
      </c>
      <c r="E109" s="37">
        <f t="shared" si="13"/>
        <v>1.76</v>
      </c>
    </row>
    <row r="110" spans="1:5">
      <c r="A110" s="33">
        <v>109</v>
      </c>
      <c r="B110" s="35" t="s">
        <v>4628</v>
      </c>
      <c r="C110" s="33">
        <v>25</v>
      </c>
      <c r="D110" s="34">
        <v>1.92</v>
      </c>
      <c r="E110" s="37">
        <f t="shared" si="13"/>
        <v>0.92</v>
      </c>
    </row>
    <row r="111" spans="1:5">
      <c r="A111" s="33">
        <v>110</v>
      </c>
      <c r="B111" s="35" t="s">
        <v>4627</v>
      </c>
      <c r="C111" s="33">
        <v>126</v>
      </c>
      <c r="D111" s="34">
        <v>1.35</v>
      </c>
      <c r="E111" s="37">
        <f t="shared" si="13"/>
        <v>0.35</v>
      </c>
    </row>
    <row r="112" spans="1:5">
      <c r="A112" s="33">
        <v>111</v>
      </c>
      <c r="B112" s="35" t="s">
        <v>4628</v>
      </c>
      <c r="C112" s="33">
        <v>26</v>
      </c>
      <c r="D112" s="34">
        <v>1.8</v>
      </c>
      <c r="E112" s="37">
        <f t="shared" si="13"/>
        <v>0.8</v>
      </c>
    </row>
    <row r="113" spans="1:5">
      <c r="A113" s="33">
        <v>112</v>
      </c>
      <c r="B113" s="35" t="s">
        <v>4627</v>
      </c>
      <c r="C113" s="33">
        <v>127</v>
      </c>
      <c r="D113" s="34">
        <v>1.35</v>
      </c>
      <c r="E113" s="37">
        <f t="shared" si="13"/>
        <v>0.35</v>
      </c>
    </row>
    <row r="114" spans="1:5">
      <c r="A114" s="33">
        <v>113</v>
      </c>
      <c r="B114" s="35" t="s">
        <v>4628</v>
      </c>
      <c r="C114" s="33">
        <v>27</v>
      </c>
      <c r="D114" s="34">
        <v>1.6</v>
      </c>
      <c r="E114" s="37">
        <f t="shared" si="13"/>
        <v>0.6</v>
      </c>
    </row>
    <row r="115" spans="1:5">
      <c r="A115" s="33">
        <v>114</v>
      </c>
      <c r="B115" s="35" t="s">
        <v>4627</v>
      </c>
      <c r="C115" s="33">
        <v>128</v>
      </c>
      <c r="D115" s="34">
        <v>1.35</v>
      </c>
      <c r="E115" s="37">
        <f t="shared" si="13"/>
        <v>0.35</v>
      </c>
    </row>
    <row r="116" spans="1:5">
      <c r="A116" s="33">
        <v>115</v>
      </c>
      <c r="B116" s="35" t="s">
        <v>4628</v>
      </c>
      <c r="C116" s="33">
        <v>129</v>
      </c>
      <c r="D116" s="34">
        <v>1.38</v>
      </c>
      <c r="E116" s="37">
        <f t="shared" si="13"/>
        <v>0.38</v>
      </c>
    </row>
    <row r="117" spans="1:5">
      <c r="A117" s="33">
        <v>116</v>
      </c>
      <c r="B117" s="35" t="s">
        <v>4628</v>
      </c>
      <c r="C117" s="33">
        <v>130</v>
      </c>
      <c r="D117" s="34">
        <v>1.55</v>
      </c>
      <c r="E117" s="37">
        <f t="shared" si="13"/>
        <v>0.55</v>
      </c>
    </row>
    <row r="118" spans="1:5">
      <c r="A118" s="33">
        <v>117</v>
      </c>
      <c r="B118" s="35" t="s">
        <v>4627</v>
      </c>
      <c r="C118" s="33">
        <v>131</v>
      </c>
      <c r="D118" s="34">
        <v>1.35</v>
      </c>
      <c r="E118" s="37">
        <f t="shared" si="13"/>
        <v>0.35</v>
      </c>
    </row>
    <row r="119" spans="1:5">
      <c r="A119" s="33">
        <v>118</v>
      </c>
      <c r="B119" s="35" t="s">
        <v>4628</v>
      </c>
      <c r="C119" s="33">
        <v>132</v>
      </c>
      <c r="D119" s="34">
        <v>1.35</v>
      </c>
      <c r="E119" s="37">
        <f t="shared" si="13"/>
        <v>0.35</v>
      </c>
    </row>
    <row r="120" spans="1:5">
      <c r="A120" s="33">
        <v>119</v>
      </c>
      <c r="B120" s="35" t="s">
        <v>4628</v>
      </c>
      <c r="C120" s="33">
        <v>28</v>
      </c>
      <c r="D120" s="34">
        <v>1.35</v>
      </c>
      <c r="E120" s="37">
        <f t="shared" si="13"/>
        <v>0.35</v>
      </c>
    </row>
    <row r="121" hidden="1" spans="1:5">
      <c r="A121" s="33">
        <v>120</v>
      </c>
      <c r="E121" s="37"/>
    </row>
    <row r="122" spans="1:5">
      <c r="A122" s="33">
        <v>121</v>
      </c>
      <c r="B122" s="35" t="s">
        <v>4627</v>
      </c>
      <c r="C122" s="33">
        <v>133</v>
      </c>
      <c r="D122" s="34">
        <v>1.35</v>
      </c>
      <c r="E122" s="37">
        <f t="shared" ref="E122:E133" si="14">D122-1</f>
        <v>0.35</v>
      </c>
    </row>
    <row r="123" spans="1:5">
      <c r="A123" s="33">
        <v>122</v>
      </c>
      <c r="B123" s="35" t="s">
        <v>4628</v>
      </c>
      <c r="C123" s="33">
        <v>134</v>
      </c>
      <c r="D123" s="34">
        <v>1.35</v>
      </c>
      <c r="E123" s="37">
        <f t="shared" si="14"/>
        <v>0.35</v>
      </c>
    </row>
    <row r="124" spans="1:5">
      <c r="A124" s="33">
        <v>123</v>
      </c>
      <c r="B124" s="35" t="s">
        <v>4628</v>
      </c>
      <c r="C124" s="33">
        <v>135</v>
      </c>
      <c r="D124" s="34">
        <v>1.35</v>
      </c>
      <c r="E124" s="37">
        <f t="shared" si="14"/>
        <v>0.35</v>
      </c>
    </row>
    <row r="125" spans="1:5">
      <c r="A125" s="33">
        <v>124</v>
      </c>
      <c r="B125" s="35" t="s">
        <v>4628</v>
      </c>
      <c r="C125" s="33">
        <v>136</v>
      </c>
      <c r="D125" s="34">
        <v>1.35</v>
      </c>
      <c r="E125" s="37">
        <f t="shared" si="14"/>
        <v>0.35</v>
      </c>
    </row>
    <row r="126" spans="1:5">
      <c r="A126" s="33">
        <v>125</v>
      </c>
      <c r="B126" s="35" t="s">
        <v>4628</v>
      </c>
      <c r="C126" s="33">
        <v>137</v>
      </c>
      <c r="D126" s="34">
        <v>1.35</v>
      </c>
      <c r="E126" s="37">
        <f t="shared" si="14"/>
        <v>0.35</v>
      </c>
    </row>
    <row r="127" spans="1:5">
      <c r="A127" s="33">
        <v>126</v>
      </c>
      <c r="B127" s="35" t="s">
        <v>4628</v>
      </c>
      <c r="C127" s="33">
        <v>138</v>
      </c>
      <c r="D127" s="34">
        <v>1.41</v>
      </c>
      <c r="E127" s="37">
        <f t="shared" si="14"/>
        <v>0.41</v>
      </c>
    </row>
    <row r="128" spans="1:5">
      <c r="A128" s="33">
        <v>127</v>
      </c>
      <c r="B128" s="35" t="s">
        <v>4627</v>
      </c>
      <c r="C128" s="33">
        <v>148</v>
      </c>
      <c r="D128" s="34">
        <v>1.35</v>
      </c>
      <c r="E128" s="37">
        <f t="shared" si="14"/>
        <v>0.35</v>
      </c>
    </row>
    <row r="129" spans="1:5">
      <c r="A129" s="33">
        <v>128</v>
      </c>
      <c r="B129" s="35" t="s">
        <v>4628</v>
      </c>
      <c r="C129" s="33">
        <v>139</v>
      </c>
      <c r="D129" s="34">
        <v>1.37</v>
      </c>
      <c r="E129" s="37">
        <f t="shared" si="14"/>
        <v>0.37</v>
      </c>
    </row>
    <row r="130" spans="1:5">
      <c r="A130" s="33">
        <v>129</v>
      </c>
      <c r="B130" s="35" t="s">
        <v>4628</v>
      </c>
      <c r="C130" s="33">
        <v>140</v>
      </c>
      <c r="D130" s="34">
        <v>2.2</v>
      </c>
      <c r="E130" s="37">
        <f t="shared" si="14"/>
        <v>1.2</v>
      </c>
    </row>
    <row r="131" spans="1:5">
      <c r="A131" s="33">
        <v>130</v>
      </c>
      <c r="B131" s="35" t="s">
        <v>4628</v>
      </c>
      <c r="C131" s="33">
        <v>141</v>
      </c>
      <c r="D131" s="34">
        <v>2.75</v>
      </c>
      <c r="E131" s="37">
        <f t="shared" si="14"/>
        <v>1.75</v>
      </c>
    </row>
    <row r="132" spans="1:5">
      <c r="A132" s="33">
        <v>131</v>
      </c>
      <c r="B132" s="35" t="s">
        <v>4628</v>
      </c>
      <c r="C132" s="33">
        <v>142</v>
      </c>
      <c r="D132" s="34">
        <v>2.15</v>
      </c>
      <c r="E132" s="37">
        <f t="shared" si="14"/>
        <v>1.15</v>
      </c>
    </row>
    <row r="133" spans="1:5">
      <c r="A133" s="33">
        <v>132</v>
      </c>
      <c r="B133" s="35" t="s">
        <v>4627</v>
      </c>
      <c r="C133" s="33">
        <v>161</v>
      </c>
      <c r="D133" s="34">
        <v>1.35</v>
      </c>
      <c r="E133" s="37">
        <f t="shared" si="14"/>
        <v>0.35</v>
      </c>
    </row>
    <row r="134" hidden="1" spans="1:5">
      <c r="A134" s="33">
        <v>133</v>
      </c>
      <c r="E134" s="37"/>
    </row>
    <row r="135" spans="1:5">
      <c r="A135" s="33">
        <v>134</v>
      </c>
      <c r="B135" s="35" t="s">
        <v>4627</v>
      </c>
      <c r="C135" s="33">
        <v>149</v>
      </c>
      <c r="D135" s="34">
        <v>1.35</v>
      </c>
      <c r="E135" s="37">
        <f t="shared" ref="E135:E140" si="15">D135-1</f>
        <v>0.35</v>
      </c>
    </row>
    <row r="136" spans="1:5">
      <c r="A136" s="33">
        <v>135</v>
      </c>
      <c r="B136" s="35" t="s">
        <v>4628</v>
      </c>
      <c r="C136" s="33">
        <v>150</v>
      </c>
      <c r="D136" s="34">
        <v>1.35</v>
      </c>
      <c r="E136" s="37">
        <f t="shared" si="15"/>
        <v>0.35</v>
      </c>
    </row>
    <row r="137" spans="1:5">
      <c r="A137" s="33">
        <v>136</v>
      </c>
      <c r="B137" s="35" t="s">
        <v>4628</v>
      </c>
      <c r="C137" s="33">
        <v>151</v>
      </c>
      <c r="D137" s="34">
        <v>1.35</v>
      </c>
      <c r="E137" s="37">
        <f t="shared" si="15"/>
        <v>0.35</v>
      </c>
    </row>
    <row r="138" spans="1:5">
      <c r="A138" s="33">
        <v>137</v>
      </c>
      <c r="B138" s="35" t="s">
        <v>4628</v>
      </c>
      <c r="C138" s="33">
        <v>152</v>
      </c>
      <c r="D138" s="34">
        <v>1.35</v>
      </c>
      <c r="E138" s="37">
        <f t="shared" si="15"/>
        <v>0.35</v>
      </c>
    </row>
    <row r="139" spans="1:5">
      <c r="A139" s="33">
        <v>138</v>
      </c>
      <c r="B139" s="35" t="s">
        <v>4627</v>
      </c>
      <c r="C139" s="33">
        <v>154</v>
      </c>
      <c r="D139" s="34">
        <v>1.35</v>
      </c>
      <c r="E139" s="37">
        <f t="shared" si="15"/>
        <v>0.35</v>
      </c>
    </row>
    <row r="140" spans="1:5">
      <c r="A140" s="33">
        <v>139</v>
      </c>
      <c r="B140" s="35" t="s">
        <v>4628</v>
      </c>
      <c r="C140" s="33">
        <v>153</v>
      </c>
      <c r="D140" s="34">
        <v>1.35</v>
      </c>
      <c r="E140" s="37">
        <f t="shared" si="15"/>
        <v>0.35</v>
      </c>
    </row>
    <row r="141" hidden="1" spans="1:5">
      <c r="A141" s="33">
        <v>140</v>
      </c>
      <c r="E141" s="37"/>
    </row>
    <row r="142" spans="1:5">
      <c r="A142" s="33">
        <v>141</v>
      </c>
      <c r="B142" s="35" t="s">
        <v>4627</v>
      </c>
      <c r="C142" s="33">
        <v>155</v>
      </c>
      <c r="D142" s="34">
        <v>1.35</v>
      </c>
      <c r="E142" s="37">
        <f t="shared" ref="E142:E147" si="16">D142-1</f>
        <v>0.35</v>
      </c>
    </row>
    <row r="143" spans="1:5">
      <c r="A143" s="33">
        <v>142</v>
      </c>
      <c r="B143" s="35" t="s">
        <v>4628</v>
      </c>
      <c r="C143" s="33">
        <v>156</v>
      </c>
      <c r="D143" s="34">
        <v>1.5</v>
      </c>
      <c r="E143" s="37">
        <f t="shared" si="16"/>
        <v>0.5</v>
      </c>
    </row>
    <row r="144" spans="1:5">
      <c r="A144" s="33">
        <v>143</v>
      </c>
      <c r="B144" s="35" t="s">
        <v>4628</v>
      </c>
      <c r="C144" s="33">
        <v>157</v>
      </c>
      <c r="D144" s="34">
        <v>1.35</v>
      </c>
      <c r="E144" s="37">
        <f t="shared" si="16"/>
        <v>0.35</v>
      </c>
    </row>
    <row r="145" spans="1:5">
      <c r="A145" s="33">
        <v>144</v>
      </c>
      <c r="B145" s="35" t="s">
        <v>4628</v>
      </c>
      <c r="C145" s="33">
        <v>158</v>
      </c>
      <c r="D145" s="34">
        <v>1.82</v>
      </c>
      <c r="E145" s="37">
        <f t="shared" si="16"/>
        <v>0.82</v>
      </c>
    </row>
    <row r="146" spans="1:5">
      <c r="A146" s="33">
        <v>145</v>
      </c>
      <c r="B146" s="35" t="s">
        <v>4627</v>
      </c>
      <c r="C146" s="33">
        <v>160</v>
      </c>
      <c r="D146" s="34">
        <v>1.35</v>
      </c>
      <c r="E146" s="37">
        <f t="shared" si="16"/>
        <v>0.35</v>
      </c>
    </row>
    <row r="147" spans="1:5">
      <c r="A147" s="33">
        <v>146</v>
      </c>
      <c r="B147" s="35" t="s">
        <v>4628</v>
      </c>
      <c r="C147" s="33">
        <v>159</v>
      </c>
      <c r="D147" s="34">
        <v>1.55</v>
      </c>
      <c r="E147" s="37">
        <f t="shared" si="16"/>
        <v>0.55</v>
      </c>
    </row>
    <row r="148" hidden="1" spans="1:5">
      <c r="A148" s="33">
        <v>147</v>
      </c>
      <c r="E148" s="37"/>
    </row>
    <row r="149" spans="1:5">
      <c r="A149" s="33">
        <v>148</v>
      </c>
      <c r="B149" s="35" t="s">
        <v>4627</v>
      </c>
      <c r="C149" s="33">
        <v>118</v>
      </c>
      <c r="D149" s="34">
        <v>1.35</v>
      </c>
      <c r="E149" s="37">
        <f t="shared" ref="E149:E169" si="17">D149-1</f>
        <v>0.35</v>
      </c>
    </row>
    <row r="150" spans="1:5">
      <c r="A150" s="33">
        <v>149</v>
      </c>
      <c r="B150" s="35" t="s">
        <v>4628</v>
      </c>
      <c r="C150" s="33">
        <v>119</v>
      </c>
      <c r="D150" s="34">
        <v>1.35</v>
      </c>
      <c r="E150" s="37">
        <f t="shared" si="17"/>
        <v>0.35</v>
      </c>
    </row>
    <row r="151" spans="1:5">
      <c r="A151" s="33">
        <v>150</v>
      </c>
      <c r="B151" s="35" t="s">
        <v>4628</v>
      </c>
      <c r="C151" s="33">
        <v>120</v>
      </c>
      <c r="D151" s="34">
        <v>1.35</v>
      </c>
      <c r="E151" s="37">
        <f t="shared" si="17"/>
        <v>0.35</v>
      </c>
    </row>
    <row r="152" spans="1:5">
      <c r="A152" s="33">
        <v>151</v>
      </c>
      <c r="B152" s="35" t="s">
        <v>4627</v>
      </c>
      <c r="C152" s="33">
        <v>131</v>
      </c>
      <c r="D152" s="34">
        <v>1.35</v>
      </c>
      <c r="E152" s="37">
        <f t="shared" si="17"/>
        <v>0.35</v>
      </c>
    </row>
    <row r="153" spans="1:5">
      <c r="A153" s="33">
        <v>152</v>
      </c>
      <c r="B153" s="35" t="s">
        <v>4628</v>
      </c>
      <c r="C153" s="33">
        <v>121</v>
      </c>
      <c r="D153" s="34">
        <v>1.35</v>
      </c>
      <c r="E153" s="37">
        <f t="shared" si="17"/>
        <v>0.35</v>
      </c>
    </row>
    <row r="154" spans="1:5">
      <c r="A154" s="33">
        <v>153</v>
      </c>
      <c r="B154" s="35" t="s">
        <v>4627</v>
      </c>
      <c r="C154" s="33">
        <v>132</v>
      </c>
      <c r="D154" s="34">
        <v>1.35</v>
      </c>
      <c r="E154" s="37">
        <f t="shared" si="17"/>
        <v>0.35</v>
      </c>
    </row>
    <row r="155" spans="1:5">
      <c r="A155" s="33">
        <v>154</v>
      </c>
      <c r="B155" s="35" t="s">
        <v>4628</v>
      </c>
      <c r="C155" s="33">
        <v>139</v>
      </c>
      <c r="D155" s="34">
        <v>1.7</v>
      </c>
      <c r="E155" s="37">
        <f t="shared" si="17"/>
        <v>0.7</v>
      </c>
    </row>
    <row r="156" spans="1:5">
      <c r="A156" s="33">
        <v>155</v>
      </c>
      <c r="B156" s="35" t="s">
        <v>4627</v>
      </c>
      <c r="C156" s="33">
        <v>136</v>
      </c>
      <c r="D156" s="34">
        <v>1.35</v>
      </c>
      <c r="E156" s="37">
        <f t="shared" si="17"/>
        <v>0.35</v>
      </c>
    </row>
    <row r="157" spans="1:5">
      <c r="A157" s="33">
        <v>156</v>
      </c>
      <c r="B157" s="35" t="s">
        <v>4628</v>
      </c>
      <c r="C157" s="33">
        <v>137</v>
      </c>
      <c r="D157" s="34">
        <v>1.35</v>
      </c>
      <c r="E157" s="37">
        <f t="shared" si="17"/>
        <v>0.35</v>
      </c>
    </row>
    <row r="158" spans="1:5">
      <c r="A158" s="33">
        <v>157</v>
      </c>
      <c r="B158" s="35" t="s">
        <v>4628</v>
      </c>
      <c r="C158" s="33">
        <v>138</v>
      </c>
      <c r="D158" s="34">
        <v>1.7</v>
      </c>
      <c r="E158" s="37">
        <f t="shared" si="17"/>
        <v>0.7</v>
      </c>
    </row>
    <row r="159" spans="1:5">
      <c r="A159" s="33">
        <v>158</v>
      </c>
      <c r="B159" s="35" t="s">
        <v>4628</v>
      </c>
      <c r="C159" s="33">
        <v>124</v>
      </c>
      <c r="D159" s="34">
        <v>1.71</v>
      </c>
      <c r="E159" s="37">
        <f t="shared" si="17"/>
        <v>0.71</v>
      </c>
    </row>
    <row r="160" spans="1:5">
      <c r="A160" s="33">
        <v>159</v>
      </c>
      <c r="B160" s="35" t="s">
        <v>4628</v>
      </c>
      <c r="C160" s="33">
        <v>125</v>
      </c>
      <c r="D160" s="34">
        <v>1.85</v>
      </c>
      <c r="E160" s="37">
        <f t="shared" si="17"/>
        <v>0.85</v>
      </c>
    </row>
    <row r="161" spans="1:5">
      <c r="A161" s="33">
        <v>160</v>
      </c>
      <c r="B161" s="35" t="s">
        <v>4627</v>
      </c>
      <c r="C161" s="33">
        <v>142</v>
      </c>
      <c r="D161" s="34">
        <v>1.35</v>
      </c>
      <c r="E161" s="37">
        <f t="shared" si="17"/>
        <v>0.35</v>
      </c>
    </row>
    <row r="162" spans="1:5">
      <c r="A162" s="33">
        <v>161</v>
      </c>
      <c r="B162" s="35" t="s">
        <v>4628</v>
      </c>
      <c r="C162" s="33">
        <v>126</v>
      </c>
      <c r="D162" s="34">
        <v>1.35</v>
      </c>
      <c r="E162" s="37">
        <f t="shared" si="17"/>
        <v>0.35</v>
      </c>
    </row>
    <row r="163" spans="1:5">
      <c r="A163" s="33">
        <v>162</v>
      </c>
      <c r="B163" s="35" t="s">
        <v>4627</v>
      </c>
      <c r="C163" s="33">
        <v>142</v>
      </c>
      <c r="D163" s="34">
        <v>1.35</v>
      </c>
      <c r="E163" s="37">
        <f t="shared" si="17"/>
        <v>0.35</v>
      </c>
    </row>
    <row r="164" spans="1:5">
      <c r="A164" s="33">
        <v>163</v>
      </c>
      <c r="B164" s="35" t="s">
        <v>4628</v>
      </c>
      <c r="C164" s="33">
        <v>127</v>
      </c>
      <c r="D164" s="34">
        <v>1.35</v>
      </c>
      <c r="E164" s="37">
        <f t="shared" si="17"/>
        <v>0.35</v>
      </c>
    </row>
    <row r="165" spans="1:5">
      <c r="A165" s="33">
        <v>164</v>
      </c>
      <c r="B165" s="35" t="s">
        <v>4627</v>
      </c>
      <c r="C165" s="33">
        <v>144</v>
      </c>
      <c r="D165" s="34">
        <v>1.35</v>
      </c>
      <c r="E165" s="37">
        <f t="shared" si="17"/>
        <v>0.35</v>
      </c>
    </row>
    <row r="166" spans="1:5">
      <c r="A166" s="33">
        <v>165</v>
      </c>
      <c r="B166" s="35" t="s">
        <v>4628</v>
      </c>
      <c r="C166" s="33">
        <v>128</v>
      </c>
      <c r="D166" s="34">
        <v>1.9</v>
      </c>
      <c r="E166" s="37">
        <f t="shared" si="17"/>
        <v>0.9</v>
      </c>
    </row>
    <row r="167" spans="1:5">
      <c r="A167" s="33">
        <v>166</v>
      </c>
      <c r="B167" s="35" t="s">
        <v>4627</v>
      </c>
      <c r="C167" s="33">
        <v>145</v>
      </c>
      <c r="D167" s="34">
        <v>1.35</v>
      </c>
      <c r="E167" s="37">
        <f t="shared" si="17"/>
        <v>0.35</v>
      </c>
    </row>
    <row r="168" spans="1:5">
      <c r="A168" s="33">
        <v>167</v>
      </c>
      <c r="B168" s="35" t="s">
        <v>4628</v>
      </c>
      <c r="C168" s="33">
        <v>129</v>
      </c>
      <c r="D168" s="34">
        <v>1.35</v>
      </c>
      <c r="E168" s="37">
        <f t="shared" si="17"/>
        <v>0.35</v>
      </c>
    </row>
    <row r="169" spans="1:5">
      <c r="A169" s="33">
        <v>168</v>
      </c>
      <c r="B169" s="35" t="s">
        <v>4627</v>
      </c>
      <c r="C169" s="33">
        <v>146</v>
      </c>
      <c r="D169" s="34">
        <v>1.35</v>
      </c>
      <c r="E169" s="37">
        <f t="shared" si="17"/>
        <v>0.35</v>
      </c>
    </row>
    <row r="170" hidden="1" spans="1:5">
      <c r="A170" s="33">
        <v>169</v>
      </c>
      <c r="E170" s="37"/>
    </row>
    <row r="171" spans="1:5">
      <c r="A171" s="33">
        <v>170</v>
      </c>
      <c r="B171" s="35" t="s">
        <v>4627</v>
      </c>
      <c r="C171" s="33">
        <v>134</v>
      </c>
      <c r="D171" s="34">
        <v>1.65</v>
      </c>
      <c r="E171" s="37">
        <f t="shared" ref="E171:E179" si="18">D171-1</f>
        <v>0.65</v>
      </c>
    </row>
    <row r="172" spans="1:5">
      <c r="A172" s="33">
        <v>171</v>
      </c>
      <c r="B172" s="35" t="s">
        <v>4628</v>
      </c>
      <c r="C172" s="33">
        <v>135</v>
      </c>
      <c r="D172" s="34">
        <v>1.79</v>
      </c>
      <c r="E172" s="37">
        <f t="shared" si="18"/>
        <v>0.79</v>
      </c>
    </row>
    <row r="173" spans="1:5">
      <c r="A173" s="33">
        <v>172</v>
      </c>
      <c r="B173" s="35" t="s">
        <v>4628</v>
      </c>
      <c r="C173" s="33">
        <v>122</v>
      </c>
      <c r="D173" s="34">
        <v>1.64</v>
      </c>
      <c r="E173" s="37">
        <f t="shared" si="18"/>
        <v>0.64</v>
      </c>
    </row>
    <row r="174" spans="1:5">
      <c r="A174" s="33">
        <v>173</v>
      </c>
      <c r="B174" s="35" t="s">
        <v>4627</v>
      </c>
      <c r="C174" s="33">
        <v>277</v>
      </c>
      <c r="D174" s="34">
        <v>1.15</v>
      </c>
      <c r="E174" s="37">
        <f t="shared" si="18"/>
        <v>0.15</v>
      </c>
    </row>
    <row r="175" spans="1:5">
      <c r="A175" s="33">
        <v>174</v>
      </c>
      <c r="B175" s="35" t="s">
        <v>4628</v>
      </c>
      <c r="C175" s="33">
        <v>298</v>
      </c>
      <c r="D175" s="34">
        <v>1.35</v>
      </c>
      <c r="E175" s="37">
        <f t="shared" si="18"/>
        <v>0.35</v>
      </c>
    </row>
    <row r="176" spans="1:5">
      <c r="A176" s="33">
        <v>175</v>
      </c>
      <c r="B176" s="35" t="s">
        <v>4628</v>
      </c>
      <c r="C176" s="33">
        <v>112</v>
      </c>
      <c r="D176" s="34">
        <v>1.55</v>
      </c>
      <c r="E176" s="37">
        <f t="shared" si="18"/>
        <v>0.55</v>
      </c>
    </row>
    <row r="177" spans="1:5">
      <c r="A177" s="33">
        <v>176</v>
      </c>
      <c r="B177" s="35" t="s">
        <v>4628</v>
      </c>
      <c r="C177" s="33">
        <v>113</v>
      </c>
      <c r="D177" s="34">
        <v>1.65</v>
      </c>
      <c r="E177" s="37">
        <f t="shared" si="18"/>
        <v>0.65</v>
      </c>
    </row>
    <row r="178" spans="1:5">
      <c r="A178" s="33">
        <v>177</v>
      </c>
      <c r="B178" s="35" t="s">
        <v>4628</v>
      </c>
      <c r="C178" s="33">
        <v>114</v>
      </c>
      <c r="D178" s="34">
        <v>1.75</v>
      </c>
      <c r="E178" s="37">
        <f t="shared" si="18"/>
        <v>0.75</v>
      </c>
    </row>
    <row r="179" spans="1:5">
      <c r="A179" s="33">
        <v>178</v>
      </c>
      <c r="B179" s="35" t="s">
        <v>4627</v>
      </c>
      <c r="C179" s="33">
        <v>116</v>
      </c>
      <c r="D179" s="34">
        <v>1.35</v>
      </c>
      <c r="E179" s="37">
        <f t="shared" si="18"/>
        <v>0.35</v>
      </c>
    </row>
    <row r="180" hidden="1" spans="1:5">
      <c r="A180" s="33">
        <v>179</v>
      </c>
      <c r="E180" s="37"/>
    </row>
    <row r="181" spans="1:5">
      <c r="A181" s="33">
        <v>180</v>
      </c>
      <c r="B181" s="35" t="s">
        <v>4627</v>
      </c>
      <c r="C181" s="33">
        <v>79</v>
      </c>
      <c r="D181" s="34">
        <v>1.35</v>
      </c>
      <c r="E181" s="37">
        <f t="shared" ref="E181:E190" si="19">D181-1</f>
        <v>0.35</v>
      </c>
    </row>
    <row r="182" spans="1:5">
      <c r="A182" s="33">
        <v>181</v>
      </c>
      <c r="B182" s="35" t="s">
        <v>4628</v>
      </c>
      <c r="C182" s="33">
        <v>80</v>
      </c>
      <c r="D182" s="34">
        <v>1.56</v>
      </c>
      <c r="E182" s="37">
        <f t="shared" si="19"/>
        <v>0.56</v>
      </c>
    </row>
    <row r="183" spans="1:5">
      <c r="A183" s="33">
        <v>182</v>
      </c>
      <c r="B183" s="35" t="s">
        <v>4628</v>
      </c>
      <c r="C183" s="33">
        <v>81</v>
      </c>
      <c r="D183" s="34">
        <v>1.35</v>
      </c>
      <c r="E183" s="37">
        <f t="shared" si="19"/>
        <v>0.35</v>
      </c>
    </row>
    <row r="184" spans="1:5">
      <c r="A184" s="33">
        <v>183</v>
      </c>
      <c r="B184" s="35" t="s">
        <v>4627</v>
      </c>
      <c r="C184" s="33">
        <v>85</v>
      </c>
      <c r="D184" s="34">
        <v>1.35</v>
      </c>
      <c r="E184" s="37">
        <f t="shared" si="19"/>
        <v>0.35</v>
      </c>
    </row>
    <row r="185" spans="1:5">
      <c r="A185" s="33">
        <v>184</v>
      </c>
      <c r="B185" s="35" t="s">
        <v>4628</v>
      </c>
      <c r="C185" s="33">
        <v>82</v>
      </c>
      <c r="D185" s="34">
        <v>1.51</v>
      </c>
      <c r="E185" s="37">
        <f t="shared" si="19"/>
        <v>0.51</v>
      </c>
    </row>
    <row r="186" spans="1:5">
      <c r="A186" s="33">
        <v>185</v>
      </c>
      <c r="B186" s="35" t="s">
        <v>4627</v>
      </c>
      <c r="C186" s="33">
        <v>86</v>
      </c>
      <c r="D186" s="34">
        <v>1.35</v>
      </c>
      <c r="E186" s="37">
        <f t="shared" si="19"/>
        <v>0.35</v>
      </c>
    </row>
    <row r="187" spans="1:5">
      <c r="A187" s="33">
        <v>186</v>
      </c>
      <c r="B187" s="35" t="s">
        <v>4628</v>
      </c>
      <c r="C187" s="33">
        <v>83</v>
      </c>
      <c r="D187" s="34">
        <v>1.76</v>
      </c>
      <c r="E187" s="37">
        <f t="shared" si="19"/>
        <v>0.76</v>
      </c>
    </row>
    <row r="188" spans="1:5">
      <c r="A188" s="33">
        <v>187</v>
      </c>
      <c r="B188" s="35" t="s">
        <v>4627</v>
      </c>
      <c r="C188" s="33">
        <v>87</v>
      </c>
      <c r="D188" s="34">
        <v>1.65</v>
      </c>
      <c r="E188" s="37">
        <f t="shared" si="19"/>
        <v>0.65</v>
      </c>
    </row>
    <row r="189" spans="1:5">
      <c r="A189" s="33">
        <v>188</v>
      </c>
      <c r="B189" s="35" t="s">
        <v>4628</v>
      </c>
      <c r="C189" s="33">
        <v>84</v>
      </c>
      <c r="D189" s="34">
        <v>1.37</v>
      </c>
      <c r="E189" s="37">
        <f t="shared" si="19"/>
        <v>0.37</v>
      </c>
    </row>
    <row r="190" spans="1:5">
      <c r="A190" s="33">
        <v>189</v>
      </c>
      <c r="B190" s="35" t="s">
        <v>4627</v>
      </c>
      <c r="C190" s="33">
        <v>88</v>
      </c>
      <c r="D190" s="34">
        <v>1.35</v>
      </c>
      <c r="E190" s="37">
        <f t="shared" si="19"/>
        <v>0.35</v>
      </c>
    </row>
    <row r="191" hidden="1" spans="1:5">
      <c r="E191" s="37"/>
    </row>
    <row r="192" hidden="1" spans="1:5">
      <c r="E192" s="37"/>
    </row>
  </sheetData>
  <autoFilter xmlns:etc="http://www.wps.cn/officeDocument/2017/etCustomData" ref="A1:D192" etc:filterBottomFollowUsedRange="0">
    <filterColumn colId="3">
      <customFilters>
        <customFilter operator="notEqual" val=""/>
      </customFilters>
    </filterColumn>
    <extLst/>
  </autoFilter>
  <conditionalFormatting sqref="C2:C1048576">
    <cfRule type="duplicateValues" dxfId="0" priority="8"/>
  </conditionalFormatting>
  <pageMargins left="0.511811024" right="0.511811024" top="0.787401575" bottom="0.787401575" header="0.31496062" footer="0.31496062"/>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Planilha7">
    <tabColor theme="9" tint="0.799981688894314"/>
    <outlinePr summaryBelow="0"/>
  </sheetPr>
  <dimension ref="A1:V1000"/>
  <sheetViews>
    <sheetView showGridLines="0" zoomScale="130" zoomScaleNormal="130" workbookViewId="0">
      <selection activeCell="A3" sqref="A3"/>
    </sheetView>
  </sheetViews>
  <sheetFormatPr defaultColWidth="8.88571428571429" defaultRowHeight="12.75"/>
  <cols>
    <col min="1" max="1" width="21" style="1" customWidth="1"/>
    <col min="2" max="2" width="51.552380952381" style="2" customWidth="1"/>
    <col min="3" max="5" width="8.88571428571429" style="1" customWidth="1"/>
    <col min="6" max="7" width="6.66666666666667" style="3" customWidth="1"/>
    <col min="8" max="8" width="11.1047619047619" style="1" customWidth="1"/>
    <col min="9" max="9" width="8.88571428571429" style="1" customWidth="1"/>
    <col min="10" max="10" width="6.1047619047619" style="1" customWidth="1"/>
    <col min="11" max="11" width="8.88571428571429" style="1" customWidth="1"/>
    <col min="12" max="12" width="5.43809523809524" style="1" customWidth="1"/>
    <col min="13" max="16" width="8.88571428571429" style="4"/>
    <col min="17" max="17" width="8.88571428571429" style="4" hidden="1" customWidth="1"/>
    <col min="18" max="16384" width="8.88571428571429" style="4"/>
  </cols>
  <sheetData>
    <row r="1" ht="28.95" customHeight="1" spans="1:12">
      <c r="A1" s="5"/>
      <c r="B1" s="6"/>
      <c r="C1" s="6"/>
      <c r="D1" s="7"/>
      <c r="E1" s="8"/>
      <c r="F1" s="8"/>
      <c r="G1" s="8"/>
      <c r="H1" s="9"/>
      <c r="I1" s="10"/>
      <c r="J1" s="11"/>
      <c r="K1" s="11"/>
      <c r="L1" s="12"/>
    </row>
    <row r="2" ht="28.95" customHeight="1" spans="1:12">
      <c r="A2" s="13"/>
      <c r="B2" s="14"/>
      <c r="C2" s="14"/>
      <c r="D2" s="15"/>
      <c r="E2" s="16"/>
      <c r="F2" s="16"/>
      <c r="G2" s="16"/>
      <c r="H2" s="17"/>
      <c r="I2" s="18"/>
      <c r="J2" s="19"/>
      <c r="K2" s="19"/>
      <c r="L2" s="20"/>
    </row>
    <row r="3" ht="22.2" customHeight="1" spans="1:12">
      <c r="A3" s="21"/>
      <c r="B3" s="21"/>
      <c r="C3" s="21"/>
      <c r="D3" s="21"/>
      <c r="E3" s="21"/>
      <c r="F3" s="21"/>
      <c r="G3" s="21"/>
      <c r="H3" s="21"/>
      <c r="I3" s="21"/>
      <c r="J3" s="21"/>
      <c r="K3" s="21"/>
      <c r="L3" s="21"/>
    </row>
    <row r="4" ht="15" customHeight="1" spans="1:12">
      <c r="A4" s="22"/>
      <c r="B4" s="23"/>
      <c r="C4" s="22"/>
      <c r="D4" s="22"/>
      <c r="E4" s="22"/>
      <c r="F4" s="24"/>
      <c r="G4" s="24"/>
      <c r="H4" s="25"/>
      <c r="I4" s="25"/>
      <c r="J4" s="24"/>
      <c r="K4" s="24"/>
      <c r="L4" s="22"/>
    </row>
    <row r="5" ht="19.95" customHeight="1" spans="1:12">
      <c r="A5" s="22"/>
      <c r="B5" s="23"/>
      <c r="C5" s="22"/>
      <c r="D5" s="22"/>
      <c r="E5" s="22"/>
      <c r="F5" s="24"/>
      <c r="G5" s="24"/>
      <c r="H5" s="25"/>
      <c r="I5" s="25"/>
      <c r="J5" s="24"/>
      <c r="K5" s="24"/>
      <c r="L5" s="22"/>
    </row>
    <row r="6" ht="19.95" customHeight="1" spans="1:12">
      <c r="A6" s="22"/>
      <c r="B6" s="23"/>
      <c r="C6" s="22"/>
      <c r="D6" s="22"/>
      <c r="E6" s="22"/>
      <c r="F6" s="24"/>
      <c r="G6" s="24"/>
      <c r="H6" s="25"/>
      <c r="I6" s="25"/>
      <c r="J6" s="24"/>
      <c r="K6" s="24"/>
      <c r="L6" s="22"/>
    </row>
    <row r="7" ht="15" customHeight="1" spans="1:12">
      <c r="A7" s="22"/>
      <c r="B7" s="23"/>
      <c r="C7" s="22"/>
      <c r="D7" s="22"/>
      <c r="E7" s="22"/>
      <c r="F7" s="24"/>
      <c r="G7" s="24"/>
      <c r="H7" s="25"/>
      <c r="I7" s="25"/>
      <c r="J7" s="24"/>
      <c r="K7" s="24"/>
      <c r="L7" s="22"/>
    </row>
    <row r="8" ht="15" customHeight="1" spans="1:12">
      <c r="A8" s="22"/>
      <c r="B8" s="23"/>
      <c r="C8" s="22"/>
      <c r="D8" s="22"/>
      <c r="E8" s="22"/>
      <c r="F8" s="24"/>
      <c r="G8" s="24"/>
      <c r="H8" s="25"/>
      <c r="I8" s="25"/>
      <c r="J8" s="24"/>
      <c r="K8" s="24"/>
      <c r="L8" s="22"/>
    </row>
    <row r="9" ht="15" customHeight="1" spans="1:12">
      <c r="A9" s="22"/>
      <c r="B9" s="23"/>
      <c r="C9" s="22"/>
      <c r="D9" s="22"/>
      <c r="E9" s="22"/>
      <c r="F9" s="24"/>
      <c r="G9" s="24"/>
      <c r="H9" s="25"/>
      <c r="I9" s="25"/>
      <c r="J9" s="24"/>
      <c r="K9" s="24"/>
      <c r="L9" s="22"/>
    </row>
    <row r="10" ht="15" customHeight="1" spans="1:12">
      <c r="A10" s="22"/>
      <c r="B10" s="23"/>
      <c r="C10" s="22"/>
      <c r="D10" s="22"/>
      <c r="E10" s="22"/>
      <c r="F10" s="24"/>
      <c r="G10" s="24"/>
      <c r="H10" s="25"/>
      <c r="I10" s="25"/>
      <c r="J10" s="24"/>
      <c r="K10" s="24"/>
      <c r="L10" s="22"/>
    </row>
    <row r="11" ht="15" customHeight="1" spans="1:12">
      <c r="A11" s="22"/>
      <c r="B11" s="23"/>
      <c r="C11" s="22"/>
      <c r="D11" s="22"/>
      <c r="E11" s="22"/>
      <c r="F11" s="24"/>
      <c r="G11" s="24"/>
      <c r="H11" s="25"/>
      <c r="I11" s="25"/>
      <c r="J11" s="24"/>
      <c r="K11" s="24"/>
      <c r="L11" s="22"/>
    </row>
    <row r="12" ht="15" customHeight="1" spans="1:12">
      <c r="A12" s="22"/>
      <c r="B12" s="23"/>
      <c r="C12" s="22"/>
      <c r="D12" s="22"/>
      <c r="E12" s="22"/>
      <c r="F12" s="24"/>
      <c r="G12" s="24"/>
      <c r="H12" s="25"/>
      <c r="I12" s="25"/>
      <c r="J12" s="24"/>
      <c r="K12" s="24"/>
      <c r="L12" s="22"/>
    </row>
    <row r="13" ht="15" customHeight="1" spans="1:12">
      <c r="A13" s="22"/>
      <c r="B13" s="23"/>
      <c r="C13" s="22"/>
      <c r="D13" s="22"/>
      <c r="E13" s="22"/>
      <c r="F13" s="24"/>
      <c r="G13" s="24"/>
      <c r="H13" s="25"/>
      <c r="I13" s="25"/>
      <c r="J13" s="24"/>
      <c r="K13" s="24"/>
      <c r="L13" s="22"/>
    </row>
    <row r="14" ht="15" customHeight="1" spans="1:12">
      <c r="A14" s="22"/>
      <c r="B14" s="23"/>
      <c r="C14" s="22"/>
      <c r="D14" s="22"/>
      <c r="E14" s="22"/>
      <c r="F14" s="24"/>
      <c r="G14" s="24"/>
      <c r="H14" s="25"/>
      <c r="I14" s="25"/>
      <c r="J14" s="24"/>
      <c r="K14" s="24"/>
      <c r="L14" s="22"/>
    </row>
    <row r="15" ht="15" customHeight="1" spans="1:12">
      <c r="A15" s="22"/>
      <c r="B15" s="23"/>
      <c r="C15" s="22"/>
      <c r="D15" s="22"/>
      <c r="E15" s="22"/>
      <c r="F15" s="24"/>
      <c r="G15" s="24"/>
      <c r="H15" s="25"/>
      <c r="I15" s="25"/>
      <c r="J15" s="24"/>
      <c r="K15" s="24"/>
      <c r="L15" s="22"/>
    </row>
    <row r="16" ht="15" customHeight="1" spans="1:12">
      <c r="A16" s="22"/>
      <c r="B16" s="23"/>
      <c r="C16" s="22"/>
      <c r="D16" s="22"/>
      <c r="E16" s="22"/>
      <c r="F16" s="24"/>
      <c r="G16" s="24"/>
      <c r="H16" s="25"/>
      <c r="I16" s="25"/>
      <c r="J16" s="24"/>
      <c r="K16" s="24"/>
      <c r="L16" s="22"/>
    </row>
    <row r="17" ht="15" customHeight="1" spans="1:12">
      <c r="A17" s="22"/>
      <c r="B17" s="23"/>
      <c r="C17" s="22"/>
      <c r="D17" s="22"/>
      <c r="E17" s="22"/>
      <c r="F17" s="24"/>
      <c r="G17" s="24"/>
      <c r="H17" s="25"/>
      <c r="I17" s="25"/>
      <c r="J17" s="24"/>
      <c r="K17" s="24"/>
      <c r="L17" s="22"/>
    </row>
    <row r="18" ht="15" customHeight="1" spans="1:12">
      <c r="A18" s="22"/>
      <c r="B18" s="23"/>
      <c r="C18" s="22"/>
      <c r="D18" s="22"/>
      <c r="E18" s="22"/>
      <c r="F18" s="24"/>
      <c r="G18" s="24"/>
      <c r="H18" s="25"/>
      <c r="I18" s="25"/>
      <c r="J18" s="24"/>
      <c r="K18" s="24"/>
      <c r="L18" s="22"/>
    </row>
    <row r="19" ht="19.95" customHeight="1" spans="1:12">
      <c r="A19" s="22"/>
      <c r="B19" s="23"/>
      <c r="C19" s="22"/>
      <c r="D19" s="22"/>
      <c r="E19" s="22"/>
      <c r="F19" s="24"/>
      <c r="G19" s="24"/>
      <c r="H19" s="25"/>
      <c r="I19" s="25"/>
      <c r="J19" s="24"/>
      <c r="K19" s="24"/>
      <c r="L19" s="22"/>
    </row>
    <row r="20" ht="15" customHeight="1" spans="1:12">
      <c r="A20" s="22"/>
      <c r="B20" s="23"/>
      <c r="C20" s="22"/>
      <c r="D20" s="22"/>
      <c r="E20" s="22"/>
      <c r="F20" s="24"/>
      <c r="G20" s="24"/>
      <c r="H20" s="25"/>
      <c r="I20" s="25"/>
      <c r="J20" s="24"/>
      <c r="K20" s="24"/>
      <c r="L20" s="22"/>
    </row>
    <row r="21" ht="19.95" customHeight="1" spans="1:12">
      <c r="A21" s="22"/>
      <c r="B21" s="23"/>
      <c r="C21" s="22"/>
      <c r="D21" s="22"/>
      <c r="E21" s="22"/>
      <c r="F21" s="24"/>
      <c r="G21" s="24"/>
      <c r="H21" s="25"/>
      <c r="I21" s="25"/>
      <c r="J21" s="24"/>
      <c r="K21" s="24"/>
      <c r="L21" s="22"/>
    </row>
    <row r="22" ht="15" customHeight="1" spans="1:12">
      <c r="A22" s="22"/>
      <c r="B22" s="23"/>
      <c r="C22" s="22"/>
      <c r="D22" s="22"/>
      <c r="E22" s="22"/>
      <c r="F22" s="24"/>
      <c r="G22" s="24"/>
      <c r="H22" s="25"/>
      <c r="I22" s="25"/>
      <c r="J22" s="24"/>
      <c r="K22" s="24"/>
      <c r="L22" s="22"/>
    </row>
    <row r="23" ht="15" customHeight="1" spans="1:12">
      <c r="A23" s="22"/>
      <c r="B23" s="23"/>
      <c r="C23" s="22"/>
      <c r="D23" s="22"/>
      <c r="E23" s="22"/>
      <c r="F23" s="24"/>
      <c r="G23" s="24"/>
      <c r="H23" s="25"/>
      <c r="I23" s="25"/>
      <c r="J23" s="24"/>
      <c r="K23" s="24"/>
      <c r="L23" s="22"/>
    </row>
    <row r="24" ht="15" customHeight="1" spans="1:12">
      <c r="A24" s="22"/>
      <c r="B24" s="23"/>
      <c r="C24" s="22"/>
      <c r="D24" s="22"/>
      <c r="E24" s="22"/>
      <c r="F24" s="24"/>
      <c r="G24" s="24"/>
      <c r="H24" s="25"/>
      <c r="I24" s="25"/>
      <c r="J24" s="24"/>
      <c r="K24" s="24"/>
      <c r="L24" s="22"/>
    </row>
    <row r="25" ht="19.95" customHeight="1" spans="1:12">
      <c r="A25" s="22"/>
      <c r="B25" s="23"/>
      <c r="C25" s="22"/>
      <c r="D25" s="22"/>
      <c r="E25" s="22"/>
      <c r="F25" s="24"/>
      <c r="G25" s="24"/>
      <c r="H25" s="25"/>
      <c r="I25" s="25"/>
      <c r="J25" s="24"/>
      <c r="K25" s="24"/>
      <c r="L25" s="22"/>
    </row>
    <row r="26" ht="15" customHeight="1" spans="1:12">
      <c r="A26" s="22"/>
      <c r="B26" s="23"/>
      <c r="C26" s="22"/>
      <c r="D26" s="22"/>
      <c r="E26" s="22"/>
      <c r="F26" s="24"/>
      <c r="G26" s="24"/>
      <c r="H26" s="25"/>
      <c r="I26" s="25"/>
      <c r="J26" s="24"/>
      <c r="K26" s="24"/>
      <c r="L26" s="22"/>
    </row>
    <row r="27" ht="19.95" customHeight="1" spans="1:12">
      <c r="A27" s="22"/>
      <c r="B27" s="23"/>
      <c r="C27" s="22"/>
      <c r="D27" s="22"/>
      <c r="E27" s="22"/>
      <c r="F27" s="24"/>
      <c r="G27" s="24"/>
      <c r="H27" s="25"/>
      <c r="I27" s="25"/>
      <c r="J27" s="24"/>
      <c r="K27" s="24"/>
      <c r="L27" s="22"/>
    </row>
    <row r="28" ht="15" customHeight="1" spans="1:12">
      <c r="A28" s="22"/>
      <c r="B28" s="23"/>
      <c r="C28" s="22"/>
      <c r="D28" s="22"/>
      <c r="E28" s="22"/>
      <c r="F28" s="24"/>
      <c r="G28" s="24"/>
      <c r="H28" s="25"/>
      <c r="I28" s="25"/>
      <c r="J28" s="24"/>
      <c r="K28" s="24"/>
      <c r="L28" s="22"/>
    </row>
    <row r="29" ht="15" customHeight="1" spans="1:12">
      <c r="A29" s="22"/>
      <c r="B29" s="23"/>
      <c r="C29" s="22"/>
      <c r="D29" s="22"/>
      <c r="E29" s="22"/>
      <c r="F29" s="24"/>
      <c r="G29" s="24"/>
      <c r="H29" s="25"/>
      <c r="I29" s="25"/>
      <c r="J29" s="24"/>
      <c r="K29" s="24"/>
      <c r="L29" s="22"/>
    </row>
    <row r="30" ht="15" customHeight="1" spans="1:12">
      <c r="A30" s="22"/>
      <c r="B30" s="23"/>
      <c r="C30" s="22"/>
      <c r="D30" s="22"/>
      <c r="E30" s="22"/>
      <c r="F30" s="24"/>
      <c r="G30" s="24"/>
      <c r="H30" s="25"/>
      <c r="I30" s="25"/>
      <c r="J30" s="24"/>
      <c r="K30" s="24"/>
      <c r="L30" s="22"/>
    </row>
    <row r="31" ht="19.95" customHeight="1" spans="1:12">
      <c r="A31" s="22"/>
      <c r="B31" s="23"/>
      <c r="C31" s="22"/>
      <c r="D31" s="22"/>
      <c r="E31" s="22"/>
      <c r="F31" s="24"/>
      <c r="G31" s="24"/>
      <c r="H31" s="25"/>
      <c r="I31" s="25"/>
      <c r="J31" s="24"/>
      <c r="K31" s="24"/>
      <c r="L31" s="22"/>
    </row>
    <row r="32" ht="15" customHeight="1" spans="1:12">
      <c r="A32" s="22"/>
      <c r="B32" s="23"/>
      <c r="C32" s="22"/>
      <c r="D32" s="22"/>
      <c r="E32" s="22"/>
      <c r="F32" s="24"/>
      <c r="G32" s="24"/>
      <c r="H32" s="25"/>
      <c r="I32" s="25"/>
      <c r="J32" s="24"/>
      <c r="K32" s="24"/>
      <c r="L32" s="22"/>
    </row>
    <row r="33" ht="15" customHeight="1" spans="1:12">
      <c r="A33" s="22"/>
      <c r="B33" s="23"/>
      <c r="C33" s="22"/>
      <c r="D33" s="22"/>
      <c r="E33" s="22"/>
      <c r="F33" s="24"/>
      <c r="G33" s="24"/>
      <c r="H33" s="25"/>
      <c r="I33" s="25"/>
      <c r="J33" s="24"/>
      <c r="K33" s="24"/>
      <c r="L33" s="22"/>
    </row>
    <row r="34" ht="19.95" customHeight="1" spans="1:12">
      <c r="A34" s="22"/>
      <c r="B34" s="23"/>
      <c r="C34" s="22"/>
      <c r="D34" s="22"/>
      <c r="E34" s="22"/>
      <c r="F34" s="24"/>
      <c r="G34" s="24"/>
      <c r="H34" s="25"/>
      <c r="I34" s="25"/>
      <c r="J34" s="24"/>
      <c r="K34" s="24"/>
      <c r="L34" s="22"/>
    </row>
    <row r="35" ht="19.95" customHeight="1" spans="1:12">
      <c r="A35" s="22"/>
      <c r="B35" s="23"/>
      <c r="C35" s="22"/>
      <c r="D35" s="22"/>
      <c r="E35" s="22"/>
      <c r="F35" s="24"/>
      <c r="G35" s="24"/>
      <c r="H35" s="25"/>
      <c r="I35" s="25"/>
      <c r="J35" s="24"/>
      <c r="K35" s="24"/>
      <c r="L35" s="22"/>
    </row>
    <row r="36" spans="1:12">
      <c r="A36" s="22"/>
      <c r="B36" s="23"/>
      <c r="C36" s="22"/>
      <c r="D36" s="22"/>
      <c r="E36" s="22"/>
      <c r="F36" s="24"/>
      <c r="G36" s="24"/>
      <c r="H36" s="25"/>
      <c r="I36" s="25"/>
      <c r="J36" s="24"/>
      <c r="K36" s="24"/>
      <c r="L36" s="22"/>
    </row>
    <row r="37" spans="1:12">
      <c r="A37" s="22"/>
      <c r="B37" s="23"/>
      <c r="C37" s="22"/>
      <c r="D37" s="22"/>
      <c r="E37" s="22"/>
      <c r="F37" s="24"/>
      <c r="G37" s="24"/>
      <c r="H37" s="25"/>
      <c r="I37" s="25"/>
      <c r="J37" s="24"/>
      <c r="K37" s="24"/>
      <c r="L37" s="22"/>
    </row>
    <row r="38" spans="1:12">
      <c r="A38" s="22"/>
      <c r="B38" s="23"/>
      <c r="C38" s="22"/>
      <c r="D38" s="22"/>
      <c r="E38" s="22"/>
      <c r="F38" s="24"/>
      <c r="G38" s="24"/>
      <c r="H38" s="25"/>
      <c r="I38" s="25"/>
      <c r="J38" s="24"/>
      <c r="K38" s="24"/>
      <c r="L38" s="22"/>
    </row>
    <row r="39" spans="1:12">
      <c r="A39" s="22"/>
      <c r="B39" s="23"/>
      <c r="C39" s="22"/>
      <c r="D39" s="22"/>
      <c r="E39" s="22"/>
      <c r="F39" s="24"/>
      <c r="G39" s="24"/>
      <c r="H39" s="25"/>
      <c r="I39" s="25"/>
      <c r="J39" s="24"/>
      <c r="K39" s="24"/>
      <c r="L39" s="22"/>
    </row>
    <row r="40" spans="1:12">
      <c r="A40" s="22"/>
      <c r="B40" s="23"/>
      <c r="C40" s="22"/>
      <c r="D40" s="22"/>
      <c r="E40" s="22"/>
      <c r="F40" s="24"/>
      <c r="G40" s="24"/>
      <c r="H40" s="25"/>
      <c r="I40" s="25"/>
      <c r="J40" s="24"/>
      <c r="K40" s="24"/>
      <c r="L40" s="22"/>
    </row>
    <row r="41" spans="1:12">
      <c r="A41" s="22"/>
      <c r="B41" s="23"/>
      <c r="C41" s="22"/>
      <c r="D41" s="22"/>
      <c r="E41" s="22"/>
      <c r="F41" s="24"/>
      <c r="G41" s="24"/>
      <c r="H41" s="25"/>
      <c r="I41" s="25"/>
      <c r="J41" s="24"/>
      <c r="K41" s="24"/>
      <c r="L41" s="22"/>
    </row>
    <row r="42" spans="1:12">
      <c r="A42" s="22"/>
      <c r="B42" s="23"/>
      <c r="C42" s="22"/>
      <c r="D42" s="22"/>
      <c r="E42" s="22"/>
      <c r="F42" s="24"/>
      <c r="G42" s="24"/>
      <c r="H42" s="25"/>
      <c r="I42" s="25"/>
      <c r="J42" s="24"/>
      <c r="K42" s="24"/>
      <c r="L42" s="22"/>
    </row>
    <row r="43" spans="1:12">
      <c r="A43" s="22"/>
      <c r="B43" s="23"/>
      <c r="C43" s="22"/>
      <c r="D43" s="22"/>
      <c r="E43" s="22"/>
      <c r="F43" s="24"/>
      <c r="G43" s="24"/>
      <c r="H43" s="25"/>
      <c r="I43" s="25"/>
      <c r="J43" s="24"/>
      <c r="K43" s="24"/>
      <c r="L43" s="22"/>
    </row>
    <row r="44" spans="1:12">
      <c r="A44" s="22"/>
      <c r="B44" s="23"/>
      <c r="C44" s="22"/>
      <c r="D44" s="22"/>
      <c r="E44" s="22"/>
      <c r="F44" s="24"/>
      <c r="G44" s="24"/>
      <c r="H44" s="25"/>
      <c r="I44" s="25"/>
      <c r="J44" s="24"/>
      <c r="K44" s="24"/>
      <c r="L44" s="22"/>
    </row>
    <row r="45" spans="1:12">
      <c r="A45" s="22"/>
      <c r="B45" s="23"/>
      <c r="C45" s="22"/>
      <c r="D45" s="22"/>
      <c r="E45" s="22"/>
      <c r="F45" s="24"/>
      <c r="G45" s="24"/>
      <c r="H45" s="25"/>
      <c r="I45" s="25"/>
      <c r="J45" s="24"/>
      <c r="K45" s="24"/>
      <c r="L45" s="22"/>
    </row>
    <row r="46" spans="1:12">
      <c r="A46" s="22"/>
      <c r="B46" s="23"/>
      <c r="C46" s="22"/>
      <c r="D46" s="22"/>
      <c r="E46" s="22"/>
      <c r="F46" s="24"/>
      <c r="G46" s="24"/>
      <c r="H46" s="25"/>
      <c r="I46" s="25"/>
      <c r="J46" s="24"/>
      <c r="K46" s="24"/>
      <c r="L46" s="22"/>
    </row>
    <row r="47" spans="1:12">
      <c r="A47" s="22"/>
      <c r="B47" s="23"/>
      <c r="C47" s="22"/>
      <c r="D47" s="22"/>
      <c r="E47" s="22"/>
      <c r="F47" s="24"/>
      <c r="G47" s="24"/>
      <c r="H47" s="25"/>
      <c r="I47" s="25"/>
      <c r="J47" s="24"/>
      <c r="K47" s="24"/>
      <c r="L47" s="22"/>
    </row>
    <row r="48" spans="1:12">
      <c r="A48" s="22"/>
      <c r="B48" s="23"/>
      <c r="C48" s="22"/>
      <c r="D48" s="22"/>
      <c r="E48" s="22"/>
      <c r="F48" s="24"/>
      <c r="G48" s="24"/>
      <c r="H48" s="25"/>
      <c r="I48" s="25"/>
      <c r="J48" s="24"/>
      <c r="K48" s="24"/>
      <c r="L48" s="22"/>
    </row>
    <row r="49" spans="1:12">
      <c r="A49" s="22"/>
      <c r="B49" s="23"/>
      <c r="C49" s="22"/>
      <c r="D49" s="22"/>
      <c r="E49" s="22"/>
      <c r="F49" s="24"/>
      <c r="G49" s="24"/>
      <c r="H49" s="25"/>
      <c r="I49" s="25"/>
      <c r="J49" s="24"/>
      <c r="K49" s="24"/>
      <c r="L49" s="22"/>
    </row>
    <row r="50" spans="1:12">
      <c r="A50" s="22"/>
      <c r="B50" s="23"/>
      <c r="C50" s="22"/>
      <c r="D50" s="22"/>
      <c r="E50" s="22"/>
      <c r="F50" s="24"/>
      <c r="G50" s="24"/>
      <c r="H50" s="25"/>
      <c r="I50" s="25"/>
      <c r="J50" s="24"/>
      <c r="K50" s="24"/>
      <c r="L50" s="22"/>
    </row>
    <row r="51" spans="1:12">
      <c r="A51" s="22"/>
      <c r="B51" s="23"/>
      <c r="C51" s="22"/>
      <c r="D51" s="22"/>
      <c r="E51" s="22"/>
      <c r="F51" s="24"/>
      <c r="G51" s="24"/>
      <c r="H51" s="25"/>
      <c r="I51" s="25"/>
      <c r="J51" s="24"/>
      <c r="K51" s="24"/>
      <c r="L51" s="22"/>
    </row>
    <row r="52" spans="1:12">
      <c r="A52" s="22"/>
      <c r="B52" s="23"/>
      <c r="C52" s="22"/>
      <c r="D52" s="22"/>
      <c r="E52" s="22"/>
      <c r="F52" s="24"/>
      <c r="G52" s="24"/>
      <c r="H52" s="25"/>
      <c r="I52" s="25"/>
      <c r="J52" s="24"/>
      <c r="K52" s="24"/>
      <c r="L52" s="22"/>
    </row>
    <row r="53" spans="1:12">
      <c r="A53" s="22"/>
      <c r="B53" s="23"/>
      <c r="C53" s="22"/>
      <c r="D53" s="22"/>
      <c r="E53" s="22"/>
      <c r="F53" s="24"/>
      <c r="G53" s="24"/>
      <c r="H53" s="25"/>
      <c r="I53" s="25"/>
      <c r="J53" s="24"/>
      <c r="K53" s="24"/>
      <c r="L53" s="22"/>
    </row>
    <row r="54" spans="1:12">
      <c r="A54" s="22"/>
      <c r="B54" s="23"/>
      <c r="C54" s="22"/>
      <c r="D54" s="22"/>
      <c r="E54" s="22"/>
      <c r="F54" s="24"/>
      <c r="G54" s="24"/>
      <c r="H54" s="25"/>
      <c r="I54" s="25"/>
      <c r="J54" s="24"/>
      <c r="K54" s="24"/>
      <c r="L54" s="22"/>
    </row>
    <row r="55" spans="1:12">
      <c r="A55" s="22"/>
      <c r="B55" s="23"/>
      <c r="C55" s="22"/>
      <c r="D55" s="22"/>
      <c r="E55" s="22"/>
      <c r="F55" s="24"/>
      <c r="G55" s="24"/>
      <c r="H55" s="25"/>
      <c r="I55" s="25"/>
      <c r="J55" s="24"/>
      <c r="K55" s="24"/>
      <c r="L55" s="22"/>
    </row>
    <row r="56" spans="1:12">
      <c r="A56" s="22"/>
      <c r="B56" s="23"/>
      <c r="C56" s="22"/>
      <c r="D56" s="22"/>
      <c r="E56" s="22"/>
      <c r="F56" s="24"/>
      <c r="G56" s="24"/>
      <c r="H56" s="25"/>
      <c r="I56" s="25"/>
      <c r="J56" s="24"/>
      <c r="K56" s="24"/>
      <c r="L56" s="22"/>
    </row>
    <row r="57" spans="1:12">
      <c r="A57" s="22"/>
      <c r="B57" s="23"/>
      <c r="C57" s="22"/>
      <c r="D57" s="22"/>
      <c r="E57" s="22"/>
      <c r="F57" s="24"/>
      <c r="G57" s="24"/>
      <c r="H57" s="25"/>
      <c r="I57" s="25"/>
      <c r="J57" s="24"/>
      <c r="K57" s="24"/>
      <c r="L57" s="22"/>
    </row>
    <row r="58" spans="1:12">
      <c r="A58" s="22"/>
      <c r="B58" s="23"/>
      <c r="C58" s="22"/>
      <c r="D58" s="22"/>
      <c r="E58" s="22"/>
      <c r="F58" s="24"/>
      <c r="G58" s="24"/>
      <c r="H58" s="25"/>
      <c r="I58" s="25"/>
      <c r="J58" s="24"/>
      <c r="K58" s="24"/>
      <c r="L58" s="22"/>
    </row>
    <row r="59" spans="1:12">
      <c r="A59" s="22"/>
      <c r="B59" s="23"/>
      <c r="C59" s="22"/>
      <c r="D59" s="22"/>
      <c r="E59" s="22"/>
      <c r="F59" s="24"/>
      <c r="G59" s="24"/>
      <c r="H59" s="25"/>
      <c r="I59" s="25"/>
      <c r="J59" s="24"/>
      <c r="K59" s="24"/>
      <c r="L59" s="22"/>
    </row>
    <row r="60" spans="1:12">
      <c r="A60" s="22"/>
      <c r="B60" s="23"/>
      <c r="C60" s="22"/>
      <c r="D60" s="22"/>
      <c r="E60" s="22"/>
      <c r="F60" s="24"/>
      <c r="G60" s="24"/>
      <c r="H60" s="25"/>
      <c r="I60" s="25"/>
      <c r="J60" s="24"/>
      <c r="K60" s="24"/>
      <c r="L60" s="22"/>
    </row>
    <row r="61" spans="1:12">
      <c r="A61" s="22"/>
      <c r="B61" s="23"/>
      <c r="C61" s="22"/>
      <c r="D61" s="22"/>
      <c r="E61" s="22"/>
      <c r="F61" s="24"/>
      <c r="G61" s="24"/>
      <c r="H61" s="25"/>
      <c r="I61" s="25"/>
      <c r="J61" s="24"/>
      <c r="K61" s="24"/>
      <c r="L61" s="22"/>
    </row>
    <row r="62" spans="1:12">
      <c r="A62" s="22"/>
      <c r="B62" s="23"/>
      <c r="C62" s="22"/>
      <c r="D62" s="22"/>
      <c r="E62" s="22"/>
      <c r="F62" s="24"/>
      <c r="G62" s="24"/>
      <c r="H62" s="25"/>
      <c r="I62" s="25"/>
      <c r="J62" s="24"/>
      <c r="K62" s="24"/>
      <c r="L62" s="22"/>
    </row>
    <row r="63" spans="1:12">
      <c r="A63" s="22"/>
      <c r="B63" s="23"/>
      <c r="C63" s="22"/>
      <c r="D63" s="22"/>
      <c r="E63" s="22"/>
      <c r="F63" s="24"/>
      <c r="G63" s="24"/>
      <c r="H63" s="25"/>
      <c r="I63" s="25"/>
      <c r="J63" s="24"/>
      <c r="K63" s="24"/>
      <c r="L63" s="22"/>
    </row>
    <row r="64" spans="1:12">
      <c r="A64" s="22"/>
      <c r="B64" s="23"/>
      <c r="C64" s="22"/>
      <c r="D64" s="22"/>
      <c r="E64" s="22"/>
      <c r="F64" s="24"/>
      <c r="G64" s="24"/>
      <c r="H64" s="25"/>
      <c r="I64" s="25"/>
      <c r="J64" s="24"/>
      <c r="K64" s="24"/>
      <c r="L64" s="22"/>
    </row>
    <row r="65" spans="1:12">
      <c r="A65" s="22"/>
      <c r="B65" s="23"/>
      <c r="C65" s="22"/>
      <c r="D65" s="22"/>
      <c r="E65" s="22"/>
      <c r="F65" s="24"/>
      <c r="G65" s="24"/>
      <c r="H65" s="25"/>
      <c r="I65" s="25"/>
      <c r="J65" s="24"/>
      <c r="K65" s="24"/>
      <c r="L65" s="22"/>
    </row>
    <row r="66" spans="1:12">
      <c r="A66" s="22"/>
      <c r="B66" s="23"/>
      <c r="C66" s="22"/>
      <c r="D66" s="22"/>
      <c r="E66" s="22"/>
      <c r="F66" s="24"/>
      <c r="G66" s="24"/>
      <c r="H66" s="25"/>
      <c r="I66" s="25"/>
      <c r="J66" s="24"/>
      <c r="K66" s="24"/>
      <c r="L66" s="22"/>
    </row>
    <row r="67" spans="1:12">
      <c r="A67" s="22"/>
      <c r="B67" s="23"/>
      <c r="C67" s="22"/>
      <c r="D67" s="22"/>
      <c r="E67" s="22"/>
      <c r="F67" s="24"/>
      <c r="G67" s="24"/>
      <c r="H67" s="25"/>
      <c r="I67" s="25"/>
      <c r="J67" s="24"/>
      <c r="K67" s="24"/>
      <c r="L67" s="22"/>
    </row>
    <row r="68" spans="1:12">
      <c r="A68" s="22"/>
      <c r="B68" s="23"/>
      <c r="C68" s="22"/>
      <c r="D68" s="22"/>
      <c r="E68" s="22"/>
      <c r="F68" s="24"/>
      <c r="G68" s="24"/>
      <c r="H68" s="25"/>
      <c r="I68" s="25"/>
      <c r="J68" s="24"/>
      <c r="K68" s="24"/>
      <c r="L68" s="22"/>
    </row>
    <row r="69" spans="1:12">
      <c r="A69" s="22"/>
      <c r="B69" s="23"/>
      <c r="C69" s="22"/>
      <c r="D69" s="22"/>
      <c r="E69" s="22"/>
      <c r="F69" s="24"/>
      <c r="G69" s="24"/>
      <c r="H69" s="25"/>
      <c r="I69" s="25"/>
      <c r="J69" s="24"/>
      <c r="K69" s="24"/>
      <c r="L69" s="22"/>
    </row>
    <row r="70" spans="1:12">
      <c r="A70" s="22"/>
      <c r="B70" s="23"/>
      <c r="C70" s="22"/>
      <c r="D70" s="22"/>
      <c r="E70" s="22"/>
      <c r="F70" s="24"/>
      <c r="G70" s="24"/>
      <c r="H70" s="25"/>
      <c r="I70" s="25"/>
      <c r="J70" s="24"/>
      <c r="K70" s="24"/>
      <c r="L70" s="22"/>
    </row>
    <row r="71" spans="1:12">
      <c r="A71" s="22"/>
      <c r="B71" s="23"/>
      <c r="C71" s="22"/>
      <c r="D71" s="22"/>
      <c r="E71" s="22"/>
      <c r="F71" s="24"/>
      <c r="G71" s="24"/>
      <c r="H71" s="25"/>
      <c r="I71" s="25"/>
      <c r="J71" s="24"/>
      <c r="K71" s="24"/>
      <c r="L71" s="22"/>
    </row>
    <row r="72" spans="1:12">
      <c r="A72" s="22"/>
      <c r="B72" s="23"/>
      <c r="C72" s="22"/>
      <c r="D72" s="22"/>
      <c r="E72" s="22"/>
      <c r="F72" s="24"/>
      <c r="G72" s="24"/>
      <c r="H72" s="25"/>
      <c r="I72" s="25"/>
      <c r="J72" s="24"/>
      <c r="K72" s="24"/>
      <c r="L72" s="22"/>
    </row>
    <row r="73" spans="1:12">
      <c r="A73" s="22"/>
      <c r="B73" s="23"/>
      <c r="C73" s="22"/>
      <c r="D73" s="22"/>
      <c r="E73" s="22"/>
      <c r="F73" s="24"/>
      <c r="G73" s="24"/>
      <c r="H73" s="25"/>
      <c r="I73" s="25"/>
      <c r="J73" s="24"/>
      <c r="K73" s="24"/>
      <c r="L73" s="22"/>
    </row>
    <row r="74" spans="1:12">
      <c r="A74" s="22"/>
      <c r="B74" s="23"/>
      <c r="C74" s="22"/>
      <c r="D74" s="22"/>
      <c r="E74" s="22"/>
      <c r="F74" s="24"/>
      <c r="G74" s="24"/>
      <c r="H74" s="25"/>
      <c r="I74" s="25"/>
      <c r="J74" s="24"/>
      <c r="K74" s="24"/>
      <c r="L74" s="22"/>
    </row>
    <row r="75" spans="1:12">
      <c r="A75" s="22"/>
      <c r="B75" s="23"/>
      <c r="C75" s="22"/>
      <c r="D75" s="22"/>
      <c r="E75" s="22"/>
      <c r="F75" s="24"/>
      <c r="G75" s="24"/>
      <c r="H75" s="25"/>
      <c r="I75" s="25"/>
      <c r="J75" s="24"/>
      <c r="K75" s="24"/>
      <c r="L75" s="22"/>
    </row>
    <row r="76" spans="1:12">
      <c r="A76" s="22"/>
      <c r="B76" s="23"/>
      <c r="C76" s="22"/>
      <c r="D76" s="22"/>
      <c r="E76" s="22"/>
      <c r="F76" s="24"/>
      <c r="G76" s="24"/>
      <c r="H76" s="25"/>
      <c r="I76" s="25"/>
      <c r="J76" s="24"/>
      <c r="K76" s="24"/>
      <c r="L76" s="22"/>
    </row>
    <row r="77" spans="1:12">
      <c r="A77" s="22"/>
      <c r="B77" s="23"/>
      <c r="C77" s="22"/>
      <c r="D77" s="22"/>
      <c r="E77" s="22"/>
      <c r="F77" s="24"/>
      <c r="G77" s="24"/>
      <c r="H77" s="25"/>
      <c r="I77" s="25"/>
      <c r="J77" s="24"/>
      <c r="K77" s="24"/>
      <c r="L77" s="22"/>
    </row>
    <row r="78" spans="1:12">
      <c r="A78" s="22"/>
      <c r="B78" s="23"/>
      <c r="C78" s="22"/>
      <c r="D78" s="22"/>
      <c r="E78" s="22"/>
      <c r="F78" s="24"/>
      <c r="G78" s="24"/>
      <c r="H78" s="25"/>
      <c r="I78" s="25"/>
      <c r="J78" s="24"/>
      <c r="K78" s="24"/>
      <c r="L78" s="22"/>
    </row>
    <row r="79" spans="1:12">
      <c r="A79" s="22"/>
      <c r="B79" s="23"/>
      <c r="C79" s="22"/>
      <c r="D79" s="22"/>
      <c r="E79" s="22"/>
      <c r="F79" s="24"/>
      <c r="G79" s="24"/>
      <c r="H79" s="25"/>
      <c r="I79" s="25"/>
      <c r="J79" s="24"/>
      <c r="K79" s="24"/>
      <c r="L79" s="22"/>
    </row>
    <row r="80" spans="1:12">
      <c r="A80" s="22"/>
      <c r="B80" s="23"/>
      <c r="C80" s="22"/>
      <c r="D80" s="22"/>
      <c r="E80" s="22"/>
      <c r="F80" s="24"/>
      <c r="G80" s="24"/>
      <c r="H80" s="25"/>
      <c r="I80" s="25"/>
      <c r="J80" s="24"/>
      <c r="K80" s="24"/>
      <c r="L80" s="22"/>
    </row>
    <row r="81" spans="1:12">
      <c r="A81" s="22"/>
      <c r="B81" s="23"/>
      <c r="C81" s="22"/>
      <c r="D81" s="22"/>
      <c r="E81" s="22"/>
      <c r="F81" s="24"/>
      <c r="G81" s="24"/>
      <c r="H81" s="25"/>
      <c r="I81" s="25"/>
      <c r="J81" s="24"/>
      <c r="K81" s="24"/>
      <c r="L81" s="22"/>
    </row>
    <row r="82" spans="1:12">
      <c r="A82" s="22"/>
      <c r="B82" s="23"/>
      <c r="C82" s="22"/>
      <c r="D82" s="22"/>
      <c r="E82" s="22"/>
      <c r="F82" s="24"/>
      <c r="G82" s="24"/>
      <c r="H82" s="25"/>
      <c r="I82" s="25"/>
      <c r="J82" s="24"/>
      <c r="K82" s="24"/>
      <c r="L82" s="22"/>
    </row>
    <row r="83" spans="1:12">
      <c r="A83" s="22"/>
      <c r="B83" s="23"/>
      <c r="C83" s="22"/>
      <c r="D83" s="22"/>
      <c r="E83" s="22"/>
      <c r="F83" s="24"/>
      <c r="G83" s="24"/>
      <c r="H83" s="25"/>
      <c r="I83" s="25"/>
      <c r="J83" s="24"/>
      <c r="K83" s="24"/>
      <c r="L83" s="22"/>
    </row>
    <row r="84" spans="1:12">
      <c r="A84" s="22"/>
      <c r="B84" s="23"/>
      <c r="C84" s="22"/>
      <c r="D84" s="22"/>
      <c r="E84" s="22"/>
      <c r="F84" s="24"/>
      <c r="G84" s="24"/>
      <c r="H84" s="25"/>
      <c r="I84" s="25"/>
      <c r="J84" s="24"/>
      <c r="K84" s="24"/>
      <c r="L84" s="22"/>
    </row>
    <row r="85" spans="1:12">
      <c r="A85" s="22"/>
      <c r="B85" s="23"/>
      <c r="C85" s="22"/>
      <c r="D85" s="22"/>
      <c r="E85" s="22"/>
      <c r="F85" s="24"/>
      <c r="G85" s="24"/>
      <c r="H85" s="25"/>
      <c r="I85" s="25"/>
      <c r="J85" s="24"/>
      <c r="K85" s="24"/>
      <c r="L85" s="22"/>
    </row>
    <row r="86" spans="1:12">
      <c r="A86" s="22"/>
      <c r="B86" s="23"/>
      <c r="C86" s="22"/>
      <c r="D86" s="22"/>
      <c r="E86" s="22"/>
      <c r="F86" s="24"/>
      <c r="G86" s="24"/>
      <c r="H86" s="25"/>
      <c r="I86" s="25"/>
      <c r="J86" s="24"/>
      <c r="K86" s="24"/>
      <c r="L86" s="22"/>
    </row>
    <row r="87" spans="1:12">
      <c r="A87" s="22"/>
      <c r="B87" s="23"/>
      <c r="C87" s="22"/>
      <c r="D87" s="22"/>
      <c r="E87" s="22"/>
      <c r="F87" s="24"/>
      <c r="G87" s="24"/>
      <c r="H87" s="25"/>
      <c r="I87" s="25"/>
      <c r="J87" s="24"/>
      <c r="K87" s="24"/>
      <c r="L87" s="22"/>
    </row>
    <row r="88" spans="1:12">
      <c r="A88" s="22"/>
      <c r="B88" s="23"/>
      <c r="C88" s="22"/>
      <c r="D88" s="22"/>
      <c r="E88" s="22"/>
      <c r="F88" s="24"/>
      <c r="G88" s="24"/>
      <c r="H88" s="25"/>
      <c r="I88" s="25"/>
      <c r="J88" s="24"/>
      <c r="K88" s="24"/>
      <c r="L88" s="22"/>
    </row>
    <row r="89" spans="1:12">
      <c r="A89" s="22"/>
      <c r="B89" s="23"/>
      <c r="C89" s="22"/>
      <c r="D89" s="22"/>
      <c r="E89" s="22"/>
      <c r="F89" s="24"/>
      <c r="G89" s="24"/>
      <c r="H89" s="25"/>
      <c r="I89" s="25"/>
      <c r="J89" s="24"/>
      <c r="K89" s="24"/>
      <c r="L89" s="22"/>
    </row>
    <row r="90" spans="1:12">
      <c r="A90" s="22"/>
      <c r="B90" s="23"/>
      <c r="C90" s="22"/>
      <c r="D90" s="22"/>
      <c r="E90" s="22"/>
      <c r="F90" s="24"/>
      <c r="G90" s="24"/>
      <c r="H90" s="25"/>
      <c r="I90" s="25"/>
      <c r="J90" s="24"/>
      <c r="K90" s="24"/>
      <c r="L90" s="22"/>
    </row>
    <row r="91" spans="1:12">
      <c r="A91" s="22"/>
      <c r="B91" s="23"/>
      <c r="C91" s="22"/>
      <c r="D91" s="22"/>
      <c r="E91" s="22"/>
      <c r="F91" s="24"/>
      <c r="G91" s="24"/>
      <c r="H91" s="25"/>
      <c r="I91" s="25"/>
      <c r="J91" s="24"/>
      <c r="K91" s="24"/>
      <c r="L91" s="22"/>
    </row>
    <row r="92" spans="1:12">
      <c r="A92" s="22"/>
      <c r="B92" s="23"/>
      <c r="C92" s="22"/>
      <c r="D92" s="22"/>
      <c r="E92" s="22"/>
      <c r="F92" s="24"/>
      <c r="G92" s="24"/>
      <c r="H92" s="25"/>
      <c r="I92" s="25"/>
      <c r="J92" s="24"/>
      <c r="K92" s="24"/>
      <c r="L92" s="22"/>
    </row>
    <row r="93" spans="1:12">
      <c r="A93" s="22"/>
      <c r="B93" s="23"/>
      <c r="C93" s="22"/>
      <c r="D93" s="22"/>
      <c r="E93" s="22"/>
      <c r="F93" s="24"/>
      <c r="G93" s="24"/>
      <c r="H93" s="25"/>
      <c r="I93" s="25"/>
      <c r="J93" s="24"/>
      <c r="K93" s="24"/>
      <c r="L93" s="22"/>
    </row>
    <row r="94" spans="1:12">
      <c r="A94" s="22"/>
      <c r="B94" s="23"/>
      <c r="C94" s="22"/>
      <c r="D94" s="22"/>
      <c r="E94" s="22"/>
      <c r="F94" s="24"/>
      <c r="G94" s="24"/>
      <c r="H94" s="25"/>
      <c r="I94" s="25"/>
      <c r="J94" s="24"/>
      <c r="K94" s="24"/>
      <c r="L94" s="22"/>
    </row>
    <row r="95" spans="1:12">
      <c r="A95" s="22"/>
      <c r="B95" s="23"/>
      <c r="C95" s="22"/>
      <c r="D95" s="22"/>
      <c r="E95" s="22"/>
      <c r="F95" s="24"/>
      <c r="G95" s="24"/>
      <c r="H95" s="25"/>
      <c r="I95" s="25"/>
      <c r="J95" s="24"/>
      <c r="K95" s="24"/>
      <c r="L95" s="22"/>
    </row>
    <row r="96" spans="1:12">
      <c r="A96" s="22"/>
      <c r="B96" s="23"/>
      <c r="C96" s="22"/>
      <c r="D96" s="22"/>
      <c r="E96" s="22"/>
      <c r="F96" s="24"/>
      <c r="G96" s="24"/>
      <c r="H96" s="25"/>
      <c r="I96" s="25"/>
      <c r="J96" s="24"/>
      <c r="K96" s="24"/>
      <c r="L96" s="22"/>
    </row>
    <row r="97" spans="1:12">
      <c r="A97" s="22"/>
      <c r="B97" s="23"/>
      <c r="C97" s="22"/>
      <c r="D97" s="22"/>
      <c r="E97" s="22"/>
      <c r="F97" s="24"/>
      <c r="G97" s="24"/>
      <c r="H97" s="25"/>
      <c r="I97" s="25"/>
      <c r="J97" s="24"/>
      <c r="K97" s="24"/>
      <c r="L97" s="22"/>
    </row>
    <row r="98" spans="1:12">
      <c r="A98" s="22"/>
      <c r="B98" s="23"/>
      <c r="C98" s="22"/>
      <c r="D98" s="22"/>
      <c r="E98" s="22"/>
      <c r="F98" s="24"/>
      <c r="G98" s="24"/>
      <c r="H98" s="25"/>
      <c r="I98" s="25"/>
      <c r="J98" s="24"/>
      <c r="K98" s="24"/>
      <c r="L98" s="22"/>
    </row>
    <row r="99" spans="1:12">
      <c r="A99" s="22"/>
      <c r="B99" s="23"/>
      <c r="C99" s="22"/>
      <c r="D99" s="22"/>
      <c r="E99" s="22"/>
      <c r="F99" s="24"/>
      <c r="G99" s="24"/>
      <c r="H99" s="25"/>
      <c r="I99" s="25"/>
      <c r="J99" s="24"/>
      <c r="K99" s="24"/>
      <c r="L99" s="22"/>
    </row>
    <row r="100" spans="1:12">
      <c r="A100" s="22"/>
      <c r="B100" s="23"/>
      <c r="C100" s="22"/>
      <c r="D100" s="22"/>
      <c r="E100" s="22"/>
      <c r="F100" s="24"/>
      <c r="G100" s="24"/>
      <c r="H100" s="25"/>
      <c r="I100" s="25"/>
      <c r="J100" s="24"/>
      <c r="K100" s="24"/>
      <c r="L100" s="22"/>
    </row>
    <row r="101" spans="1:12">
      <c r="A101" s="22"/>
      <c r="B101" s="23"/>
      <c r="C101" s="22"/>
      <c r="D101" s="22"/>
      <c r="E101" s="22"/>
      <c r="F101" s="24"/>
      <c r="G101" s="24"/>
      <c r="H101" s="25"/>
      <c r="I101" s="25"/>
      <c r="J101" s="24"/>
      <c r="K101" s="24"/>
      <c r="L101" s="22"/>
    </row>
    <row r="102" spans="1:12">
      <c r="A102" s="22"/>
      <c r="B102" s="23"/>
      <c r="C102" s="22"/>
      <c r="D102" s="22"/>
      <c r="E102" s="22"/>
      <c r="F102" s="24"/>
      <c r="G102" s="24"/>
      <c r="H102" s="25"/>
      <c r="I102" s="25"/>
      <c r="J102" s="24"/>
      <c r="K102" s="24"/>
      <c r="L102" s="22"/>
    </row>
    <row r="103" spans="1:12">
      <c r="A103" s="22"/>
      <c r="B103" s="23"/>
      <c r="C103" s="22"/>
      <c r="D103" s="22"/>
      <c r="E103" s="22"/>
      <c r="F103" s="24"/>
      <c r="G103" s="24"/>
      <c r="H103" s="25"/>
      <c r="I103" s="25"/>
      <c r="J103" s="24"/>
      <c r="K103" s="24"/>
      <c r="L103" s="22"/>
    </row>
    <row r="104" spans="1:12">
      <c r="A104" s="22"/>
      <c r="B104" s="23"/>
      <c r="C104" s="22"/>
      <c r="D104" s="22"/>
      <c r="E104" s="22"/>
      <c r="F104" s="24"/>
      <c r="G104" s="24"/>
      <c r="H104" s="25"/>
      <c r="I104" s="25"/>
      <c r="J104" s="24"/>
      <c r="K104" s="24"/>
      <c r="L104" s="22"/>
    </row>
    <row r="105" spans="1:12">
      <c r="A105" s="22"/>
      <c r="B105" s="23"/>
      <c r="C105" s="22"/>
      <c r="D105" s="22"/>
      <c r="E105" s="22"/>
      <c r="F105" s="24"/>
      <c r="G105" s="24"/>
      <c r="H105" s="25"/>
      <c r="I105" s="25"/>
      <c r="J105" s="24"/>
      <c r="K105" s="24"/>
      <c r="L105" s="22"/>
    </row>
    <row r="106" spans="1:12">
      <c r="A106" s="22"/>
      <c r="B106" s="23"/>
      <c r="C106" s="22"/>
      <c r="D106" s="22"/>
      <c r="E106" s="22"/>
      <c r="F106" s="24"/>
      <c r="G106" s="24"/>
      <c r="H106" s="25"/>
      <c r="I106" s="25"/>
      <c r="J106" s="24"/>
      <c r="K106" s="24"/>
      <c r="L106" s="22"/>
    </row>
    <row r="107" spans="1:12">
      <c r="A107" s="22"/>
      <c r="B107" s="23"/>
      <c r="C107" s="22"/>
      <c r="D107" s="22"/>
      <c r="E107" s="22"/>
      <c r="F107" s="24"/>
      <c r="G107" s="24"/>
      <c r="H107" s="25"/>
      <c r="I107" s="25"/>
      <c r="J107" s="24"/>
      <c r="K107" s="24"/>
      <c r="L107" s="22"/>
    </row>
    <row r="108" spans="1:12">
      <c r="A108" s="22"/>
      <c r="B108" s="23"/>
      <c r="C108" s="22"/>
      <c r="D108" s="22"/>
      <c r="E108" s="22"/>
      <c r="F108" s="24"/>
      <c r="G108" s="24"/>
      <c r="H108" s="25"/>
      <c r="I108" s="25"/>
      <c r="J108" s="24"/>
      <c r="K108" s="24"/>
      <c r="L108" s="22"/>
    </row>
    <row r="109" spans="1:12">
      <c r="A109" s="22"/>
      <c r="B109" s="23"/>
      <c r="C109" s="22"/>
      <c r="D109" s="22"/>
      <c r="E109" s="22"/>
      <c r="F109" s="24"/>
      <c r="G109" s="24"/>
      <c r="H109" s="25"/>
      <c r="I109" s="25"/>
      <c r="J109" s="24"/>
      <c r="K109" s="24"/>
      <c r="L109" s="22"/>
    </row>
    <row r="110" spans="1:12">
      <c r="A110" s="22"/>
      <c r="B110" s="23"/>
      <c r="C110" s="22"/>
      <c r="D110" s="22"/>
      <c r="E110" s="22"/>
      <c r="F110" s="24"/>
      <c r="G110" s="24"/>
      <c r="H110" s="25"/>
      <c r="I110" s="25"/>
      <c r="J110" s="24"/>
      <c r="K110" s="24"/>
      <c r="L110" s="22"/>
    </row>
    <row r="111" spans="1:12">
      <c r="A111" s="22"/>
      <c r="B111" s="23"/>
      <c r="C111" s="22"/>
      <c r="D111" s="22"/>
      <c r="E111" s="22"/>
      <c r="F111" s="24"/>
      <c r="G111" s="24"/>
      <c r="H111" s="25"/>
      <c r="I111" s="25"/>
      <c r="J111" s="24"/>
      <c r="K111" s="24"/>
      <c r="L111" s="22"/>
    </row>
    <row r="112" spans="1:12">
      <c r="A112" s="22"/>
      <c r="B112" s="23"/>
      <c r="C112" s="22"/>
      <c r="D112" s="22"/>
      <c r="E112" s="22"/>
      <c r="F112" s="24"/>
      <c r="G112" s="24"/>
      <c r="H112" s="25"/>
      <c r="I112" s="25"/>
      <c r="J112" s="24"/>
      <c r="K112" s="24"/>
      <c r="L112" s="22"/>
    </row>
    <row r="113" spans="1:22">
      <c r="A113" s="22"/>
      <c r="B113" s="23"/>
      <c r="C113" s="22"/>
      <c r="D113" s="22"/>
      <c r="E113" s="22"/>
      <c r="F113" s="24"/>
      <c r="G113" s="24"/>
      <c r="H113" s="25"/>
      <c r="I113" s="25"/>
      <c r="J113" s="24"/>
      <c r="K113" s="24"/>
      <c r="L113" s="22"/>
    </row>
    <row r="114" spans="1:22">
      <c r="A114" s="22"/>
      <c r="B114" s="23"/>
      <c r="C114" s="22"/>
      <c r="D114" s="22"/>
      <c r="E114" s="22"/>
      <c r="F114" s="24"/>
      <c r="G114" s="24"/>
      <c r="H114" s="25"/>
      <c r="I114" s="25"/>
      <c r="J114" s="24"/>
      <c r="K114" s="24"/>
      <c r="L114" s="22"/>
    </row>
    <row r="115" spans="1:22">
      <c r="A115" s="22"/>
      <c r="B115" s="23"/>
      <c r="C115" s="22"/>
      <c r="D115" s="22"/>
      <c r="E115" s="22"/>
      <c r="F115" s="24"/>
      <c r="G115" s="24"/>
      <c r="H115" s="25"/>
      <c r="I115" s="25"/>
      <c r="J115" s="24"/>
      <c r="K115" s="24"/>
      <c r="L115" s="22"/>
    </row>
    <row r="116" spans="1:22">
      <c r="A116" s="22"/>
      <c r="B116" s="23"/>
      <c r="C116" s="22"/>
      <c r="D116" s="22"/>
      <c r="E116" s="22"/>
      <c r="F116" s="24"/>
      <c r="G116" s="24"/>
      <c r="H116" s="25"/>
      <c r="I116" s="25"/>
      <c r="J116" s="24"/>
      <c r="K116" s="24"/>
      <c r="L116" s="22"/>
    </row>
    <row r="117" spans="1:22">
      <c r="A117" s="22"/>
      <c r="B117" s="23"/>
      <c r="C117" s="22"/>
      <c r="D117" s="22"/>
      <c r="E117" s="22"/>
      <c r="F117" s="24"/>
      <c r="G117" s="24"/>
      <c r="H117" s="25"/>
      <c r="I117" s="25"/>
      <c r="J117" s="24"/>
      <c r="K117" s="24"/>
      <c r="L117" s="22"/>
    </row>
    <row r="118" spans="1:22">
      <c r="A118" s="22"/>
      <c r="B118" s="23"/>
      <c r="C118" s="22"/>
      <c r="D118" s="22"/>
      <c r="E118" s="22"/>
      <c r="F118" s="24"/>
      <c r="G118" s="24"/>
      <c r="H118" s="25"/>
      <c r="I118" s="25"/>
      <c r="J118" s="24"/>
      <c r="K118" s="24"/>
      <c r="L118" s="22"/>
    </row>
    <row r="119" spans="1:22">
      <c r="A119" s="22"/>
      <c r="B119" s="23"/>
      <c r="C119" s="22"/>
      <c r="D119" s="22"/>
      <c r="E119" s="22"/>
      <c r="F119" s="24"/>
      <c r="G119" s="24"/>
      <c r="H119" s="25"/>
      <c r="I119" s="25"/>
      <c r="J119" s="24"/>
      <c r="K119" s="24"/>
      <c r="L119" s="22"/>
    </row>
    <row r="120" spans="1:22">
      <c r="A120" s="22"/>
      <c r="B120" s="23"/>
      <c r="C120" s="22"/>
      <c r="D120" s="22"/>
      <c r="E120" s="22"/>
      <c r="F120" s="24"/>
      <c r="G120" s="24"/>
      <c r="H120" s="25"/>
      <c r="I120" s="25"/>
      <c r="J120" s="24"/>
      <c r="K120" s="24"/>
      <c r="L120" s="22"/>
      <c r="M120" s="26"/>
      <c r="N120" s="27"/>
      <c r="O120" s="27"/>
      <c r="P120" s="27"/>
      <c r="R120" s="28"/>
      <c r="S120" s="28"/>
      <c r="T120" s="29"/>
      <c r="U120" s="29"/>
      <c r="V120" s="27"/>
    </row>
    <row r="121" spans="1:22">
      <c r="A121" s="22"/>
      <c r="B121" s="23"/>
      <c r="C121" s="22"/>
      <c r="D121" s="22"/>
      <c r="E121" s="22"/>
      <c r="F121" s="24"/>
      <c r="G121" s="24"/>
      <c r="H121" s="25"/>
      <c r="I121" s="25"/>
      <c r="J121" s="24"/>
      <c r="K121" s="24"/>
      <c r="L121" s="22"/>
    </row>
    <row r="122" spans="1:22">
      <c r="A122" s="22"/>
      <c r="B122" s="23"/>
      <c r="C122" s="22"/>
      <c r="D122" s="22"/>
      <c r="E122" s="22"/>
      <c r="F122" s="24"/>
      <c r="G122" s="24"/>
      <c r="H122" s="25"/>
      <c r="I122" s="25"/>
      <c r="J122" s="24"/>
      <c r="K122" s="24"/>
      <c r="L122" s="22"/>
    </row>
    <row r="123" spans="1:22">
      <c r="A123" s="22"/>
      <c r="B123" s="23"/>
      <c r="C123" s="22"/>
      <c r="D123" s="22"/>
      <c r="E123" s="22"/>
      <c r="F123" s="24"/>
      <c r="G123" s="24"/>
      <c r="H123" s="25"/>
      <c r="I123" s="25"/>
      <c r="J123" s="24"/>
      <c r="K123" s="24"/>
      <c r="L123" s="22"/>
    </row>
    <row r="124" spans="1:22">
      <c r="A124" s="22"/>
      <c r="B124" s="23"/>
      <c r="C124" s="22"/>
      <c r="D124" s="22"/>
      <c r="E124" s="22"/>
      <c r="F124" s="24"/>
      <c r="G124" s="24"/>
      <c r="H124" s="25"/>
      <c r="I124" s="25"/>
      <c r="J124" s="24"/>
      <c r="K124" s="24"/>
      <c r="L124" s="22"/>
    </row>
    <row r="125" spans="1:22">
      <c r="A125" s="22"/>
      <c r="B125" s="23"/>
      <c r="C125" s="22"/>
      <c r="D125" s="22"/>
      <c r="E125" s="22"/>
      <c r="F125" s="24"/>
      <c r="G125" s="24"/>
      <c r="H125" s="25"/>
      <c r="I125" s="25"/>
      <c r="J125" s="24"/>
      <c r="K125" s="24"/>
      <c r="L125" s="22"/>
    </row>
    <row r="126" spans="1:22">
      <c r="A126" s="22"/>
      <c r="B126" s="23"/>
      <c r="C126" s="22"/>
      <c r="D126" s="22"/>
      <c r="E126" s="22"/>
      <c r="F126" s="24"/>
      <c r="G126" s="24"/>
      <c r="H126" s="25"/>
      <c r="I126" s="25"/>
      <c r="J126" s="24"/>
      <c r="K126" s="24"/>
      <c r="L126" s="22"/>
    </row>
    <row r="127" spans="1:22">
      <c r="A127" s="22"/>
      <c r="B127" s="23"/>
      <c r="C127" s="22"/>
      <c r="D127" s="22"/>
      <c r="E127" s="22"/>
      <c r="F127" s="24"/>
      <c r="G127" s="24"/>
      <c r="H127" s="25"/>
      <c r="I127" s="25"/>
      <c r="J127" s="24"/>
      <c r="K127" s="24"/>
      <c r="L127" s="22"/>
    </row>
    <row r="128" spans="1:22">
      <c r="A128" s="22"/>
      <c r="B128" s="23"/>
      <c r="C128" s="22"/>
      <c r="D128" s="22"/>
      <c r="E128" s="22"/>
      <c r="F128" s="24"/>
      <c r="G128" s="24"/>
      <c r="H128" s="25"/>
      <c r="I128" s="25"/>
      <c r="J128" s="24"/>
      <c r="K128" s="24"/>
      <c r="L128" s="22"/>
    </row>
    <row r="129" spans="1:12">
      <c r="A129" s="22"/>
      <c r="B129" s="23"/>
      <c r="C129" s="22"/>
      <c r="D129" s="22"/>
      <c r="E129" s="22"/>
      <c r="F129" s="24"/>
      <c r="G129" s="24"/>
      <c r="H129" s="25"/>
      <c r="I129" s="25"/>
      <c r="J129" s="24"/>
      <c r="K129" s="24"/>
      <c r="L129" s="22"/>
    </row>
    <row r="130" spans="1:12">
      <c r="A130" s="22"/>
      <c r="B130" s="23"/>
      <c r="C130" s="22"/>
      <c r="D130" s="22"/>
      <c r="E130" s="22"/>
      <c r="F130" s="24"/>
      <c r="G130" s="24"/>
      <c r="H130" s="25"/>
      <c r="I130" s="25"/>
      <c r="J130" s="24"/>
      <c r="K130" s="24"/>
      <c r="L130" s="22"/>
    </row>
    <row r="131" spans="1:12">
      <c r="A131" s="22"/>
      <c r="B131" s="23"/>
      <c r="C131" s="22"/>
      <c r="D131" s="22"/>
      <c r="E131" s="22"/>
      <c r="F131" s="24"/>
      <c r="G131" s="24"/>
      <c r="H131" s="25"/>
      <c r="I131" s="25"/>
      <c r="J131" s="24"/>
      <c r="K131" s="24"/>
      <c r="L131" s="22"/>
    </row>
    <row r="132" spans="1:12">
      <c r="A132" s="22"/>
      <c r="B132" s="23"/>
      <c r="C132" s="22"/>
      <c r="D132" s="22"/>
      <c r="E132" s="22"/>
      <c r="F132" s="24"/>
      <c r="G132" s="24"/>
      <c r="H132" s="25"/>
      <c r="I132" s="25"/>
      <c r="J132" s="24"/>
      <c r="K132" s="24"/>
      <c r="L132" s="22"/>
    </row>
    <row r="133" spans="1:12">
      <c r="A133" s="22"/>
      <c r="B133" s="23"/>
      <c r="C133" s="22"/>
      <c r="D133" s="22"/>
      <c r="E133" s="22"/>
      <c r="F133" s="24"/>
      <c r="G133" s="24"/>
      <c r="H133" s="25"/>
      <c r="I133" s="25"/>
      <c r="J133" s="24"/>
      <c r="K133" s="24"/>
      <c r="L133" s="22"/>
    </row>
    <row r="134" spans="1:12">
      <c r="A134" s="22"/>
      <c r="B134" s="23"/>
      <c r="C134" s="22"/>
      <c r="D134" s="22"/>
      <c r="E134" s="22"/>
      <c r="F134" s="24"/>
      <c r="G134" s="24"/>
      <c r="H134" s="25"/>
      <c r="I134" s="25"/>
      <c r="J134" s="24"/>
      <c r="K134" s="24"/>
      <c r="L134" s="22"/>
    </row>
    <row r="135" spans="1:12">
      <c r="A135" s="22"/>
      <c r="B135" s="23"/>
      <c r="C135" s="22"/>
      <c r="D135" s="22"/>
      <c r="E135" s="22"/>
      <c r="F135" s="24"/>
      <c r="G135" s="24"/>
      <c r="H135" s="25"/>
      <c r="I135" s="25"/>
      <c r="J135" s="24"/>
      <c r="K135" s="24"/>
      <c r="L135" s="22"/>
    </row>
    <row r="136" spans="1:12">
      <c r="A136" s="22"/>
      <c r="B136" s="23"/>
      <c r="C136" s="22"/>
      <c r="D136" s="22"/>
      <c r="E136" s="22"/>
      <c r="F136" s="24"/>
      <c r="G136" s="24"/>
      <c r="H136" s="25"/>
      <c r="I136" s="25"/>
      <c r="J136" s="24"/>
      <c r="K136" s="24"/>
      <c r="L136" s="22"/>
    </row>
    <row r="137" spans="1:12">
      <c r="A137" s="22"/>
      <c r="B137" s="23"/>
      <c r="C137" s="22"/>
      <c r="D137" s="22"/>
      <c r="E137" s="22"/>
      <c r="F137" s="24"/>
      <c r="G137" s="24"/>
      <c r="H137" s="25"/>
      <c r="I137" s="25"/>
      <c r="J137" s="24"/>
      <c r="K137" s="24"/>
      <c r="L137" s="22"/>
    </row>
    <row r="138" spans="1:12">
      <c r="A138" s="22"/>
      <c r="B138" s="23"/>
      <c r="C138" s="22"/>
      <c r="D138" s="22"/>
      <c r="E138" s="22"/>
      <c r="F138" s="24"/>
      <c r="G138" s="24"/>
      <c r="H138" s="25"/>
      <c r="I138" s="25"/>
      <c r="J138" s="24"/>
      <c r="K138" s="24"/>
      <c r="L138" s="22"/>
    </row>
    <row r="139" spans="1:12">
      <c r="A139" s="22"/>
      <c r="B139" s="23"/>
      <c r="C139" s="22"/>
      <c r="D139" s="22"/>
      <c r="E139" s="22"/>
      <c r="F139" s="24"/>
      <c r="G139" s="24"/>
      <c r="H139" s="25"/>
      <c r="I139" s="25"/>
      <c r="J139" s="24"/>
      <c r="K139" s="24"/>
      <c r="L139" s="22"/>
    </row>
    <row r="140" spans="1:12">
      <c r="A140" s="22"/>
      <c r="B140" s="23"/>
      <c r="C140" s="22"/>
      <c r="D140" s="22"/>
      <c r="E140" s="22"/>
      <c r="F140" s="24"/>
      <c r="G140" s="24"/>
      <c r="H140" s="25"/>
      <c r="I140" s="25"/>
      <c r="J140" s="24"/>
      <c r="K140" s="24"/>
      <c r="L140" s="22"/>
    </row>
    <row r="141" spans="1:12">
      <c r="A141" s="22"/>
      <c r="B141" s="23"/>
      <c r="C141" s="22"/>
      <c r="D141" s="22"/>
      <c r="E141" s="22"/>
      <c r="F141" s="24"/>
      <c r="G141" s="24"/>
      <c r="H141" s="25"/>
      <c r="I141" s="25"/>
      <c r="J141" s="24"/>
      <c r="K141" s="24"/>
      <c r="L141" s="22"/>
    </row>
    <row r="142" spans="1:12">
      <c r="A142" s="22"/>
      <c r="B142" s="23"/>
      <c r="C142" s="22"/>
      <c r="D142" s="22"/>
      <c r="E142" s="22"/>
      <c r="F142" s="24"/>
      <c r="G142" s="24"/>
      <c r="H142" s="25"/>
      <c r="I142" s="25"/>
      <c r="J142" s="24"/>
      <c r="K142" s="24"/>
      <c r="L142" s="22"/>
    </row>
    <row r="143" spans="1:12">
      <c r="A143" s="22"/>
      <c r="B143" s="23"/>
      <c r="C143" s="22"/>
      <c r="D143" s="22"/>
      <c r="E143" s="22"/>
      <c r="F143" s="24"/>
      <c r="G143" s="24"/>
      <c r="H143" s="25"/>
      <c r="I143" s="25"/>
      <c r="J143" s="24"/>
      <c r="K143" s="24"/>
      <c r="L143" s="22"/>
    </row>
    <row r="144" spans="1:12">
      <c r="A144" s="22"/>
      <c r="B144" s="23"/>
      <c r="C144" s="22"/>
      <c r="D144" s="22"/>
      <c r="E144" s="22"/>
      <c r="F144" s="24"/>
      <c r="G144" s="24"/>
      <c r="H144" s="25"/>
      <c r="I144" s="25"/>
      <c r="J144" s="24"/>
      <c r="K144" s="24"/>
      <c r="L144" s="22"/>
    </row>
    <row r="145" spans="1:12">
      <c r="A145" s="22"/>
      <c r="B145" s="23"/>
      <c r="C145" s="22"/>
      <c r="D145" s="22"/>
      <c r="E145" s="22"/>
      <c r="F145" s="24"/>
      <c r="G145" s="24"/>
      <c r="H145" s="25"/>
      <c r="I145" s="25"/>
      <c r="J145" s="24"/>
      <c r="K145" s="24"/>
      <c r="L145" s="22"/>
    </row>
    <row r="146" spans="1:12">
      <c r="A146" s="22"/>
      <c r="B146" s="23"/>
      <c r="C146" s="22"/>
      <c r="D146" s="22"/>
      <c r="E146" s="22"/>
      <c r="F146" s="24"/>
      <c r="G146" s="24"/>
      <c r="H146" s="25"/>
      <c r="I146" s="25"/>
      <c r="J146" s="24"/>
      <c r="K146" s="24"/>
      <c r="L146" s="22"/>
    </row>
    <row r="147" spans="1:12">
      <c r="A147" s="22"/>
      <c r="B147" s="23"/>
      <c r="C147" s="22"/>
      <c r="D147" s="22"/>
      <c r="E147" s="22"/>
      <c r="F147" s="24"/>
      <c r="G147" s="24"/>
      <c r="H147" s="25"/>
      <c r="I147" s="25"/>
      <c r="J147" s="24"/>
      <c r="K147" s="24"/>
      <c r="L147" s="22"/>
    </row>
    <row r="148" spans="1:12">
      <c r="A148" s="22"/>
      <c r="B148" s="23"/>
      <c r="C148" s="22"/>
      <c r="D148" s="22"/>
      <c r="E148" s="22"/>
      <c r="F148" s="24"/>
      <c r="G148" s="24"/>
      <c r="H148" s="25"/>
      <c r="I148" s="25"/>
      <c r="J148" s="24"/>
      <c r="K148" s="24"/>
      <c r="L148" s="22"/>
    </row>
    <row r="149" spans="1:12">
      <c r="A149" s="22"/>
      <c r="B149" s="23"/>
      <c r="C149" s="22"/>
      <c r="D149" s="22"/>
      <c r="E149" s="22"/>
      <c r="F149" s="24"/>
      <c r="G149" s="24"/>
      <c r="H149" s="25"/>
      <c r="I149" s="25"/>
      <c r="J149" s="24"/>
      <c r="K149" s="24"/>
      <c r="L149" s="22"/>
    </row>
    <row r="150" spans="1:12">
      <c r="A150" s="22"/>
      <c r="B150" s="23"/>
      <c r="C150" s="22"/>
      <c r="D150" s="22"/>
      <c r="E150" s="22"/>
      <c r="F150" s="24"/>
      <c r="G150" s="24"/>
      <c r="H150" s="25"/>
      <c r="I150" s="25"/>
      <c r="J150" s="24"/>
      <c r="K150" s="24"/>
      <c r="L150" s="22"/>
    </row>
    <row r="151" spans="1:12">
      <c r="A151" s="22"/>
      <c r="B151" s="23"/>
      <c r="C151" s="22"/>
      <c r="D151" s="22"/>
      <c r="E151" s="22"/>
      <c r="F151" s="24"/>
      <c r="G151" s="24"/>
      <c r="H151" s="25"/>
      <c r="I151" s="25"/>
      <c r="J151" s="24"/>
      <c r="K151" s="24"/>
      <c r="L151" s="22"/>
    </row>
    <row r="152" spans="1:12">
      <c r="A152" s="22"/>
      <c r="B152" s="23"/>
      <c r="C152" s="22"/>
      <c r="D152" s="22"/>
      <c r="E152" s="22"/>
      <c r="F152" s="24"/>
      <c r="G152" s="24"/>
      <c r="H152" s="25"/>
      <c r="I152" s="25"/>
      <c r="J152" s="24"/>
      <c r="K152" s="24"/>
      <c r="L152" s="22"/>
    </row>
    <row r="153" spans="1:12">
      <c r="A153" s="22"/>
      <c r="B153" s="23"/>
      <c r="C153" s="22"/>
      <c r="D153" s="22"/>
      <c r="E153" s="22"/>
      <c r="F153" s="24"/>
      <c r="G153" s="24"/>
      <c r="H153" s="25"/>
      <c r="I153" s="25"/>
      <c r="J153" s="24"/>
      <c r="K153" s="24"/>
      <c r="L153" s="22"/>
    </row>
    <row r="154" spans="1:12">
      <c r="A154" s="22"/>
      <c r="B154" s="23"/>
      <c r="C154" s="22"/>
      <c r="D154" s="22"/>
      <c r="E154" s="22"/>
      <c r="F154" s="24"/>
      <c r="G154" s="24"/>
      <c r="H154" s="25"/>
      <c r="I154" s="25"/>
      <c r="J154" s="24"/>
      <c r="K154" s="24"/>
      <c r="L154" s="22"/>
    </row>
    <row r="155" spans="1:12">
      <c r="A155" s="22"/>
      <c r="B155" s="23"/>
      <c r="C155" s="22"/>
      <c r="D155" s="22"/>
      <c r="E155" s="22"/>
      <c r="F155" s="24"/>
      <c r="G155" s="24"/>
      <c r="H155" s="25"/>
      <c r="I155" s="25"/>
      <c r="J155" s="24"/>
      <c r="K155" s="24"/>
      <c r="L155" s="22"/>
    </row>
    <row r="156" spans="1:12">
      <c r="A156" s="22"/>
      <c r="B156" s="23"/>
      <c r="C156" s="22"/>
      <c r="D156" s="22"/>
      <c r="E156" s="22"/>
      <c r="F156" s="24"/>
      <c r="G156" s="24"/>
      <c r="H156" s="25"/>
      <c r="I156" s="25"/>
      <c r="J156" s="24"/>
      <c r="K156" s="24"/>
      <c r="L156" s="22"/>
    </row>
    <row r="157" spans="1:12">
      <c r="A157" s="22"/>
      <c r="B157" s="23"/>
      <c r="C157" s="22"/>
      <c r="D157" s="22"/>
      <c r="E157" s="22"/>
      <c r="F157" s="24"/>
      <c r="G157" s="24"/>
      <c r="H157" s="25"/>
      <c r="I157" s="25"/>
      <c r="J157" s="24"/>
      <c r="K157" s="24"/>
      <c r="L157" s="22"/>
    </row>
    <row r="158" spans="1:12">
      <c r="A158" s="22"/>
      <c r="B158" s="23"/>
      <c r="C158" s="22"/>
      <c r="D158" s="22"/>
      <c r="E158" s="22"/>
      <c r="F158" s="24"/>
      <c r="G158" s="24"/>
      <c r="H158" s="25"/>
      <c r="I158" s="25"/>
      <c r="J158" s="24"/>
      <c r="K158" s="24"/>
      <c r="L158" s="22"/>
    </row>
    <row r="159" spans="1:12">
      <c r="A159" s="22"/>
      <c r="B159" s="23"/>
      <c r="C159" s="22"/>
      <c r="D159" s="22"/>
      <c r="E159" s="22"/>
      <c r="F159" s="24"/>
      <c r="G159" s="24"/>
      <c r="H159" s="25"/>
      <c r="I159" s="25"/>
      <c r="J159" s="24"/>
      <c r="K159" s="24"/>
      <c r="L159" s="22"/>
    </row>
    <row r="160" spans="1:12">
      <c r="A160" s="22"/>
      <c r="B160" s="23"/>
      <c r="C160" s="22"/>
      <c r="D160" s="22"/>
      <c r="E160" s="22"/>
      <c r="F160" s="24"/>
      <c r="G160" s="24"/>
      <c r="H160" s="25"/>
      <c r="I160" s="25"/>
      <c r="J160" s="24"/>
      <c r="K160" s="24"/>
      <c r="L160" s="22"/>
    </row>
    <row r="161" spans="1:12">
      <c r="A161" s="22"/>
      <c r="B161" s="23"/>
      <c r="C161" s="22"/>
      <c r="D161" s="22"/>
      <c r="E161" s="22"/>
      <c r="F161" s="24"/>
      <c r="G161" s="24"/>
      <c r="H161" s="25"/>
      <c r="I161" s="25"/>
      <c r="J161" s="24"/>
      <c r="K161" s="24"/>
      <c r="L161" s="22"/>
    </row>
    <row r="162" spans="1:12">
      <c r="A162" s="22"/>
      <c r="B162" s="23"/>
      <c r="C162" s="22"/>
      <c r="D162" s="22"/>
      <c r="E162" s="22"/>
      <c r="F162" s="24"/>
      <c r="G162" s="24"/>
      <c r="H162" s="25"/>
      <c r="I162" s="25"/>
      <c r="J162" s="24"/>
      <c r="K162" s="24"/>
      <c r="L162" s="22"/>
    </row>
    <row r="163" spans="1:12">
      <c r="A163" s="22"/>
      <c r="B163" s="23"/>
      <c r="C163" s="22"/>
      <c r="D163" s="22"/>
      <c r="E163" s="22"/>
      <c r="F163" s="24"/>
      <c r="G163" s="24"/>
      <c r="H163" s="25"/>
      <c r="I163" s="25"/>
      <c r="J163" s="24"/>
      <c r="K163" s="24"/>
      <c r="L163" s="22"/>
    </row>
    <row r="164" spans="1:12">
      <c r="A164" s="22"/>
      <c r="B164" s="23"/>
      <c r="C164" s="22"/>
      <c r="D164" s="22"/>
      <c r="E164" s="22"/>
      <c r="F164" s="24"/>
      <c r="G164" s="24"/>
      <c r="H164" s="25"/>
      <c r="I164" s="25"/>
      <c r="J164" s="24"/>
      <c r="K164" s="24"/>
      <c r="L164" s="22"/>
    </row>
    <row r="165" spans="1:12">
      <c r="A165" s="22"/>
      <c r="B165" s="23"/>
      <c r="C165" s="22"/>
      <c r="D165" s="22"/>
      <c r="E165" s="22"/>
      <c r="F165" s="24"/>
      <c r="G165" s="24"/>
      <c r="H165" s="25"/>
      <c r="I165" s="25"/>
      <c r="J165" s="24"/>
      <c r="K165" s="24"/>
      <c r="L165" s="22"/>
    </row>
    <row r="166" spans="1:12">
      <c r="A166" s="22"/>
      <c r="B166" s="23"/>
      <c r="C166" s="22"/>
      <c r="D166" s="22"/>
      <c r="E166" s="22"/>
      <c r="F166" s="24"/>
      <c r="G166" s="24"/>
      <c r="H166" s="25"/>
      <c r="I166" s="25"/>
      <c r="J166" s="24"/>
      <c r="K166" s="24"/>
      <c r="L166" s="22"/>
    </row>
    <row r="167" spans="1:12">
      <c r="A167" s="22"/>
      <c r="B167" s="23"/>
      <c r="C167" s="22"/>
      <c r="D167" s="22"/>
      <c r="E167" s="22"/>
      <c r="F167" s="24"/>
      <c r="G167" s="24"/>
      <c r="H167" s="25"/>
      <c r="I167" s="25"/>
      <c r="J167" s="24"/>
      <c r="K167" s="24"/>
      <c r="L167" s="22"/>
    </row>
    <row r="168" spans="1:12">
      <c r="A168" s="22"/>
      <c r="B168" s="23"/>
      <c r="C168" s="22"/>
      <c r="D168" s="22"/>
      <c r="E168" s="22"/>
      <c r="F168" s="24"/>
      <c r="G168" s="24"/>
      <c r="H168" s="25"/>
      <c r="I168" s="25"/>
      <c r="J168" s="24"/>
      <c r="K168" s="24"/>
      <c r="L168" s="22"/>
    </row>
    <row r="169" spans="1:12">
      <c r="A169" s="22"/>
      <c r="B169" s="23"/>
      <c r="C169" s="22"/>
      <c r="D169" s="22"/>
      <c r="E169" s="22"/>
      <c r="F169" s="24"/>
      <c r="G169" s="24"/>
      <c r="H169" s="25"/>
      <c r="I169" s="25"/>
      <c r="J169" s="24"/>
      <c r="K169" s="24"/>
      <c r="L169" s="22"/>
    </row>
    <row r="170" spans="1:12">
      <c r="A170" s="22"/>
      <c r="B170" s="23"/>
      <c r="C170" s="22"/>
      <c r="D170" s="22"/>
      <c r="E170" s="22"/>
      <c r="F170" s="24"/>
      <c r="G170" s="24"/>
      <c r="H170" s="25"/>
      <c r="I170" s="25"/>
      <c r="J170" s="24"/>
      <c r="K170" s="24"/>
      <c r="L170" s="22"/>
    </row>
    <row r="171" spans="1:12">
      <c r="A171" s="22"/>
      <c r="B171" s="23"/>
      <c r="C171" s="22"/>
      <c r="D171" s="22"/>
      <c r="E171" s="22"/>
      <c r="F171" s="24"/>
      <c r="G171" s="24"/>
      <c r="H171" s="25"/>
      <c r="I171" s="25"/>
      <c r="J171" s="24"/>
      <c r="K171" s="24"/>
      <c r="L171" s="22"/>
    </row>
    <row r="172" spans="1:12">
      <c r="A172" s="22"/>
      <c r="B172" s="23"/>
      <c r="C172" s="22"/>
      <c r="D172" s="22"/>
      <c r="E172" s="22"/>
      <c r="F172" s="24"/>
      <c r="G172" s="24"/>
      <c r="H172" s="25"/>
      <c r="I172" s="25"/>
      <c r="J172" s="24"/>
      <c r="K172" s="24"/>
      <c r="L172" s="22"/>
    </row>
    <row r="173" spans="1:12">
      <c r="A173" s="22"/>
      <c r="B173" s="23"/>
      <c r="C173" s="22"/>
      <c r="D173" s="22"/>
      <c r="E173" s="22"/>
      <c r="F173" s="24"/>
      <c r="G173" s="24"/>
      <c r="H173" s="25"/>
      <c r="I173" s="25"/>
      <c r="J173" s="24"/>
      <c r="K173" s="24"/>
      <c r="L173" s="22"/>
    </row>
    <row r="174" spans="1:12">
      <c r="A174" s="22"/>
      <c r="B174" s="23"/>
      <c r="C174" s="22"/>
      <c r="D174" s="22"/>
      <c r="E174" s="22"/>
      <c r="F174" s="24"/>
      <c r="G174" s="24"/>
      <c r="H174" s="25"/>
      <c r="I174" s="25"/>
      <c r="J174" s="24"/>
      <c r="K174" s="24"/>
      <c r="L174" s="22"/>
    </row>
    <row r="175" spans="1:12">
      <c r="A175" s="22"/>
      <c r="B175" s="23"/>
      <c r="C175" s="22"/>
      <c r="D175" s="22"/>
      <c r="E175" s="22"/>
      <c r="F175" s="24"/>
      <c r="G175" s="24"/>
      <c r="H175" s="25"/>
      <c r="I175" s="25"/>
      <c r="J175" s="24"/>
      <c r="K175" s="24"/>
      <c r="L175" s="22"/>
    </row>
    <row r="176" spans="1:12">
      <c r="A176" s="22"/>
      <c r="B176" s="23"/>
      <c r="C176" s="22"/>
      <c r="D176" s="22"/>
      <c r="E176" s="22"/>
      <c r="F176" s="24"/>
      <c r="G176" s="24"/>
      <c r="H176" s="25"/>
      <c r="I176" s="25"/>
      <c r="J176" s="24"/>
      <c r="K176" s="24"/>
      <c r="L176" s="22"/>
    </row>
    <row r="177" spans="1:12">
      <c r="A177" s="22"/>
      <c r="B177" s="23"/>
      <c r="C177" s="22"/>
      <c r="D177" s="22"/>
      <c r="E177" s="22"/>
      <c r="F177" s="24"/>
      <c r="G177" s="24"/>
      <c r="H177" s="25"/>
      <c r="I177" s="25"/>
      <c r="J177" s="24"/>
      <c r="K177" s="24"/>
      <c r="L177" s="22"/>
    </row>
    <row r="178" spans="1:12">
      <c r="A178" s="22"/>
      <c r="B178" s="23"/>
      <c r="C178" s="22"/>
      <c r="D178" s="22"/>
      <c r="E178" s="22"/>
      <c r="F178" s="24"/>
      <c r="G178" s="24"/>
      <c r="H178" s="25"/>
      <c r="I178" s="25"/>
      <c r="J178" s="24"/>
      <c r="K178" s="24"/>
      <c r="L178" s="22"/>
    </row>
    <row r="179" spans="1:12">
      <c r="A179" s="22"/>
      <c r="B179" s="23"/>
      <c r="C179" s="22"/>
      <c r="D179" s="22"/>
      <c r="E179" s="22"/>
      <c r="F179" s="24"/>
      <c r="G179" s="24"/>
      <c r="H179" s="25"/>
      <c r="I179" s="25"/>
      <c r="J179" s="24"/>
      <c r="K179" s="24"/>
      <c r="L179" s="22"/>
    </row>
    <row r="180" spans="1:12">
      <c r="A180" s="22"/>
      <c r="B180" s="23"/>
      <c r="C180" s="22"/>
      <c r="D180" s="22"/>
      <c r="E180" s="22"/>
      <c r="F180" s="24"/>
      <c r="G180" s="24"/>
      <c r="H180" s="25"/>
      <c r="I180" s="25"/>
      <c r="J180" s="24"/>
      <c r="K180" s="24"/>
      <c r="L180" s="22"/>
    </row>
    <row r="181" spans="1:12">
      <c r="A181" s="22"/>
      <c r="B181" s="23"/>
      <c r="C181" s="22"/>
      <c r="D181" s="22"/>
      <c r="E181" s="22"/>
      <c r="F181" s="24"/>
      <c r="G181" s="24"/>
      <c r="H181" s="25"/>
      <c r="I181" s="25"/>
      <c r="J181" s="24"/>
      <c r="K181" s="24"/>
      <c r="L181" s="22"/>
    </row>
    <row r="182" spans="1:12">
      <c r="A182" s="22"/>
      <c r="B182" s="23"/>
      <c r="C182" s="22"/>
      <c r="D182" s="22"/>
      <c r="E182" s="22"/>
      <c r="F182" s="24"/>
      <c r="G182" s="24"/>
      <c r="H182" s="25"/>
      <c r="I182" s="25"/>
      <c r="J182" s="24"/>
      <c r="K182" s="24"/>
      <c r="L182" s="22"/>
    </row>
    <row r="183" spans="1:12">
      <c r="A183" s="22"/>
      <c r="B183" s="23"/>
      <c r="C183" s="22"/>
      <c r="D183" s="22"/>
      <c r="E183" s="22"/>
      <c r="F183" s="24"/>
      <c r="G183" s="24"/>
      <c r="H183" s="25"/>
      <c r="I183" s="25"/>
      <c r="J183" s="24"/>
      <c r="K183" s="24"/>
      <c r="L183" s="22"/>
    </row>
    <row r="184" spans="1:12">
      <c r="A184" s="22"/>
      <c r="B184" s="23"/>
      <c r="C184" s="22"/>
      <c r="D184" s="22"/>
      <c r="E184" s="22"/>
      <c r="F184" s="24"/>
      <c r="G184" s="24"/>
      <c r="H184" s="25"/>
      <c r="I184" s="25"/>
      <c r="J184" s="24"/>
      <c r="K184" s="24"/>
      <c r="L184" s="22"/>
    </row>
    <row r="185" spans="1:12">
      <c r="A185" s="22"/>
      <c r="B185" s="23"/>
      <c r="C185" s="22"/>
      <c r="D185" s="22"/>
      <c r="E185" s="22"/>
      <c r="F185" s="24"/>
      <c r="G185" s="24"/>
      <c r="H185" s="25"/>
      <c r="I185" s="25"/>
      <c r="J185" s="24"/>
      <c r="K185" s="24"/>
      <c r="L185" s="22"/>
    </row>
    <row r="186" spans="1:12">
      <c r="A186" s="22"/>
      <c r="B186" s="23"/>
      <c r="C186" s="22"/>
      <c r="D186" s="22"/>
      <c r="E186" s="22"/>
      <c r="F186" s="24"/>
      <c r="G186" s="24"/>
      <c r="H186" s="25"/>
      <c r="I186" s="25"/>
      <c r="J186" s="24"/>
      <c r="K186" s="24"/>
      <c r="L186" s="22"/>
    </row>
    <row r="187" spans="1:12">
      <c r="A187" s="22"/>
      <c r="B187" s="23"/>
      <c r="C187" s="22"/>
      <c r="D187" s="22"/>
      <c r="E187" s="22"/>
      <c r="F187" s="24"/>
      <c r="G187" s="24"/>
      <c r="H187" s="25"/>
      <c r="I187" s="25"/>
      <c r="J187" s="24"/>
      <c r="K187" s="24"/>
      <c r="L187" s="22"/>
    </row>
    <row r="188" spans="1:12">
      <c r="A188" s="22"/>
      <c r="B188" s="23"/>
      <c r="C188" s="22"/>
      <c r="D188" s="22"/>
      <c r="E188" s="22"/>
      <c r="F188" s="24"/>
      <c r="G188" s="24"/>
      <c r="H188" s="25"/>
      <c r="I188" s="25"/>
      <c r="J188" s="24"/>
      <c r="K188" s="24"/>
      <c r="L188" s="22"/>
    </row>
    <row r="189" spans="1:12">
      <c r="A189" s="22"/>
      <c r="B189" s="23"/>
      <c r="C189" s="22"/>
      <c r="D189" s="22"/>
      <c r="E189" s="22"/>
      <c r="F189" s="24"/>
      <c r="G189" s="24"/>
      <c r="H189" s="25"/>
      <c r="I189" s="25"/>
      <c r="J189" s="24"/>
      <c r="K189" s="24"/>
      <c r="L189" s="22"/>
    </row>
    <row r="190" spans="1:12">
      <c r="A190" s="22"/>
      <c r="B190" s="23"/>
      <c r="C190" s="22"/>
      <c r="D190" s="22"/>
      <c r="E190" s="22"/>
      <c r="F190" s="24"/>
      <c r="G190" s="24"/>
      <c r="H190" s="25"/>
      <c r="I190" s="25"/>
      <c r="J190" s="24"/>
      <c r="K190" s="24"/>
      <c r="L190" s="22"/>
    </row>
    <row r="191" spans="1:12">
      <c r="A191" s="22"/>
      <c r="B191" s="23"/>
      <c r="C191" s="22"/>
      <c r="D191" s="22"/>
      <c r="E191" s="22"/>
      <c r="F191" s="24"/>
      <c r="G191" s="24"/>
      <c r="H191" s="25"/>
      <c r="I191" s="25"/>
      <c r="J191" s="24"/>
      <c r="K191" s="24"/>
      <c r="L191" s="22"/>
    </row>
    <row r="192" spans="1:12">
      <c r="A192" s="22"/>
      <c r="B192" s="23"/>
      <c r="C192" s="22"/>
      <c r="D192" s="22"/>
      <c r="E192" s="22"/>
      <c r="F192" s="24"/>
      <c r="G192" s="24"/>
      <c r="H192" s="25"/>
      <c r="I192" s="25"/>
      <c r="J192" s="24"/>
      <c r="K192" s="24"/>
      <c r="L192" s="22"/>
    </row>
    <row r="193" spans="1:12">
      <c r="A193" s="22"/>
      <c r="B193" s="23"/>
      <c r="C193" s="22"/>
      <c r="D193" s="22"/>
      <c r="E193" s="22"/>
      <c r="F193" s="24"/>
      <c r="G193" s="24"/>
      <c r="H193" s="25"/>
      <c r="I193" s="25"/>
      <c r="J193" s="24"/>
      <c r="K193" s="24"/>
      <c r="L193" s="22"/>
    </row>
    <row r="194" spans="1:12">
      <c r="A194" s="22"/>
      <c r="B194" s="23"/>
      <c r="C194" s="22"/>
      <c r="D194" s="22"/>
      <c r="E194" s="22"/>
      <c r="F194" s="24"/>
      <c r="G194" s="24"/>
      <c r="H194" s="25"/>
      <c r="I194" s="25"/>
      <c r="J194" s="24"/>
      <c r="K194" s="24"/>
      <c r="L194" s="22"/>
    </row>
    <row r="195" spans="1:12">
      <c r="A195" s="22"/>
      <c r="B195" s="23"/>
      <c r="C195" s="22"/>
      <c r="D195" s="22"/>
      <c r="E195" s="22"/>
      <c r="F195" s="24"/>
      <c r="G195" s="24"/>
      <c r="H195" s="25"/>
      <c r="I195" s="25"/>
      <c r="J195" s="24"/>
      <c r="K195" s="24"/>
      <c r="L195" s="22"/>
    </row>
    <row r="196" spans="1:12">
      <c r="A196" s="22"/>
      <c r="B196" s="23"/>
      <c r="C196" s="22"/>
      <c r="D196" s="22"/>
      <c r="E196" s="22"/>
      <c r="F196" s="24"/>
      <c r="G196" s="24"/>
      <c r="H196" s="25"/>
      <c r="I196" s="25"/>
      <c r="J196" s="24"/>
      <c r="K196" s="24"/>
      <c r="L196" s="22"/>
    </row>
    <row r="197" spans="1:12">
      <c r="A197" s="22"/>
      <c r="B197" s="23"/>
      <c r="C197" s="22"/>
      <c r="D197" s="22"/>
      <c r="E197" s="22"/>
      <c r="F197" s="24"/>
      <c r="G197" s="24"/>
      <c r="H197" s="25"/>
      <c r="I197" s="25"/>
      <c r="J197" s="24"/>
      <c r="K197" s="24"/>
      <c r="L197" s="22"/>
    </row>
    <row r="198" spans="1:12">
      <c r="A198" s="22"/>
      <c r="B198" s="23"/>
      <c r="C198" s="22"/>
      <c r="D198" s="22"/>
      <c r="E198" s="22"/>
      <c r="F198" s="24"/>
      <c r="G198" s="24"/>
      <c r="H198" s="25"/>
      <c r="I198" s="25"/>
      <c r="J198" s="24"/>
      <c r="K198" s="24"/>
      <c r="L198" s="22"/>
    </row>
    <row r="199" spans="1:12">
      <c r="A199" s="22"/>
      <c r="B199" s="23"/>
      <c r="C199" s="22"/>
      <c r="D199" s="22"/>
      <c r="E199" s="22"/>
      <c r="F199" s="24"/>
      <c r="G199" s="24"/>
      <c r="H199" s="25"/>
      <c r="I199" s="25"/>
      <c r="J199" s="24"/>
      <c r="K199" s="24"/>
      <c r="L199" s="22"/>
    </row>
    <row r="200" spans="1:12">
      <c r="A200" s="22"/>
      <c r="B200" s="23"/>
      <c r="C200" s="22"/>
      <c r="D200" s="22"/>
      <c r="E200" s="22"/>
      <c r="F200" s="24"/>
      <c r="G200" s="24"/>
      <c r="H200" s="25"/>
      <c r="I200" s="25"/>
      <c r="J200" s="24"/>
      <c r="K200" s="24"/>
      <c r="L200" s="22"/>
    </row>
    <row r="201" spans="1:12">
      <c r="A201" s="22"/>
      <c r="B201" s="23"/>
      <c r="C201" s="22"/>
      <c r="D201" s="22"/>
      <c r="E201" s="22"/>
      <c r="F201" s="24"/>
      <c r="G201" s="24"/>
      <c r="H201" s="25"/>
      <c r="I201" s="25"/>
      <c r="J201" s="24"/>
      <c r="K201" s="24"/>
      <c r="L201" s="22"/>
    </row>
    <row r="202" spans="1:12">
      <c r="A202" s="22"/>
      <c r="B202" s="23"/>
      <c r="C202" s="22"/>
      <c r="D202" s="22"/>
      <c r="E202" s="22"/>
      <c r="F202" s="24"/>
      <c r="G202" s="24"/>
      <c r="H202" s="25"/>
      <c r="I202" s="25"/>
      <c r="J202" s="24"/>
      <c r="K202" s="24"/>
      <c r="L202" s="22"/>
    </row>
    <row r="203" spans="1:12">
      <c r="A203" s="22"/>
      <c r="B203" s="23"/>
      <c r="C203" s="22"/>
      <c r="D203" s="22"/>
      <c r="E203" s="22"/>
      <c r="F203" s="24"/>
      <c r="G203" s="24"/>
      <c r="H203" s="25"/>
      <c r="I203" s="25"/>
      <c r="J203" s="24"/>
      <c r="K203" s="24"/>
      <c r="L203" s="22"/>
    </row>
    <row r="204" spans="1:12">
      <c r="A204" s="22"/>
      <c r="B204" s="23"/>
      <c r="C204" s="22"/>
      <c r="D204" s="22"/>
      <c r="E204" s="22"/>
      <c r="F204" s="24"/>
      <c r="G204" s="24"/>
      <c r="H204" s="25"/>
      <c r="I204" s="25"/>
      <c r="J204" s="24"/>
      <c r="K204" s="24"/>
      <c r="L204" s="22"/>
    </row>
    <row r="205" spans="1:12">
      <c r="A205" s="22"/>
      <c r="B205" s="23"/>
      <c r="C205" s="22"/>
      <c r="D205" s="22"/>
      <c r="E205" s="22"/>
      <c r="F205" s="24"/>
      <c r="G205" s="24"/>
      <c r="H205" s="25"/>
      <c r="I205" s="25"/>
      <c r="J205" s="24"/>
      <c r="K205" s="24"/>
      <c r="L205" s="22"/>
    </row>
    <row r="206" spans="1:12">
      <c r="A206" s="22"/>
      <c r="B206" s="23"/>
      <c r="C206" s="22"/>
      <c r="D206" s="22"/>
      <c r="E206" s="22"/>
      <c r="F206" s="24"/>
      <c r="G206" s="24"/>
      <c r="H206" s="25"/>
      <c r="I206" s="25"/>
      <c r="J206" s="24"/>
      <c r="K206" s="24"/>
      <c r="L206" s="22"/>
    </row>
    <row r="207" spans="1:12">
      <c r="A207" s="22"/>
      <c r="B207" s="23"/>
      <c r="C207" s="22"/>
      <c r="D207" s="22"/>
      <c r="E207" s="22"/>
      <c r="F207" s="24"/>
      <c r="G207" s="24"/>
      <c r="H207" s="25"/>
      <c r="I207" s="25"/>
      <c r="J207" s="24"/>
      <c r="K207" s="24"/>
      <c r="L207" s="22"/>
    </row>
    <row r="208" spans="1:12">
      <c r="A208" s="22"/>
      <c r="B208" s="23"/>
      <c r="C208" s="22"/>
      <c r="D208" s="22"/>
      <c r="E208" s="22"/>
      <c r="F208" s="24"/>
      <c r="G208" s="24"/>
      <c r="H208" s="25"/>
      <c r="I208" s="25"/>
      <c r="J208" s="24"/>
      <c r="K208" s="24"/>
      <c r="L208" s="22"/>
    </row>
    <row r="209" spans="1:12">
      <c r="A209" s="22"/>
      <c r="B209" s="23"/>
      <c r="C209" s="22"/>
      <c r="D209" s="22"/>
      <c r="E209" s="22"/>
      <c r="F209" s="24"/>
      <c r="G209" s="24"/>
      <c r="H209" s="25"/>
      <c r="I209" s="25"/>
      <c r="J209" s="24"/>
      <c r="K209" s="24"/>
      <c r="L209" s="22"/>
    </row>
    <row r="210" spans="1:12">
      <c r="A210" s="22"/>
      <c r="B210" s="23"/>
      <c r="C210" s="22"/>
      <c r="D210" s="22"/>
      <c r="E210" s="22"/>
      <c r="F210" s="24"/>
      <c r="G210" s="24"/>
      <c r="H210" s="25"/>
      <c r="I210" s="25"/>
      <c r="J210" s="24"/>
      <c r="K210" s="24"/>
      <c r="L210" s="22"/>
    </row>
    <row r="211" spans="1:12">
      <c r="A211" s="22"/>
      <c r="B211" s="23"/>
      <c r="C211" s="22"/>
      <c r="D211" s="22"/>
      <c r="E211" s="22"/>
      <c r="F211" s="24"/>
      <c r="G211" s="24"/>
      <c r="H211" s="25"/>
      <c r="I211" s="25"/>
      <c r="J211" s="24"/>
      <c r="K211" s="24"/>
      <c r="L211" s="22"/>
    </row>
    <row r="212" spans="1:12">
      <c r="A212" s="22"/>
      <c r="B212" s="23"/>
      <c r="C212" s="22"/>
      <c r="D212" s="22"/>
      <c r="E212" s="22"/>
      <c r="F212" s="24"/>
      <c r="G212" s="24"/>
      <c r="H212" s="25"/>
      <c r="I212" s="25"/>
      <c r="J212" s="24"/>
      <c r="K212" s="24"/>
      <c r="L212" s="22"/>
    </row>
    <row r="213" spans="1:12">
      <c r="A213" s="22"/>
      <c r="B213" s="23"/>
      <c r="C213" s="22"/>
      <c r="D213" s="22"/>
      <c r="E213" s="22"/>
      <c r="F213" s="24"/>
      <c r="G213" s="24"/>
      <c r="H213" s="25"/>
      <c r="I213" s="25"/>
      <c r="J213" s="24"/>
      <c r="K213" s="24"/>
      <c r="L213" s="22"/>
    </row>
    <row r="214" spans="1:12">
      <c r="A214" s="22"/>
      <c r="B214" s="23"/>
      <c r="C214" s="22"/>
      <c r="D214" s="22"/>
      <c r="E214" s="22"/>
      <c r="F214" s="24"/>
      <c r="G214" s="24"/>
      <c r="H214" s="25"/>
      <c r="I214" s="25"/>
      <c r="J214" s="24"/>
      <c r="K214" s="24"/>
      <c r="L214" s="22"/>
    </row>
    <row r="215" spans="1:12">
      <c r="A215" s="22"/>
      <c r="B215" s="23"/>
      <c r="C215" s="22"/>
      <c r="D215" s="22"/>
      <c r="E215" s="22"/>
      <c r="F215" s="24"/>
      <c r="G215" s="24"/>
      <c r="H215" s="25"/>
      <c r="I215" s="25"/>
      <c r="J215" s="24"/>
      <c r="K215" s="24"/>
      <c r="L215" s="22"/>
    </row>
    <row r="216" spans="1:12">
      <c r="A216" s="22"/>
      <c r="B216" s="23"/>
      <c r="C216" s="22"/>
      <c r="D216" s="22"/>
      <c r="E216" s="22"/>
      <c r="F216" s="24"/>
      <c r="G216" s="24"/>
      <c r="H216" s="25"/>
      <c r="I216" s="25"/>
      <c r="J216" s="24"/>
      <c r="K216" s="24"/>
      <c r="L216" s="22"/>
    </row>
    <row r="217" spans="1:12">
      <c r="A217" s="22"/>
      <c r="B217" s="23"/>
      <c r="C217" s="22"/>
      <c r="D217" s="22"/>
      <c r="E217" s="22"/>
      <c r="F217" s="24"/>
      <c r="G217" s="24"/>
      <c r="H217" s="25"/>
      <c r="I217" s="25"/>
      <c r="J217" s="24"/>
      <c r="K217" s="24"/>
      <c r="L217" s="22"/>
    </row>
    <row r="218" spans="1:12">
      <c r="A218" s="22"/>
      <c r="B218" s="23"/>
      <c r="C218" s="22"/>
      <c r="D218" s="22"/>
      <c r="E218" s="22"/>
      <c r="F218" s="24"/>
      <c r="G218" s="24"/>
      <c r="H218" s="25"/>
      <c r="I218" s="25"/>
      <c r="J218" s="24"/>
      <c r="K218" s="24"/>
      <c r="L218" s="22"/>
    </row>
    <row r="219" spans="1:12">
      <c r="A219" s="22"/>
      <c r="B219" s="23"/>
      <c r="C219" s="22"/>
      <c r="D219" s="22"/>
      <c r="E219" s="22"/>
      <c r="F219" s="24"/>
      <c r="G219" s="24"/>
      <c r="H219" s="25"/>
      <c r="I219" s="25"/>
      <c r="J219" s="24"/>
      <c r="K219" s="24"/>
      <c r="L219" s="22"/>
    </row>
    <row r="220" spans="1:12">
      <c r="A220" s="22"/>
      <c r="B220" s="23"/>
      <c r="C220" s="22"/>
      <c r="D220" s="22"/>
      <c r="E220" s="22"/>
      <c r="F220" s="24"/>
      <c r="G220" s="24"/>
      <c r="H220" s="25"/>
      <c r="I220" s="25"/>
      <c r="J220" s="24"/>
      <c r="K220" s="24"/>
      <c r="L220" s="22"/>
    </row>
    <row r="221" spans="1:12">
      <c r="A221" s="22"/>
      <c r="B221" s="23"/>
      <c r="C221" s="22"/>
      <c r="D221" s="22"/>
      <c r="E221" s="22"/>
      <c r="F221" s="24"/>
      <c r="G221" s="24"/>
      <c r="H221" s="25"/>
      <c r="I221" s="25"/>
      <c r="J221" s="24"/>
      <c r="K221" s="24"/>
      <c r="L221" s="22"/>
    </row>
    <row r="222" spans="1:12">
      <c r="A222" s="22"/>
      <c r="B222" s="23"/>
      <c r="C222" s="22"/>
      <c r="D222" s="22"/>
      <c r="E222" s="22"/>
      <c r="F222" s="24"/>
      <c r="G222" s="24"/>
      <c r="H222" s="25"/>
      <c r="I222" s="25"/>
      <c r="J222" s="24"/>
      <c r="K222" s="24"/>
      <c r="L222" s="22"/>
    </row>
    <row r="223" spans="1:12">
      <c r="A223" s="22"/>
      <c r="B223" s="23"/>
      <c r="C223" s="22"/>
      <c r="D223" s="22"/>
      <c r="E223" s="22"/>
      <c r="F223" s="24"/>
      <c r="G223" s="24"/>
      <c r="H223" s="25"/>
      <c r="I223" s="25"/>
      <c r="J223" s="24"/>
      <c r="K223" s="24"/>
      <c r="L223" s="22"/>
    </row>
    <row r="224" spans="1:12">
      <c r="A224" s="22"/>
      <c r="B224" s="23"/>
      <c r="C224" s="22"/>
      <c r="D224" s="22"/>
      <c r="E224" s="22"/>
      <c r="F224" s="24"/>
      <c r="G224" s="24"/>
      <c r="H224" s="25"/>
      <c r="I224" s="25"/>
      <c r="J224" s="24"/>
      <c r="K224" s="24"/>
      <c r="L224" s="22"/>
    </row>
    <row r="225" spans="1:12">
      <c r="A225" s="22"/>
      <c r="B225" s="23"/>
      <c r="C225" s="22"/>
      <c r="D225" s="22"/>
      <c r="E225" s="22"/>
      <c r="F225" s="24"/>
      <c r="G225" s="24"/>
      <c r="H225" s="25"/>
      <c r="I225" s="25"/>
      <c r="J225" s="24"/>
      <c r="K225" s="24"/>
      <c r="L225" s="22"/>
    </row>
    <row r="226" spans="1:12">
      <c r="A226" s="22"/>
      <c r="B226" s="23"/>
      <c r="C226" s="22"/>
      <c r="D226" s="22"/>
      <c r="E226" s="22"/>
      <c r="F226" s="24"/>
      <c r="G226" s="24"/>
      <c r="H226" s="25"/>
      <c r="I226" s="25"/>
      <c r="J226" s="24"/>
      <c r="K226" s="24"/>
      <c r="L226" s="22"/>
    </row>
    <row r="227" spans="1:12">
      <c r="A227" s="22"/>
      <c r="B227" s="23"/>
      <c r="C227" s="22"/>
      <c r="D227" s="22"/>
      <c r="E227" s="22"/>
      <c r="F227" s="24"/>
      <c r="G227" s="24"/>
      <c r="H227" s="25"/>
      <c r="I227" s="25"/>
      <c r="J227" s="24"/>
      <c r="K227" s="24"/>
      <c r="L227" s="22"/>
    </row>
    <row r="228" spans="1:12">
      <c r="A228" s="22"/>
      <c r="B228" s="23"/>
      <c r="C228" s="22"/>
      <c r="D228" s="22"/>
      <c r="E228" s="22"/>
      <c r="F228" s="24"/>
      <c r="G228" s="24"/>
      <c r="H228" s="25"/>
      <c r="I228" s="25"/>
      <c r="J228" s="24"/>
      <c r="K228" s="24"/>
      <c r="L228" s="22"/>
    </row>
    <row r="229" spans="1:12">
      <c r="A229" s="22"/>
      <c r="B229" s="23"/>
      <c r="C229" s="22"/>
      <c r="D229" s="22"/>
      <c r="E229" s="22"/>
      <c r="F229" s="24"/>
      <c r="G229" s="24"/>
      <c r="H229" s="25"/>
      <c r="I229" s="25"/>
      <c r="J229" s="24"/>
      <c r="K229" s="24"/>
      <c r="L229" s="22"/>
    </row>
    <row r="230" spans="1:12">
      <c r="A230" s="22"/>
      <c r="B230" s="23"/>
      <c r="C230" s="22"/>
      <c r="D230" s="22"/>
      <c r="E230" s="22"/>
      <c r="F230" s="24"/>
      <c r="G230" s="24"/>
      <c r="H230" s="25"/>
      <c r="I230" s="25"/>
      <c r="J230" s="24"/>
      <c r="K230" s="24"/>
      <c r="L230" s="22"/>
    </row>
    <row r="231" spans="1:12">
      <c r="A231" s="22"/>
      <c r="B231" s="23"/>
      <c r="C231" s="22"/>
      <c r="D231" s="22"/>
      <c r="E231" s="22"/>
      <c r="F231" s="24"/>
      <c r="G231" s="24"/>
      <c r="H231" s="25"/>
      <c r="I231" s="25"/>
      <c r="J231" s="24"/>
      <c r="K231" s="24"/>
      <c r="L231" s="22"/>
    </row>
    <row r="232" spans="1:12">
      <c r="A232" s="22"/>
      <c r="B232" s="23"/>
      <c r="C232" s="22"/>
      <c r="D232" s="22"/>
      <c r="E232" s="22"/>
      <c r="F232" s="24"/>
      <c r="G232" s="24"/>
      <c r="H232" s="25"/>
      <c r="I232" s="25"/>
      <c r="J232" s="24"/>
      <c r="K232" s="24"/>
      <c r="L232" s="22"/>
    </row>
    <row r="233" spans="1:12">
      <c r="A233" s="22"/>
      <c r="B233" s="23"/>
      <c r="C233" s="22"/>
      <c r="D233" s="22"/>
      <c r="E233" s="22"/>
      <c r="F233" s="24"/>
      <c r="G233" s="24"/>
      <c r="H233" s="25"/>
      <c r="I233" s="25"/>
      <c r="J233" s="24"/>
      <c r="K233" s="24"/>
      <c r="L233" s="22"/>
    </row>
    <row r="234" spans="1:12">
      <c r="A234" s="22"/>
      <c r="B234" s="23"/>
      <c r="C234" s="22"/>
      <c r="D234" s="22"/>
      <c r="E234" s="22"/>
      <c r="F234" s="24"/>
      <c r="G234" s="24"/>
      <c r="H234" s="25"/>
      <c r="I234" s="25"/>
      <c r="J234" s="24"/>
      <c r="K234" s="24"/>
      <c r="L234" s="22"/>
    </row>
    <row r="235" spans="1:12">
      <c r="A235" s="22"/>
      <c r="B235" s="23"/>
      <c r="C235" s="22"/>
      <c r="D235" s="22"/>
      <c r="E235" s="22"/>
      <c r="F235" s="24"/>
      <c r="G235" s="24"/>
      <c r="H235" s="25"/>
      <c r="I235" s="25"/>
      <c r="J235" s="24"/>
      <c r="K235" s="24"/>
      <c r="L235" s="22"/>
    </row>
    <row r="236" spans="1:12">
      <c r="A236" s="22"/>
      <c r="B236" s="23"/>
      <c r="C236" s="22"/>
      <c r="D236" s="22"/>
      <c r="E236" s="22"/>
      <c r="F236" s="24"/>
      <c r="G236" s="24"/>
      <c r="H236" s="25"/>
      <c r="I236" s="25"/>
      <c r="J236" s="24"/>
      <c r="K236" s="24"/>
      <c r="L236" s="22"/>
    </row>
    <row r="237" spans="1:12">
      <c r="A237" s="22"/>
      <c r="B237" s="23"/>
      <c r="C237" s="22"/>
      <c r="D237" s="22"/>
      <c r="E237" s="22"/>
      <c r="F237" s="24"/>
      <c r="G237" s="24"/>
      <c r="H237" s="25"/>
      <c r="I237" s="25"/>
      <c r="J237" s="24"/>
      <c r="K237" s="24"/>
      <c r="L237" s="22"/>
    </row>
    <row r="238" spans="1:12">
      <c r="A238" s="22"/>
      <c r="B238" s="23"/>
      <c r="C238" s="22"/>
      <c r="D238" s="22"/>
      <c r="E238" s="22"/>
      <c r="F238" s="24"/>
      <c r="G238" s="24"/>
      <c r="H238" s="25"/>
      <c r="I238" s="25"/>
      <c r="J238" s="24"/>
      <c r="K238" s="24"/>
      <c r="L238" s="22"/>
    </row>
    <row r="239" spans="1:12">
      <c r="A239" s="22"/>
      <c r="B239" s="23"/>
      <c r="C239" s="22"/>
      <c r="D239" s="22"/>
      <c r="E239" s="22"/>
      <c r="F239" s="24"/>
      <c r="G239" s="24"/>
      <c r="H239" s="25"/>
      <c r="I239" s="25"/>
      <c r="J239" s="24"/>
      <c r="K239" s="24"/>
      <c r="L239" s="22"/>
    </row>
    <row r="240" spans="1:12">
      <c r="A240" s="22"/>
      <c r="B240" s="23"/>
      <c r="C240" s="22"/>
      <c r="D240" s="22"/>
      <c r="E240" s="22"/>
      <c r="F240" s="24"/>
      <c r="G240" s="24"/>
      <c r="H240" s="25"/>
      <c r="I240" s="25"/>
      <c r="J240" s="24"/>
      <c r="K240" s="24"/>
      <c r="L240" s="22"/>
    </row>
    <row r="241" spans="1:12">
      <c r="A241" s="22"/>
      <c r="B241" s="23"/>
      <c r="C241" s="22"/>
      <c r="D241" s="22"/>
      <c r="E241" s="22"/>
      <c r="F241" s="24"/>
      <c r="G241" s="24"/>
      <c r="H241" s="25"/>
      <c r="I241" s="25"/>
      <c r="J241" s="24"/>
      <c r="K241" s="24"/>
      <c r="L241" s="22"/>
    </row>
    <row r="242" spans="1:12">
      <c r="A242" s="22"/>
      <c r="B242" s="23"/>
      <c r="C242" s="22"/>
      <c r="D242" s="22"/>
      <c r="E242" s="22"/>
      <c r="F242" s="24"/>
      <c r="G242" s="24"/>
      <c r="H242" s="25"/>
      <c r="I242" s="25"/>
      <c r="J242" s="24"/>
      <c r="K242" s="24"/>
      <c r="L242" s="22"/>
    </row>
    <row r="243" spans="1:12">
      <c r="A243" s="22"/>
      <c r="B243" s="23"/>
      <c r="C243" s="22"/>
      <c r="D243" s="22"/>
      <c r="E243" s="22"/>
      <c r="F243" s="24"/>
      <c r="G243" s="24"/>
      <c r="H243" s="25"/>
      <c r="I243" s="25"/>
      <c r="J243" s="24"/>
      <c r="K243" s="24"/>
      <c r="L243" s="22"/>
    </row>
    <row r="244" spans="1:12">
      <c r="A244" s="22"/>
      <c r="B244" s="23"/>
      <c r="C244" s="22"/>
      <c r="D244" s="22"/>
      <c r="E244" s="22"/>
      <c r="F244" s="24"/>
      <c r="G244" s="24"/>
      <c r="H244" s="25"/>
      <c r="I244" s="25"/>
      <c r="J244" s="24"/>
      <c r="K244" s="24"/>
      <c r="L244" s="22"/>
    </row>
    <row r="245" spans="1:12">
      <c r="A245" s="22"/>
      <c r="B245" s="23"/>
      <c r="C245" s="22"/>
      <c r="D245" s="22"/>
      <c r="E245" s="22"/>
      <c r="F245" s="24"/>
      <c r="G245" s="24"/>
      <c r="H245" s="25"/>
      <c r="I245" s="25"/>
      <c r="J245" s="24"/>
      <c r="K245" s="24"/>
      <c r="L245" s="22"/>
    </row>
    <row r="246" spans="1:12">
      <c r="A246" s="22"/>
      <c r="B246" s="23"/>
      <c r="C246" s="22"/>
      <c r="D246" s="22"/>
      <c r="E246" s="22"/>
      <c r="F246" s="24"/>
      <c r="G246" s="24"/>
      <c r="H246" s="25"/>
      <c r="I246" s="25"/>
      <c r="J246" s="24"/>
      <c r="K246" s="24"/>
      <c r="L246" s="22"/>
    </row>
    <row r="247" spans="1:12">
      <c r="A247" s="22"/>
      <c r="B247" s="23"/>
      <c r="C247" s="22"/>
      <c r="D247" s="22"/>
      <c r="E247" s="22"/>
      <c r="F247" s="24"/>
      <c r="G247" s="24"/>
      <c r="H247" s="25"/>
      <c r="I247" s="25"/>
      <c r="J247" s="24"/>
      <c r="K247" s="24"/>
      <c r="L247" s="22"/>
    </row>
    <row r="248" spans="1:12">
      <c r="A248" s="22"/>
      <c r="B248" s="23"/>
      <c r="C248" s="22"/>
      <c r="D248" s="22"/>
      <c r="E248" s="22"/>
      <c r="F248" s="24"/>
      <c r="G248" s="24"/>
      <c r="H248" s="25"/>
      <c r="I248" s="25"/>
      <c r="J248" s="24"/>
      <c r="K248" s="24"/>
      <c r="L248" s="22"/>
    </row>
    <row r="249" spans="1:12">
      <c r="A249" s="22"/>
      <c r="B249" s="23"/>
      <c r="C249" s="22"/>
      <c r="D249" s="22"/>
      <c r="E249" s="22"/>
      <c r="F249" s="24"/>
      <c r="G249" s="24"/>
      <c r="H249" s="25"/>
      <c r="I249" s="25"/>
      <c r="J249" s="24"/>
      <c r="K249" s="24"/>
      <c r="L249" s="22"/>
    </row>
    <row r="250" spans="1:12">
      <c r="A250" s="22"/>
      <c r="B250" s="23"/>
      <c r="C250" s="22"/>
      <c r="D250" s="22"/>
      <c r="E250" s="22"/>
      <c r="F250" s="24"/>
      <c r="G250" s="24"/>
      <c r="H250" s="25"/>
      <c r="I250" s="25"/>
      <c r="J250" s="24"/>
      <c r="K250" s="24"/>
      <c r="L250" s="22"/>
    </row>
    <row r="251" spans="1:12">
      <c r="A251" s="22"/>
      <c r="B251" s="23"/>
      <c r="C251" s="22"/>
      <c r="D251" s="22"/>
      <c r="E251" s="22"/>
      <c r="F251" s="24"/>
      <c r="G251" s="24"/>
      <c r="H251" s="25"/>
      <c r="I251" s="25"/>
      <c r="J251" s="24"/>
      <c r="K251" s="24"/>
      <c r="L251" s="22"/>
    </row>
    <row r="252" spans="1:12">
      <c r="A252" s="22"/>
      <c r="B252" s="23"/>
      <c r="C252" s="22"/>
      <c r="D252" s="22"/>
      <c r="E252" s="22"/>
      <c r="F252" s="24"/>
      <c r="G252" s="24"/>
      <c r="H252" s="25"/>
      <c r="I252" s="25"/>
      <c r="J252" s="24"/>
      <c r="K252" s="24"/>
      <c r="L252" s="22"/>
    </row>
    <row r="253" spans="1:12">
      <c r="A253" s="22"/>
      <c r="B253" s="23"/>
      <c r="C253" s="22"/>
      <c r="D253" s="22"/>
      <c r="E253" s="22"/>
      <c r="F253" s="24"/>
      <c r="G253" s="24"/>
      <c r="H253" s="25"/>
      <c r="I253" s="25"/>
      <c r="J253" s="24"/>
      <c r="K253" s="24"/>
      <c r="L253" s="22"/>
    </row>
    <row r="254" spans="1:12">
      <c r="A254" s="22"/>
      <c r="B254" s="23"/>
      <c r="C254" s="22"/>
      <c r="D254" s="22"/>
      <c r="E254" s="22"/>
      <c r="F254" s="24"/>
      <c r="G254" s="24"/>
      <c r="H254" s="25"/>
      <c r="I254" s="25"/>
      <c r="J254" s="24"/>
      <c r="K254" s="24"/>
      <c r="L254" s="22"/>
    </row>
    <row r="255" spans="1:12">
      <c r="A255" s="22"/>
      <c r="B255" s="23"/>
      <c r="C255" s="22"/>
      <c r="D255" s="22"/>
      <c r="E255" s="22"/>
      <c r="F255" s="24"/>
      <c r="G255" s="24"/>
      <c r="H255" s="25"/>
      <c r="I255" s="25"/>
      <c r="J255" s="24"/>
      <c r="K255" s="24"/>
      <c r="L255" s="22"/>
    </row>
    <row r="256" spans="1:12">
      <c r="A256" s="22"/>
      <c r="B256" s="23"/>
      <c r="C256" s="22"/>
      <c r="D256" s="22"/>
      <c r="E256" s="22"/>
      <c r="F256" s="24"/>
      <c r="G256" s="24"/>
      <c r="H256" s="25"/>
      <c r="I256" s="25"/>
      <c r="J256" s="24"/>
      <c r="K256" s="24"/>
      <c r="L256" s="22"/>
    </row>
    <row r="257" spans="1:12">
      <c r="A257" s="22"/>
      <c r="B257" s="23"/>
      <c r="C257" s="22"/>
      <c r="D257" s="22"/>
      <c r="E257" s="22"/>
      <c r="F257" s="24"/>
      <c r="G257" s="24"/>
      <c r="H257" s="25"/>
      <c r="I257" s="25"/>
      <c r="J257" s="24"/>
      <c r="K257" s="24"/>
      <c r="L257" s="22"/>
    </row>
    <row r="258" spans="1:12">
      <c r="A258" s="22"/>
      <c r="B258" s="23"/>
      <c r="C258" s="22"/>
      <c r="D258" s="22"/>
      <c r="E258" s="22"/>
      <c r="F258" s="24"/>
      <c r="G258" s="24"/>
      <c r="H258" s="25"/>
      <c r="I258" s="25"/>
      <c r="J258" s="24"/>
      <c r="K258" s="24"/>
      <c r="L258" s="22"/>
    </row>
    <row r="259" spans="1:12">
      <c r="A259" s="22"/>
      <c r="B259" s="23"/>
      <c r="C259" s="22"/>
      <c r="D259" s="22"/>
      <c r="E259" s="22"/>
      <c r="F259" s="24"/>
      <c r="G259" s="24"/>
      <c r="H259" s="25"/>
      <c r="I259" s="25"/>
      <c r="J259" s="24"/>
      <c r="K259" s="24"/>
      <c r="L259" s="22"/>
    </row>
    <row r="260" spans="1:12">
      <c r="A260" s="22"/>
      <c r="B260" s="23"/>
      <c r="C260" s="22"/>
      <c r="D260" s="22"/>
      <c r="E260" s="22"/>
      <c r="F260" s="24"/>
      <c r="G260" s="24"/>
      <c r="H260" s="25"/>
      <c r="I260" s="25"/>
      <c r="J260" s="24"/>
      <c r="K260" s="24"/>
      <c r="L260" s="22"/>
    </row>
    <row r="261" spans="1:12">
      <c r="A261" s="22"/>
      <c r="B261" s="23"/>
      <c r="C261" s="22"/>
      <c r="D261" s="22"/>
      <c r="E261" s="22"/>
      <c r="F261" s="24"/>
      <c r="G261" s="24"/>
      <c r="H261" s="25"/>
      <c r="I261" s="25"/>
      <c r="J261" s="24"/>
      <c r="K261" s="24"/>
      <c r="L261" s="22"/>
    </row>
    <row r="262" spans="1:12">
      <c r="A262" s="22"/>
      <c r="B262" s="23"/>
      <c r="C262" s="22"/>
      <c r="D262" s="22"/>
      <c r="E262" s="22"/>
      <c r="F262" s="24"/>
      <c r="G262" s="24"/>
      <c r="H262" s="25"/>
      <c r="I262" s="25"/>
      <c r="J262" s="24"/>
      <c r="K262" s="24"/>
      <c r="L262" s="22"/>
    </row>
    <row r="263" spans="1:12">
      <c r="A263" s="22"/>
      <c r="B263" s="23"/>
      <c r="C263" s="22"/>
      <c r="D263" s="22"/>
      <c r="E263" s="22"/>
      <c r="F263" s="24"/>
      <c r="G263" s="24"/>
      <c r="H263" s="25"/>
      <c r="I263" s="25"/>
      <c r="J263" s="24"/>
      <c r="K263" s="24"/>
      <c r="L263" s="22"/>
    </row>
    <row r="264" spans="1:12">
      <c r="A264" s="22"/>
      <c r="B264" s="23"/>
      <c r="C264" s="22"/>
      <c r="D264" s="22"/>
      <c r="E264" s="22"/>
      <c r="F264" s="24"/>
      <c r="G264" s="24"/>
      <c r="H264" s="25"/>
      <c r="I264" s="25"/>
      <c r="J264" s="24"/>
      <c r="K264" s="24"/>
      <c r="L264" s="22"/>
    </row>
    <row r="265" spans="1:12">
      <c r="A265" s="22"/>
      <c r="B265" s="23"/>
      <c r="C265" s="22"/>
      <c r="D265" s="22"/>
      <c r="E265" s="22"/>
      <c r="F265" s="24"/>
      <c r="G265" s="24"/>
      <c r="H265" s="25"/>
      <c r="I265" s="25"/>
      <c r="J265" s="24"/>
      <c r="K265" s="24"/>
      <c r="L265" s="22"/>
    </row>
    <row r="266" spans="1:12">
      <c r="A266" s="22"/>
      <c r="B266" s="23"/>
      <c r="C266" s="22"/>
      <c r="D266" s="22"/>
      <c r="E266" s="22"/>
      <c r="F266" s="24"/>
      <c r="G266" s="24"/>
      <c r="H266" s="25"/>
      <c r="I266" s="25"/>
      <c r="J266" s="24"/>
      <c r="K266" s="24"/>
      <c r="L266" s="22"/>
    </row>
    <row r="267" spans="1:12">
      <c r="A267" s="22"/>
      <c r="B267" s="23"/>
      <c r="C267" s="22"/>
      <c r="D267" s="22"/>
      <c r="E267" s="22"/>
      <c r="F267" s="24"/>
      <c r="G267" s="24"/>
      <c r="H267" s="25"/>
      <c r="I267" s="25"/>
      <c r="J267" s="24"/>
      <c r="K267" s="24"/>
      <c r="L267" s="22"/>
    </row>
    <row r="268" spans="1:12">
      <c r="A268" s="22"/>
      <c r="B268" s="23"/>
      <c r="C268" s="22"/>
      <c r="D268" s="22"/>
      <c r="E268" s="22"/>
      <c r="F268" s="24"/>
      <c r="G268" s="24"/>
      <c r="H268" s="25"/>
      <c r="I268" s="25"/>
      <c r="J268" s="24"/>
      <c r="K268" s="24"/>
      <c r="L268" s="22"/>
    </row>
    <row r="269" spans="1:12">
      <c r="A269" s="22"/>
      <c r="B269" s="23"/>
      <c r="C269" s="22"/>
      <c r="D269" s="22"/>
      <c r="E269" s="22"/>
      <c r="F269" s="24"/>
      <c r="G269" s="24"/>
      <c r="H269" s="25"/>
      <c r="I269" s="25"/>
      <c r="J269" s="24"/>
      <c r="K269" s="24"/>
      <c r="L269" s="22"/>
    </row>
    <row r="270" spans="1:12">
      <c r="A270" s="22"/>
      <c r="B270" s="23"/>
      <c r="C270" s="22"/>
      <c r="D270" s="22"/>
      <c r="E270" s="22"/>
      <c r="F270" s="24"/>
      <c r="G270" s="24"/>
      <c r="H270" s="25"/>
      <c r="I270" s="25"/>
      <c r="J270" s="24"/>
      <c r="K270" s="24"/>
      <c r="L270" s="22"/>
    </row>
    <row r="271" spans="1:12">
      <c r="A271" s="22"/>
      <c r="B271" s="23"/>
      <c r="C271" s="22"/>
      <c r="D271" s="22"/>
      <c r="E271" s="22"/>
      <c r="F271" s="24"/>
      <c r="G271" s="24"/>
      <c r="H271" s="25"/>
      <c r="I271" s="25"/>
      <c r="J271" s="24"/>
      <c r="K271" s="24"/>
      <c r="L271" s="22"/>
    </row>
    <row r="272" spans="1:12">
      <c r="A272" s="22"/>
      <c r="B272" s="23"/>
      <c r="C272" s="22"/>
      <c r="D272" s="22"/>
      <c r="E272" s="22"/>
      <c r="F272" s="24"/>
      <c r="G272" s="24"/>
      <c r="H272" s="25"/>
      <c r="I272" s="25"/>
      <c r="J272" s="24"/>
      <c r="K272" s="24"/>
      <c r="L272" s="22"/>
    </row>
    <row r="273" spans="1:12">
      <c r="A273" s="22"/>
      <c r="B273" s="23"/>
      <c r="C273" s="22"/>
      <c r="D273" s="22"/>
      <c r="E273" s="22"/>
      <c r="F273" s="24"/>
      <c r="G273" s="24"/>
      <c r="H273" s="25"/>
      <c r="I273" s="25"/>
      <c r="J273" s="24"/>
      <c r="K273" s="24"/>
      <c r="L273" s="22"/>
    </row>
    <row r="274" spans="1:12">
      <c r="A274" s="22"/>
      <c r="B274" s="23"/>
      <c r="C274" s="22"/>
      <c r="D274" s="22"/>
      <c r="E274" s="22"/>
      <c r="F274" s="24"/>
      <c r="G274" s="24"/>
      <c r="H274" s="25"/>
      <c r="I274" s="25"/>
      <c r="J274" s="24"/>
      <c r="K274" s="24"/>
      <c r="L274" s="22"/>
    </row>
    <row r="275" spans="1:12">
      <c r="A275" s="22"/>
      <c r="B275" s="23"/>
      <c r="C275" s="22"/>
      <c r="D275" s="22"/>
      <c r="E275" s="22"/>
      <c r="F275" s="24"/>
      <c r="G275" s="24"/>
      <c r="H275" s="25"/>
      <c r="I275" s="25"/>
      <c r="J275" s="24"/>
      <c r="K275" s="24"/>
      <c r="L275" s="22"/>
    </row>
    <row r="276" spans="1:12">
      <c r="A276" s="22"/>
      <c r="B276" s="23"/>
      <c r="C276" s="22"/>
      <c r="D276" s="22"/>
      <c r="E276" s="22"/>
      <c r="F276" s="24"/>
      <c r="G276" s="24"/>
      <c r="H276" s="25"/>
      <c r="I276" s="25"/>
      <c r="J276" s="24"/>
      <c r="K276" s="24"/>
      <c r="L276" s="22"/>
    </row>
    <row r="277" spans="1:12">
      <c r="A277" s="22"/>
      <c r="B277" s="23"/>
      <c r="C277" s="22"/>
      <c r="D277" s="22"/>
      <c r="E277" s="22"/>
      <c r="F277" s="24"/>
      <c r="G277" s="24"/>
      <c r="H277" s="25"/>
      <c r="I277" s="25"/>
      <c r="J277" s="24"/>
      <c r="K277" s="24"/>
      <c r="L277" s="22"/>
    </row>
    <row r="278" spans="1:12">
      <c r="A278" s="22"/>
      <c r="B278" s="23"/>
      <c r="C278" s="22"/>
      <c r="D278" s="22"/>
      <c r="E278" s="22"/>
      <c r="F278" s="24"/>
      <c r="G278" s="24"/>
      <c r="H278" s="25"/>
      <c r="I278" s="25"/>
      <c r="J278" s="24"/>
      <c r="K278" s="24"/>
      <c r="L278" s="22"/>
    </row>
    <row r="279" spans="1:12">
      <c r="A279" s="22"/>
      <c r="B279" s="23"/>
      <c r="C279" s="22"/>
      <c r="D279" s="22"/>
      <c r="E279" s="22"/>
      <c r="F279" s="24"/>
      <c r="G279" s="24"/>
      <c r="H279" s="25"/>
      <c r="I279" s="25"/>
      <c r="J279" s="24"/>
      <c r="K279" s="24"/>
      <c r="L279" s="22"/>
    </row>
    <row r="280" spans="1:12">
      <c r="A280" s="22"/>
      <c r="B280" s="23"/>
      <c r="C280" s="22"/>
      <c r="D280" s="22"/>
      <c r="E280" s="22"/>
      <c r="F280" s="24"/>
      <c r="G280" s="24"/>
      <c r="H280" s="25"/>
      <c r="I280" s="25"/>
      <c r="J280" s="24"/>
      <c r="K280" s="24"/>
      <c r="L280" s="22"/>
    </row>
    <row r="281" spans="1:12">
      <c r="A281" s="22"/>
      <c r="B281" s="23"/>
      <c r="C281" s="22"/>
      <c r="D281" s="22"/>
      <c r="E281" s="22"/>
      <c r="F281" s="24"/>
      <c r="G281" s="24"/>
      <c r="H281" s="25"/>
      <c r="I281" s="25"/>
      <c r="J281" s="24"/>
      <c r="K281" s="24"/>
      <c r="L281" s="22"/>
    </row>
    <row r="282" spans="1:12">
      <c r="A282" s="22"/>
      <c r="B282" s="23"/>
      <c r="C282" s="22"/>
      <c r="D282" s="22"/>
      <c r="E282" s="22"/>
      <c r="F282" s="24"/>
      <c r="G282" s="24"/>
      <c r="H282" s="25"/>
      <c r="I282" s="25"/>
      <c r="J282" s="24"/>
      <c r="K282" s="24"/>
      <c r="L282" s="22"/>
    </row>
    <row r="283" spans="1:12">
      <c r="A283" s="22"/>
      <c r="B283" s="23"/>
      <c r="C283" s="22"/>
      <c r="D283" s="22"/>
      <c r="E283" s="22"/>
      <c r="F283" s="24"/>
      <c r="G283" s="24"/>
      <c r="H283" s="25"/>
      <c r="I283" s="25"/>
      <c r="J283" s="24"/>
      <c r="K283" s="24"/>
      <c r="L283" s="22"/>
    </row>
    <row r="284" spans="1:12">
      <c r="A284" s="22"/>
      <c r="B284" s="23"/>
      <c r="C284" s="22"/>
      <c r="D284" s="22"/>
      <c r="E284" s="22"/>
      <c r="F284" s="24"/>
      <c r="G284" s="24"/>
      <c r="H284" s="25"/>
      <c r="I284" s="25"/>
      <c r="J284" s="24"/>
      <c r="K284" s="24"/>
      <c r="L284" s="22"/>
    </row>
    <row r="285" spans="1:12">
      <c r="A285" s="22"/>
      <c r="B285" s="23"/>
      <c r="C285" s="22"/>
      <c r="D285" s="22"/>
      <c r="E285" s="22"/>
      <c r="F285" s="24"/>
      <c r="G285" s="24"/>
      <c r="H285" s="25"/>
      <c r="I285" s="25"/>
      <c r="J285" s="24"/>
      <c r="K285" s="24"/>
      <c r="L285" s="22"/>
    </row>
    <row r="286" spans="1:12">
      <c r="A286" s="22"/>
      <c r="B286" s="23"/>
      <c r="C286" s="22"/>
      <c r="D286" s="22"/>
      <c r="E286" s="22"/>
      <c r="F286" s="24"/>
      <c r="G286" s="24"/>
      <c r="H286" s="25"/>
      <c r="I286" s="25"/>
      <c r="J286" s="24"/>
      <c r="K286" s="24"/>
      <c r="L286" s="22"/>
    </row>
    <row r="287" spans="1:12">
      <c r="A287" s="22"/>
      <c r="B287" s="23"/>
      <c r="C287" s="22"/>
      <c r="D287" s="22"/>
      <c r="E287" s="22"/>
      <c r="F287" s="24"/>
      <c r="G287" s="24"/>
      <c r="H287" s="25"/>
      <c r="I287" s="25"/>
      <c r="J287" s="24"/>
      <c r="K287" s="24"/>
      <c r="L287" s="22"/>
    </row>
    <row r="288" spans="1:12">
      <c r="A288" s="22"/>
      <c r="B288" s="23"/>
      <c r="C288" s="22"/>
      <c r="D288" s="22"/>
      <c r="E288" s="22"/>
      <c r="F288" s="24"/>
      <c r="G288" s="24"/>
      <c r="H288" s="25"/>
      <c r="I288" s="25"/>
      <c r="J288" s="24"/>
      <c r="K288" s="24"/>
      <c r="L288" s="22"/>
    </row>
    <row r="289" spans="1:12">
      <c r="A289" s="22"/>
      <c r="B289" s="23"/>
      <c r="C289" s="22"/>
      <c r="D289" s="22"/>
      <c r="E289" s="22"/>
      <c r="F289" s="24"/>
      <c r="G289" s="24"/>
      <c r="H289" s="25"/>
      <c r="I289" s="25"/>
      <c r="J289" s="24"/>
      <c r="K289" s="24"/>
      <c r="L289" s="22"/>
    </row>
    <row r="290" spans="1:12">
      <c r="A290" s="22"/>
      <c r="B290" s="23"/>
      <c r="C290" s="22"/>
      <c r="D290" s="22"/>
      <c r="E290" s="22"/>
      <c r="F290" s="24"/>
      <c r="G290" s="24"/>
      <c r="H290" s="25"/>
      <c r="I290" s="25"/>
      <c r="J290" s="24"/>
      <c r="K290" s="24"/>
      <c r="L290" s="22"/>
    </row>
    <row r="291" spans="1:12">
      <c r="A291" s="22"/>
      <c r="B291" s="23"/>
      <c r="C291" s="22"/>
      <c r="D291" s="22"/>
      <c r="E291" s="22"/>
      <c r="F291" s="24"/>
      <c r="G291" s="24"/>
      <c r="H291" s="25"/>
      <c r="I291" s="25"/>
      <c r="J291" s="24"/>
      <c r="K291" s="24"/>
      <c r="L291" s="22"/>
    </row>
    <row r="292" spans="1:12">
      <c r="A292" s="22"/>
      <c r="B292" s="23"/>
      <c r="C292" s="22"/>
      <c r="D292" s="22"/>
      <c r="E292" s="22"/>
      <c r="F292" s="24"/>
      <c r="G292" s="24"/>
      <c r="H292" s="25"/>
      <c r="I292" s="25"/>
      <c r="J292" s="24"/>
      <c r="K292" s="24"/>
      <c r="L292" s="22"/>
    </row>
    <row r="293" spans="1:12">
      <c r="A293" s="22"/>
      <c r="B293" s="23"/>
      <c r="C293" s="22"/>
      <c r="D293" s="22"/>
      <c r="E293" s="22"/>
      <c r="F293" s="24"/>
      <c r="G293" s="24"/>
      <c r="H293" s="25"/>
      <c r="I293" s="25"/>
      <c r="J293" s="24"/>
      <c r="K293" s="24"/>
      <c r="L293" s="22"/>
    </row>
    <row r="294" spans="1:12">
      <c r="A294" s="22"/>
      <c r="B294" s="23"/>
      <c r="C294" s="22"/>
      <c r="D294" s="22"/>
      <c r="E294" s="22"/>
      <c r="F294" s="24"/>
      <c r="G294" s="24"/>
      <c r="H294" s="25"/>
      <c r="I294" s="25"/>
      <c r="J294" s="24"/>
      <c r="K294" s="24"/>
      <c r="L294" s="22"/>
    </row>
    <row r="295" spans="1:12">
      <c r="A295" s="22"/>
      <c r="B295" s="23"/>
      <c r="C295" s="22"/>
      <c r="D295" s="22"/>
      <c r="E295" s="22"/>
      <c r="F295" s="24"/>
      <c r="G295" s="24"/>
      <c r="H295" s="25"/>
      <c r="I295" s="25"/>
      <c r="J295" s="24"/>
      <c r="K295" s="24"/>
      <c r="L295" s="22"/>
    </row>
    <row r="296" spans="1:12">
      <c r="A296" s="22"/>
      <c r="B296" s="23"/>
      <c r="C296" s="22"/>
      <c r="D296" s="22"/>
      <c r="E296" s="22"/>
      <c r="F296" s="24"/>
      <c r="G296" s="24"/>
      <c r="H296" s="25"/>
      <c r="I296" s="25"/>
      <c r="J296" s="24"/>
      <c r="K296" s="24"/>
      <c r="L296" s="22"/>
    </row>
    <row r="297" spans="1:12">
      <c r="A297" s="22"/>
      <c r="B297" s="23"/>
      <c r="C297" s="22"/>
      <c r="D297" s="22"/>
      <c r="E297" s="22"/>
      <c r="F297" s="24"/>
      <c r="G297" s="24"/>
      <c r="H297" s="25"/>
      <c r="I297" s="25"/>
      <c r="J297" s="24"/>
      <c r="K297" s="24"/>
      <c r="L297" s="22"/>
    </row>
    <row r="298" spans="1:12">
      <c r="A298" s="22"/>
      <c r="B298" s="23"/>
      <c r="C298" s="22"/>
      <c r="D298" s="22"/>
      <c r="E298" s="22"/>
      <c r="F298" s="24"/>
      <c r="G298" s="24"/>
      <c r="H298" s="25"/>
      <c r="I298" s="25"/>
      <c r="J298" s="24"/>
      <c r="K298" s="24"/>
      <c r="L298" s="22"/>
    </row>
    <row r="299" spans="1:12">
      <c r="A299" s="22"/>
      <c r="B299" s="23"/>
      <c r="C299" s="22"/>
      <c r="D299" s="22"/>
      <c r="E299" s="22"/>
      <c r="F299" s="24"/>
      <c r="G299" s="24"/>
      <c r="H299" s="25"/>
      <c r="I299" s="25"/>
      <c r="J299" s="24"/>
      <c r="K299" s="24"/>
      <c r="L299" s="22"/>
    </row>
    <row r="300" spans="1:12">
      <c r="A300" s="22"/>
      <c r="B300" s="23"/>
      <c r="C300" s="22"/>
      <c r="D300" s="22"/>
      <c r="E300" s="22"/>
      <c r="F300" s="24"/>
      <c r="G300" s="24"/>
      <c r="H300" s="25"/>
      <c r="I300" s="25"/>
      <c r="J300" s="24"/>
      <c r="K300" s="24"/>
      <c r="L300" s="22"/>
    </row>
    <row r="301" spans="1:12">
      <c r="A301" s="22"/>
      <c r="B301" s="23"/>
      <c r="C301" s="22"/>
      <c r="D301" s="22"/>
      <c r="E301" s="22"/>
      <c r="F301" s="24"/>
      <c r="G301" s="24"/>
      <c r="H301" s="25"/>
      <c r="I301" s="25"/>
      <c r="J301" s="24"/>
      <c r="K301" s="24"/>
      <c r="L301" s="22"/>
    </row>
    <row r="302" spans="1:12">
      <c r="A302" s="22"/>
      <c r="B302" s="23"/>
      <c r="C302" s="22"/>
      <c r="D302" s="22"/>
      <c r="E302" s="22"/>
      <c r="F302" s="24"/>
      <c r="G302" s="24"/>
      <c r="H302" s="25"/>
      <c r="I302" s="25"/>
      <c r="J302" s="24"/>
      <c r="K302" s="24"/>
      <c r="L302" s="22"/>
    </row>
    <row r="303" spans="1:12">
      <c r="A303" s="22"/>
      <c r="B303" s="23"/>
      <c r="C303" s="22"/>
      <c r="D303" s="22"/>
      <c r="E303" s="22"/>
      <c r="F303" s="24"/>
      <c r="G303" s="24"/>
      <c r="H303" s="25"/>
      <c r="I303" s="25"/>
      <c r="J303" s="24"/>
      <c r="K303" s="24"/>
      <c r="L303" s="22"/>
    </row>
    <row r="304" spans="1:12">
      <c r="A304" s="22"/>
      <c r="B304" s="23"/>
      <c r="C304" s="22"/>
      <c r="D304" s="22"/>
      <c r="E304" s="22"/>
      <c r="F304" s="24"/>
      <c r="G304" s="24"/>
      <c r="H304" s="25"/>
      <c r="I304" s="25"/>
      <c r="J304" s="24"/>
      <c r="K304" s="24"/>
      <c r="L304" s="22"/>
    </row>
    <row r="305" spans="1:12">
      <c r="A305" s="22"/>
      <c r="B305" s="23"/>
      <c r="C305" s="22"/>
      <c r="D305" s="22"/>
      <c r="E305" s="22"/>
      <c r="F305" s="24"/>
      <c r="G305" s="24"/>
      <c r="H305" s="25"/>
      <c r="I305" s="25"/>
      <c r="J305" s="24"/>
      <c r="K305" s="24"/>
      <c r="L305" s="22"/>
    </row>
    <row r="306" spans="1:12">
      <c r="A306" s="22"/>
      <c r="B306" s="23"/>
      <c r="C306" s="22"/>
      <c r="D306" s="22"/>
      <c r="E306" s="22"/>
      <c r="F306" s="24"/>
      <c r="G306" s="24"/>
      <c r="H306" s="25"/>
      <c r="I306" s="25"/>
      <c r="J306" s="24"/>
      <c r="K306" s="24"/>
      <c r="L306" s="22"/>
    </row>
    <row r="307" spans="1:12">
      <c r="A307" s="22"/>
      <c r="B307" s="23"/>
      <c r="C307" s="22"/>
      <c r="D307" s="22"/>
      <c r="E307" s="22"/>
      <c r="F307" s="24"/>
      <c r="G307" s="24"/>
      <c r="H307" s="25"/>
      <c r="I307" s="25"/>
      <c r="J307" s="24"/>
      <c r="K307" s="24"/>
      <c r="L307" s="22"/>
    </row>
    <row r="308" spans="1:12">
      <c r="A308" s="22"/>
      <c r="B308" s="23"/>
      <c r="C308" s="22"/>
      <c r="D308" s="22"/>
      <c r="E308" s="22"/>
      <c r="F308" s="24"/>
      <c r="G308" s="24"/>
      <c r="H308" s="25"/>
      <c r="I308" s="25"/>
      <c r="J308" s="24"/>
      <c r="K308" s="24"/>
      <c r="L308" s="22"/>
    </row>
    <row r="309" spans="1:12">
      <c r="A309" s="22"/>
      <c r="B309" s="23"/>
      <c r="C309" s="22"/>
      <c r="D309" s="22"/>
      <c r="E309" s="22"/>
      <c r="F309" s="24"/>
      <c r="G309" s="24"/>
      <c r="H309" s="25"/>
      <c r="I309" s="25"/>
      <c r="J309" s="24"/>
      <c r="K309" s="24"/>
      <c r="L309" s="22"/>
    </row>
    <row r="310" spans="1:12">
      <c r="A310" s="22"/>
      <c r="B310" s="23"/>
      <c r="C310" s="22"/>
      <c r="D310" s="22"/>
      <c r="E310" s="22"/>
      <c r="F310" s="24"/>
      <c r="G310" s="24"/>
      <c r="H310" s="25"/>
      <c r="I310" s="25"/>
      <c r="J310" s="24"/>
      <c r="K310" s="24"/>
      <c r="L310" s="22"/>
    </row>
    <row r="311" spans="1:12">
      <c r="A311" s="22"/>
      <c r="B311" s="23"/>
      <c r="C311" s="22"/>
      <c r="D311" s="22"/>
      <c r="E311" s="22"/>
      <c r="F311" s="24"/>
      <c r="G311" s="24"/>
      <c r="H311" s="25"/>
      <c r="I311" s="25"/>
      <c r="J311" s="24"/>
      <c r="K311" s="24"/>
      <c r="L311" s="22"/>
    </row>
    <row r="312" spans="1:12">
      <c r="A312" s="22"/>
      <c r="B312" s="23"/>
      <c r="C312" s="22"/>
      <c r="D312" s="22"/>
      <c r="E312" s="22"/>
      <c r="F312" s="24"/>
      <c r="G312" s="24"/>
      <c r="H312" s="25"/>
      <c r="I312" s="25"/>
      <c r="J312" s="24"/>
      <c r="K312" s="24"/>
      <c r="L312" s="22"/>
    </row>
    <row r="313" spans="1:12">
      <c r="A313" s="22"/>
      <c r="B313" s="23"/>
      <c r="C313" s="22"/>
      <c r="D313" s="22"/>
      <c r="E313" s="22"/>
      <c r="F313" s="24"/>
      <c r="G313" s="24"/>
      <c r="H313" s="25"/>
      <c r="I313" s="25"/>
      <c r="J313" s="24"/>
      <c r="K313" s="24"/>
      <c r="L313" s="22"/>
    </row>
    <row r="314" spans="1:12">
      <c r="A314" s="22"/>
      <c r="B314" s="23"/>
      <c r="C314" s="22"/>
      <c r="D314" s="22"/>
      <c r="E314" s="22"/>
      <c r="F314" s="24"/>
      <c r="G314" s="24"/>
      <c r="H314" s="25"/>
      <c r="I314" s="25"/>
      <c r="J314" s="24"/>
      <c r="K314" s="24"/>
      <c r="L314" s="22"/>
    </row>
    <row r="315" spans="1:12">
      <c r="A315" s="22"/>
      <c r="B315" s="23"/>
      <c r="C315" s="22"/>
      <c r="D315" s="22"/>
      <c r="E315" s="22"/>
      <c r="F315" s="24"/>
      <c r="G315" s="24"/>
      <c r="H315" s="25"/>
      <c r="I315" s="25"/>
      <c r="J315" s="24"/>
      <c r="K315" s="24"/>
      <c r="L315" s="22"/>
    </row>
    <row r="316" spans="1:12">
      <c r="A316" s="22"/>
      <c r="B316" s="23"/>
      <c r="C316" s="22"/>
      <c r="D316" s="22"/>
      <c r="E316" s="22"/>
      <c r="F316" s="24"/>
      <c r="G316" s="24"/>
      <c r="H316" s="25"/>
      <c r="I316" s="25"/>
      <c r="J316" s="24"/>
      <c r="K316" s="24"/>
      <c r="L316" s="22"/>
    </row>
    <row r="317" spans="1:12">
      <c r="A317" s="22"/>
      <c r="B317" s="23"/>
      <c r="C317" s="22"/>
      <c r="D317" s="22"/>
      <c r="E317" s="22"/>
      <c r="F317" s="24"/>
      <c r="G317" s="24"/>
      <c r="H317" s="25"/>
      <c r="I317" s="25"/>
      <c r="J317" s="24"/>
      <c r="K317" s="24"/>
      <c r="L317" s="22"/>
    </row>
    <row r="318" spans="1:12">
      <c r="A318" s="22"/>
      <c r="B318" s="23"/>
      <c r="C318" s="22"/>
      <c r="D318" s="22"/>
      <c r="E318" s="22"/>
      <c r="F318" s="24"/>
      <c r="G318" s="24"/>
      <c r="H318" s="25"/>
      <c r="I318" s="25"/>
      <c r="J318" s="24"/>
      <c r="K318" s="24"/>
      <c r="L318" s="22"/>
    </row>
    <row r="319" spans="1:12">
      <c r="A319" s="22"/>
      <c r="B319" s="23"/>
      <c r="C319" s="22"/>
      <c r="D319" s="22"/>
      <c r="E319" s="22"/>
      <c r="F319" s="24"/>
      <c r="G319" s="24"/>
      <c r="H319" s="25"/>
      <c r="I319" s="25"/>
      <c r="J319" s="24"/>
      <c r="K319" s="24"/>
      <c r="L319" s="22"/>
    </row>
    <row r="320" spans="1:12">
      <c r="A320" s="22"/>
      <c r="B320" s="23"/>
      <c r="C320" s="22"/>
      <c r="D320" s="22"/>
      <c r="E320" s="22"/>
      <c r="F320" s="24"/>
      <c r="G320" s="24"/>
      <c r="H320" s="25"/>
      <c r="I320" s="25"/>
      <c r="J320" s="24"/>
      <c r="K320" s="24"/>
      <c r="L320" s="22"/>
    </row>
    <row r="321" spans="1:12">
      <c r="A321" s="22"/>
      <c r="B321" s="23"/>
      <c r="C321" s="22"/>
      <c r="D321" s="22"/>
      <c r="E321" s="22"/>
      <c r="F321" s="24"/>
      <c r="G321" s="24"/>
      <c r="H321" s="25"/>
      <c r="I321" s="25"/>
      <c r="J321" s="24"/>
      <c r="K321" s="24"/>
      <c r="L321" s="22"/>
    </row>
    <row r="322" spans="1:12">
      <c r="A322" s="22"/>
      <c r="B322" s="23"/>
      <c r="C322" s="22"/>
      <c r="D322" s="22"/>
      <c r="E322" s="22"/>
      <c r="F322" s="24"/>
      <c r="G322" s="24"/>
      <c r="H322" s="25"/>
      <c r="I322" s="25"/>
      <c r="J322" s="24"/>
      <c r="K322" s="24"/>
      <c r="L322" s="22"/>
    </row>
    <row r="323" spans="1:12">
      <c r="A323" s="22"/>
      <c r="B323" s="23"/>
      <c r="C323" s="22"/>
      <c r="D323" s="22"/>
      <c r="E323" s="22"/>
      <c r="F323" s="24"/>
      <c r="G323" s="24"/>
      <c r="H323" s="25"/>
      <c r="I323" s="25"/>
      <c r="J323" s="24"/>
      <c r="K323" s="24"/>
      <c r="L323" s="22"/>
    </row>
    <row r="324" spans="1:12">
      <c r="A324" s="22"/>
      <c r="B324" s="23"/>
      <c r="C324" s="22"/>
      <c r="D324" s="22"/>
      <c r="E324" s="22"/>
      <c r="F324" s="24"/>
      <c r="G324" s="24"/>
      <c r="H324" s="25"/>
      <c r="I324" s="25"/>
      <c r="J324" s="24"/>
      <c r="K324" s="24"/>
      <c r="L324" s="22"/>
    </row>
    <row r="325" spans="1:12">
      <c r="A325" s="22"/>
      <c r="B325" s="23"/>
      <c r="C325" s="22"/>
      <c r="D325" s="22"/>
      <c r="E325" s="22"/>
      <c r="F325" s="24"/>
      <c r="G325" s="24"/>
      <c r="H325" s="25"/>
      <c r="I325" s="25"/>
      <c r="J325" s="24"/>
      <c r="K325" s="24"/>
      <c r="L325" s="22"/>
    </row>
    <row r="326" spans="1:12">
      <c r="A326" s="22"/>
      <c r="B326" s="23"/>
      <c r="C326" s="22"/>
      <c r="D326" s="22"/>
      <c r="E326" s="22"/>
      <c r="F326" s="24"/>
      <c r="G326" s="24"/>
      <c r="H326" s="25"/>
      <c r="I326" s="25"/>
      <c r="J326" s="24"/>
      <c r="K326" s="24"/>
      <c r="L326" s="22"/>
    </row>
    <row r="327" spans="1:12">
      <c r="A327" s="22"/>
      <c r="B327" s="23"/>
      <c r="C327" s="22"/>
      <c r="D327" s="22"/>
      <c r="E327" s="22"/>
      <c r="F327" s="24"/>
      <c r="G327" s="24"/>
      <c r="H327" s="25"/>
      <c r="I327" s="25"/>
      <c r="J327" s="24"/>
      <c r="K327" s="24"/>
      <c r="L327" s="22"/>
    </row>
    <row r="328" spans="1:12">
      <c r="A328" s="22"/>
      <c r="B328" s="23"/>
      <c r="C328" s="22"/>
      <c r="D328" s="22"/>
      <c r="E328" s="22"/>
      <c r="F328" s="24"/>
      <c r="G328" s="24"/>
      <c r="H328" s="25"/>
      <c r="I328" s="25"/>
      <c r="J328" s="24"/>
      <c r="K328" s="24"/>
      <c r="L328" s="22"/>
    </row>
    <row r="329" spans="1:12">
      <c r="A329" s="22"/>
      <c r="B329" s="23"/>
      <c r="C329" s="22"/>
      <c r="D329" s="22"/>
      <c r="E329" s="22"/>
      <c r="F329" s="24"/>
      <c r="G329" s="24"/>
      <c r="H329" s="25"/>
      <c r="I329" s="25"/>
      <c r="J329" s="24"/>
      <c r="K329" s="24"/>
      <c r="L329" s="22"/>
    </row>
    <row r="330" spans="1:12">
      <c r="A330" s="22"/>
      <c r="B330" s="23"/>
      <c r="C330" s="22"/>
      <c r="D330" s="22"/>
      <c r="E330" s="22"/>
      <c r="F330" s="24"/>
      <c r="G330" s="24"/>
      <c r="H330" s="25"/>
      <c r="I330" s="25"/>
      <c r="J330" s="24"/>
      <c r="K330" s="24"/>
      <c r="L330" s="22"/>
    </row>
    <row r="331" spans="1:12">
      <c r="A331" s="22"/>
      <c r="B331" s="23"/>
      <c r="C331" s="22"/>
      <c r="D331" s="22"/>
      <c r="E331" s="22"/>
      <c r="F331" s="24"/>
      <c r="G331" s="24"/>
      <c r="H331" s="25"/>
      <c r="I331" s="25"/>
      <c r="J331" s="24"/>
      <c r="K331" s="24"/>
      <c r="L331" s="22"/>
    </row>
    <row r="332" spans="1:12">
      <c r="A332" s="22"/>
      <c r="B332" s="23"/>
      <c r="C332" s="22"/>
      <c r="D332" s="22"/>
      <c r="E332" s="22"/>
      <c r="F332" s="24"/>
      <c r="G332" s="24"/>
      <c r="H332" s="25"/>
      <c r="I332" s="25"/>
      <c r="J332" s="24"/>
      <c r="K332" s="24"/>
      <c r="L332" s="22"/>
    </row>
    <row r="333" spans="1:12">
      <c r="A333" s="22"/>
      <c r="B333" s="23"/>
      <c r="C333" s="22"/>
      <c r="D333" s="22"/>
      <c r="E333" s="22"/>
      <c r="F333" s="24"/>
      <c r="G333" s="24"/>
      <c r="H333" s="25"/>
      <c r="I333" s="25"/>
      <c r="J333" s="24"/>
      <c r="K333" s="24"/>
      <c r="L333" s="22"/>
    </row>
    <row r="334" spans="1:12">
      <c r="A334" s="22"/>
      <c r="B334" s="23"/>
      <c r="C334" s="22"/>
      <c r="D334" s="22"/>
      <c r="E334" s="22"/>
      <c r="F334" s="24"/>
      <c r="G334" s="24"/>
      <c r="H334" s="25"/>
      <c r="I334" s="25"/>
      <c r="J334" s="24"/>
      <c r="K334" s="24"/>
      <c r="L334" s="22"/>
    </row>
    <row r="335" spans="1:12">
      <c r="A335" s="22"/>
      <c r="B335" s="23"/>
      <c r="C335" s="22"/>
      <c r="D335" s="22"/>
      <c r="E335" s="22"/>
      <c r="F335" s="24"/>
      <c r="G335" s="24"/>
      <c r="H335" s="25"/>
      <c r="I335" s="25"/>
      <c r="J335" s="24"/>
      <c r="K335" s="24"/>
      <c r="L335" s="22"/>
    </row>
    <row r="336" spans="1:12">
      <c r="A336" s="22"/>
      <c r="B336" s="23"/>
      <c r="C336" s="22"/>
      <c r="D336" s="22"/>
      <c r="E336" s="22"/>
      <c r="F336" s="24"/>
      <c r="G336" s="24"/>
      <c r="H336" s="25"/>
      <c r="I336" s="25"/>
      <c r="J336" s="24"/>
      <c r="K336" s="24"/>
      <c r="L336" s="22"/>
    </row>
    <row r="337" spans="1:12">
      <c r="A337" s="22"/>
      <c r="B337" s="23"/>
      <c r="C337" s="22"/>
      <c r="D337" s="22"/>
      <c r="E337" s="22"/>
      <c r="F337" s="24"/>
      <c r="G337" s="24"/>
      <c r="H337" s="25"/>
      <c r="I337" s="25"/>
      <c r="J337" s="24"/>
      <c r="K337" s="24"/>
      <c r="L337" s="22"/>
    </row>
    <row r="338" spans="1:12">
      <c r="A338" s="22"/>
      <c r="B338" s="23"/>
      <c r="C338" s="22"/>
      <c r="D338" s="22"/>
      <c r="E338" s="22"/>
      <c r="F338" s="24"/>
      <c r="G338" s="24"/>
      <c r="H338" s="25"/>
      <c r="I338" s="25"/>
      <c r="J338" s="24"/>
      <c r="K338" s="24"/>
      <c r="L338" s="22"/>
    </row>
    <row r="339" spans="1:12">
      <c r="A339" s="22"/>
      <c r="B339" s="23"/>
      <c r="C339" s="22"/>
      <c r="D339" s="22"/>
      <c r="E339" s="22"/>
      <c r="F339" s="24"/>
      <c r="G339" s="24"/>
      <c r="H339" s="25"/>
      <c r="I339" s="25"/>
      <c r="J339" s="24"/>
      <c r="K339" s="24"/>
      <c r="L339" s="22"/>
    </row>
    <row r="340" spans="1:12">
      <c r="A340" s="22"/>
      <c r="B340" s="23"/>
      <c r="C340" s="22"/>
      <c r="D340" s="22"/>
      <c r="E340" s="22"/>
      <c r="F340" s="24"/>
      <c r="G340" s="24"/>
      <c r="H340" s="25"/>
      <c r="I340" s="25"/>
      <c r="J340" s="24"/>
      <c r="K340" s="24"/>
      <c r="L340" s="22"/>
    </row>
    <row r="341" spans="1:12">
      <c r="A341" s="22"/>
      <c r="B341" s="23"/>
      <c r="C341" s="22"/>
      <c r="D341" s="22"/>
      <c r="E341" s="22"/>
      <c r="F341" s="24"/>
      <c r="G341" s="24"/>
      <c r="H341" s="25"/>
      <c r="I341" s="25"/>
      <c r="J341" s="24"/>
      <c r="K341" s="24"/>
      <c r="L341" s="22"/>
    </row>
    <row r="342" spans="1:12">
      <c r="A342" s="22"/>
      <c r="B342" s="23"/>
      <c r="C342" s="22"/>
      <c r="D342" s="22"/>
      <c r="E342" s="22"/>
      <c r="F342" s="24"/>
      <c r="G342" s="24"/>
      <c r="H342" s="25"/>
      <c r="I342" s="25"/>
      <c r="J342" s="24"/>
      <c r="K342" s="24"/>
      <c r="L342" s="22"/>
    </row>
    <row r="343" spans="1:12">
      <c r="A343" s="22"/>
      <c r="B343" s="23"/>
      <c r="C343" s="22"/>
      <c r="D343" s="22"/>
      <c r="E343" s="22"/>
      <c r="F343" s="24"/>
      <c r="G343" s="24"/>
      <c r="H343" s="25"/>
      <c r="I343" s="25"/>
      <c r="J343" s="24"/>
      <c r="K343" s="24"/>
      <c r="L343" s="22"/>
    </row>
    <row r="344" spans="1:12">
      <c r="A344" s="22"/>
      <c r="B344" s="23"/>
      <c r="C344" s="22"/>
      <c r="D344" s="22"/>
      <c r="E344" s="22"/>
      <c r="F344" s="24"/>
      <c r="G344" s="24"/>
      <c r="H344" s="25"/>
      <c r="I344" s="25"/>
      <c r="J344" s="24"/>
      <c r="K344" s="24"/>
      <c r="L344" s="22"/>
    </row>
    <row r="345" spans="1:12">
      <c r="A345" s="22"/>
      <c r="B345" s="23"/>
      <c r="C345" s="22"/>
      <c r="D345" s="22"/>
      <c r="E345" s="22"/>
      <c r="F345" s="24"/>
      <c r="G345" s="24"/>
      <c r="H345" s="25"/>
      <c r="I345" s="25"/>
      <c r="J345" s="24"/>
      <c r="K345" s="24"/>
      <c r="L345" s="22"/>
    </row>
    <row r="346" spans="1:12">
      <c r="A346" s="22"/>
      <c r="B346" s="23"/>
      <c r="C346" s="22"/>
      <c r="D346" s="22"/>
      <c r="E346" s="22"/>
      <c r="F346" s="24"/>
      <c r="G346" s="24"/>
      <c r="H346" s="25"/>
      <c r="I346" s="25"/>
      <c r="J346" s="24"/>
      <c r="K346" s="24"/>
      <c r="L346" s="22"/>
    </row>
    <row r="347" spans="1:12">
      <c r="A347" s="22"/>
      <c r="B347" s="23"/>
      <c r="C347" s="22"/>
      <c r="D347" s="22"/>
      <c r="E347" s="22"/>
      <c r="F347" s="24"/>
      <c r="G347" s="24"/>
      <c r="H347" s="25"/>
      <c r="I347" s="25"/>
      <c r="J347" s="24"/>
      <c r="K347" s="24"/>
      <c r="L347" s="22"/>
    </row>
    <row r="348" spans="1:12">
      <c r="A348" s="22"/>
      <c r="B348" s="23"/>
      <c r="C348" s="22"/>
      <c r="D348" s="22"/>
      <c r="E348" s="22"/>
      <c r="F348" s="24"/>
      <c r="G348" s="24"/>
      <c r="H348" s="25"/>
      <c r="I348" s="25"/>
      <c r="J348" s="24"/>
      <c r="K348" s="24"/>
      <c r="L348" s="22"/>
    </row>
    <row r="349" spans="1:12">
      <c r="A349" s="22"/>
      <c r="B349" s="23"/>
      <c r="C349" s="22"/>
      <c r="D349" s="22"/>
      <c r="E349" s="22"/>
      <c r="F349" s="24"/>
      <c r="G349" s="24"/>
      <c r="H349" s="25"/>
      <c r="I349" s="25"/>
      <c r="J349" s="24"/>
      <c r="K349" s="24"/>
      <c r="L349" s="22"/>
    </row>
    <row r="350" spans="1:12">
      <c r="A350" s="22"/>
      <c r="B350" s="23"/>
      <c r="C350" s="22"/>
      <c r="D350" s="22"/>
      <c r="E350" s="22"/>
      <c r="F350" s="24"/>
      <c r="G350" s="24"/>
      <c r="H350" s="25"/>
      <c r="I350" s="25"/>
      <c r="J350" s="24"/>
      <c r="K350" s="24"/>
      <c r="L350" s="22"/>
    </row>
    <row r="351" spans="1:12">
      <c r="A351" s="22"/>
      <c r="B351" s="23"/>
      <c r="C351" s="22"/>
      <c r="D351" s="22"/>
      <c r="E351" s="22"/>
      <c r="F351" s="24"/>
      <c r="G351" s="24"/>
      <c r="H351" s="25"/>
      <c r="I351" s="25"/>
      <c r="J351" s="24"/>
      <c r="K351" s="24"/>
      <c r="L351" s="22"/>
    </row>
    <row r="352" spans="1:12">
      <c r="A352" s="22"/>
      <c r="B352" s="23"/>
      <c r="C352" s="22"/>
      <c r="D352" s="22"/>
      <c r="E352" s="22"/>
      <c r="F352" s="24"/>
      <c r="G352" s="24"/>
      <c r="H352" s="25"/>
      <c r="I352" s="25"/>
      <c r="J352" s="24"/>
      <c r="K352" s="24"/>
      <c r="L352" s="22"/>
    </row>
    <row r="353" spans="1:12">
      <c r="A353" s="22"/>
      <c r="B353" s="23"/>
      <c r="C353" s="22"/>
      <c r="D353" s="22"/>
      <c r="E353" s="22"/>
      <c r="F353" s="24"/>
      <c r="G353" s="24"/>
      <c r="H353" s="25"/>
      <c r="I353" s="25"/>
      <c r="J353" s="24"/>
      <c r="K353" s="24"/>
      <c r="L353" s="22"/>
    </row>
    <row r="354" spans="1:12">
      <c r="A354" s="22"/>
      <c r="B354" s="23"/>
      <c r="C354" s="22"/>
      <c r="D354" s="22"/>
      <c r="E354" s="22"/>
      <c r="F354" s="24"/>
      <c r="G354" s="24"/>
      <c r="H354" s="25"/>
      <c r="I354" s="25"/>
      <c r="J354" s="24"/>
      <c r="K354" s="24"/>
      <c r="L354" s="22"/>
    </row>
    <row r="355" spans="1:12">
      <c r="A355" s="22"/>
      <c r="B355" s="23"/>
      <c r="C355" s="22"/>
      <c r="D355" s="22"/>
      <c r="E355" s="22"/>
      <c r="F355" s="24"/>
      <c r="G355" s="24"/>
      <c r="H355" s="25"/>
      <c r="I355" s="25"/>
      <c r="J355" s="24"/>
      <c r="K355" s="24"/>
      <c r="L355" s="22"/>
    </row>
    <row r="356" spans="1:12">
      <c r="A356" s="22"/>
      <c r="B356" s="23"/>
      <c r="C356" s="22"/>
      <c r="D356" s="22"/>
      <c r="E356" s="22"/>
      <c r="F356" s="24"/>
      <c r="G356" s="24"/>
      <c r="H356" s="25"/>
      <c r="I356" s="25"/>
      <c r="J356" s="24"/>
      <c r="K356" s="24"/>
      <c r="L356" s="22"/>
    </row>
    <row r="357" spans="1:12">
      <c r="A357" s="22"/>
      <c r="B357" s="23"/>
      <c r="C357" s="22"/>
      <c r="D357" s="22"/>
      <c r="E357" s="22"/>
      <c r="F357" s="24"/>
      <c r="G357" s="24"/>
      <c r="H357" s="25"/>
      <c r="I357" s="25"/>
      <c r="J357" s="24"/>
      <c r="K357" s="24"/>
      <c r="L357" s="22"/>
    </row>
    <row r="358" spans="1:12">
      <c r="A358" s="22"/>
      <c r="B358" s="23"/>
      <c r="C358" s="22"/>
      <c r="D358" s="22"/>
      <c r="E358" s="22"/>
      <c r="F358" s="24"/>
      <c r="G358" s="24"/>
      <c r="H358" s="25"/>
      <c r="I358" s="25"/>
      <c r="J358" s="24"/>
      <c r="K358" s="24"/>
      <c r="L358" s="22"/>
    </row>
    <row r="359" spans="1:12">
      <c r="A359" s="22"/>
      <c r="B359" s="23"/>
      <c r="C359" s="22"/>
      <c r="D359" s="22"/>
      <c r="E359" s="22"/>
      <c r="F359" s="24"/>
      <c r="G359" s="24"/>
      <c r="H359" s="25"/>
      <c r="I359" s="25"/>
      <c r="J359" s="24"/>
      <c r="K359" s="24"/>
      <c r="L359" s="22"/>
    </row>
    <row r="360" spans="1:12">
      <c r="A360" s="22"/>
      <c r="B360" s="23"/>
      <c r="C360" s="22"/>
      <c r="D360" s="22"/>
      <c r="E360" s="22"/>
      <c r="F360" s="24"/>
      <c r="G360" s="24"/>
      <c r="H360" s="25"/>
      <c r="I360" s="25"/>
      <c r="J360" s="24"/>
      <c r="K360" s="24"/>
      <c r="L360" s="22"/>
    </row>
    <row r="361" spans="1:12">
      <c r="A361" s="22"/>
      <c r="B361" s="23"/>
      <c r="C361" s="22"/>
      <c r="D361" s="22"/>
      <c r="E361" s="22"/>
      <c r="F361" s="24"/>
      <c r="G361" s="24"/>
      <c r="H361" s="25"/>
      <c r="I361" s="25"/>
      <c r="J361" s="24"/>
      <c r="K361" s="24"/>
      <c r="L361" s="22"/>
    </row>
    <row r="362" spans="1:12">
      <c r="A362" s="22"/>
      <c r="B362" s="23"/>
      <c r="C362" s="22"/>
      <c r="D362" s="22"/>
      <c r="E362" s="22"/>
      <c r="F362" s="24"/>
      <c r="G362" s="24"/>
      <c r="H362" s="25"/>
      <c r="I362" s="25"/>
      <c r="J362" s="24"/>
      <c r="K362" s="24"/>
      <c r="L362" s="22"/>
    </row>
    <row r="363" spans="1:12">
      <c r="A363" s="22"/>
      <c r="B363" s="23"/>
      <c r="C363" s="22"/>
      <c r="D363" s="22"/>
      <c r="E363" s="22"/>
      <c r="F363" s="24"/>
      <c r="G363" s="24"/>
      <c r="H363" s="25"/>
      <c r="I363" s="25"/>
      <c r="J363" s="24"/>
      <c r="K363" s="24"/>
      <c r="L363" s="22"/>
    </row>
    <row r="364" spans="1:12">
      <c r="A364" s="22"/>
      <c r="B364" s="23"/>
      <c r="C364" s="22"/>
      <c r="D364" s="22"/>
      <c r="E364" s="22"/>
      <c r="F364" s="24"/>
      <c r="G364" s="24"/>
      <c r="H364" s="25"/>
      <c r="I364" s="25"/>
      <c r="J364" s="24"/>
      <c r="K364" s="24"/>
      <c r="L364" s="22"/>
    </row>
    <row r="365" spans="1:12">
      <c r="A365" s="22"/>
      <c r="B365" s="23"/>
      <c r="C365" s="22"/>
      <c r="D365" s="22"/>
      <c r="E365" s="22"/>
      <c r="F365" s="24"/>
      <c r="G365" s="24"/>
      <c r="H365" s="25"/>
      <c r="I365" s="25"/>
      <c r="J365" s="24"/>
      <c r="K365" s="24"/>
      <c r="L365" s="22"/>
    </row>
    <row r="366" spans="1:12">
      <c r="A366" s="22"/>
      <c r="B366" s="23"/>
      <c r="C366" s="22"/>
      <c r="D366" s="22"/>
      <c r="E366" s="22"/>
      <c r="F366" s="24"/>
      <c r="G366" s="24"/>
      <c r="H366" s="25"/>
      <c r="I366" s="25"/>
      <c r="J366" s="24"/>
      <c r="K366" s="24"/>
      <c r="L366" s="22"/>
    </row>
    <row r="367" spans="1:12">
      <c r="A367" s="22"/>
      <c r="B367" s="23"/>
      <c r="C367" s="22"/>
      <c r="D367" s="22"/>
      <c r="E367" s="22"/>
      <c r="F367" s="24"/>
      <c r="G367" s="24"/>
      <c r="H367" s="25"/>
      <c r="I367" s="25"/>
      <c r="J367" s="24"/>
      <c r="K367" s="24"/>
      <c r="L367" s="22"/>
    </row>
    <row r="368" spans="1:12">
      <c r="A368" s="22"/>
      <c r="B368" s="23"/>
      <c r="C368" s="22"/>
      <c r="D368" s="22"/>
      <c r="E368" s="22"/>
      <c r="F368" s="24"/>
      <c r="G368" s="24"/>
      <c r="H368" s="25"/>
      <c r="I368" s="25"/>
      <c r="J368" s="24"/>
      <c r="K368" s="24"/>
      <c r="L368" s="22"/>
    </row>
    <row r="369" spans="1:12">
      <c r="A369" s="22"/>
      <c r="B369" s="23"/>
      <c r="C369" s="22"/>
      <c r="D369" s="22"/>
      <c r="E369" s="22"/>
      <c r="F369" s="24"/>
      <c r="G369" s="24"/>
      <c r="H369" s="25"/>
      <c r="I369" s="25"/>
      <c r="J369" s="24"/>
      <c r="K369" s="24"/>
      <c r="L369" s="22"/>
    </row>
    <row r="370" spans="1:12">
      <c r="A370" s="22"/>
      <c r="B370" s="23"/>
      <c r="C370" s="22"/>
      <c r="D370" s="22"/>
      <c r="E370" s="22"/>
      <c r="F370" s="24"/>
      <c r="G370" s="24"/>
      <c r="H370" s="25"/>
      <c r="I370" s="25"/>
      <c r="J370" s="24"/>
      <c r="K370" s="24"/>
      <c r="L370" s="22"/>
    </row>
    <row r="371" spans="1:12">
      <c r="A371" s="22"/>
      <c r="B371" s="23"/>
      <c r="C371" s="22"/>
      <c r="D371" s="22"/>
      <c r="E371" s="22"/>
      <c r="F371" s="24"/>
      <c r="G371" s="24"/>
      <c r="H371" s="25"/>
      <c r="I371" s="25"/>
      <c r="J371" s="24"/>
      <c r="K371" s="24"/>
      <c r="L371" s="22"/>
    </row>
    <row r="372" spans="1:12">
      <c r="A372" s="22"/>
      <c r="B372" s="23"/>
      <c r="C372" s="22"/>
      <c r="D372" s="22"/>
      <c r="E372" s="22"/>
      <c r="F372" s="24"/>
      <c r="G372" s="24"/>
      <c r="H372" s="25"/>
      <c r="I372" s="25"/>
      <c r="J372" s="24"/>
      <c r="K372" s="24"/>
      <c r="L372" s="22"/>
    </row>
    <row r="373" spans="1:12">
      <c r="A373" s="22"/>
      <c r="B373" s="23"/>
      <c r="C373" s="22"/>
      <c r="D373" s="22"/>
      <c r="E373" s="22"/>
      <c r="F373" s="24"/>
      <c r="G373" s="24"/>
      <c r="H373" s="25"/>
      <c r="I373" s="25"/>
      <c r="J373" s="24"/>
      <c r="K373" s="24"/>
      <c r="L373" s="22"/>
    </row>
    <row r="374" spans="1:12">
      <c r="A374" s="22"/>
      <c r="B374" s="23"/>
      <c r="C374" s="22"/>
      <c r="D374" s="22"/>
      <c r="E374" s="22"/>
      <c r="F374" s="24"/>
      <c r="G374" s="24"/>
      <c r="H374" s="25"/>
      <c r="I374" s="25"/>
      <c r="J374" s="24"/>
      <c r="K374" s="24"/>
      <c r="L374" s="22"/>
    </row>
    <row r="375" spans="1:12">
      <c r="A375" s="22"/>
      <c r="B375" s="23"/>
      <c r="C375" s="22"/>
      <c r="D375" s="22"/>
      <c r="E375" s="22"/>
      <c r="F375" s="24"/>
      <c r="G375" s="24"/>
      <c r="H375" s="25"/>
      <c r="I375" s="25"/>
      <c r="J375" s="24"/>
      <c r="K375" s="24"/>
      <c r="L375" s="22"/>
    </row>
    <row r="376" spans="1:12">
      <c r="A376" s="22"/>
      <c r="B376" s="23"/>
      <c r="C376" s="22"/>
      <c r="D376" s="22"/>
      <c r="E376" s="22"/>
      <c r="F376" s="24"/>
      <c r="G376" s="24"/>
      <c r="H376" s="25"/>
      <c r="I376" s="25"/>
      <c r="J376" s="24"/>
      <c r="K376" s="24"/>
      <c r="L376" s="22"/>
    </row>
    <row r="377" spans="1:12">
      <c r="A377" s="22"/>
      <c r="B377" s="23"/>
      <c r="C377" s="22"/>
      <c r="D377" s="22"/>
      <c r="E377" s="22"/>
      <c r="F377" s="24"/>
      <c r="G377" s="24"/>
      <c r="H377" s="25"/>
      <c r="I377" s="25"/>
      <c r="J377" s="24"/>
      <c r="K377" s="24"/>
      <c r="L377" s="22"/>
    </row>
    <row r="378" spans="1:12">
      <c r="A378" s="22"/>
      <c r="B378" s="23"/>
      <c r="C378" s="22"/>
      <c r="D378" s="22"/>
      <c r="E378" s="22"/>
      <c r="F378" s="24"/>
      <c r="G378" s="24"/>
      <c r="H378" s="25"/>
      <c r="I378" s="25"/>
      <c r="J378" s="24"/>
      <c r="K378" s="24"/>
      <c r="L378" s="22"/>
    </row>
    <row r="379" spans="1:12">
      <c r="A379" s="22"/>
      <c r="B379" s="23"/>
      <c r="C379" s="22"/>
      <c r="D379" s="22"/>
      <c r="E379" s="22"/>
      <c r="F379" s="24"/>
      <c r="G379" s="24"/>
      <c r="H379" s="25"/>
      <c r="I379" s="25"/>
      <c r="J379" s="24"/>
      <c r="K379" s="24"/>
      <c r="L379" s="22"/>
    </row>
    <row r="380" spans="1:12">
      <c r="A380" s="22"/>
      <c r="B380" s="23"/>
      <c r="C380" s="22"/>
      <c r="D380" s="22"/>
      <c r="E380" s="22"/>
      <c r="F380" s="24"/>
      <c r="G380" s="24"/>
      <c r="H380" s="25"/>
      <c r="I380" s="25"/>
      <c r="J380" s="24"/>
      <c r="K380" s="24"/>
      <c r="L380" s="22"/>
    </row>
    <row r="381" spans="1:12">
      <c r="A381" s="22"/>
      <c r="B381" s="23"/>
      <c r="C381" s="22"/>
      <c r="D381" s="22"/>
      <c r="E381" s="22"/>
      <c r="F381" s="24"/>
      <c r="G381" s="24"/>
      <c r="H381" s="25"/>
      <c r="I381" s="25"/>
      <c r="J381" s="24"/>
      <c r="K381" s="24"/>
      <c r="L381" s="22"/>
    </row>
    <row r="382" spans="1:12">
      <c r="A382" s="22"/>
      <c r="B382" s="23"/>
      <c r="C382" s="22"/>
      <c r="D382" s="22"/>
      <c r="E382" s="22"/>
      <c r="F382" s="24"/>
      <c r="G382" s="24"/>
      <c r="H382" s="25"/>
      <c r="I382" s="25"/>
      <c r="J382" s="24"/>
      <c r="K382" s="24"/>
      <c r="L382" s="22"/>
    </row>
    <row r="383" spans="1:12">
      <c r="A383" s="22"/>
      <c r="B383" s="23"/>
      <c r="C383" s="22"/>
      <c r="D383" s="22"/>
      <c r="E383" s="22"/>
      <c r="F383" s="24"/>
      <c r="G383" s="24"/>
      <c r="H383" s="25"/>
      <c r="I383" s="25"/>
      <c r="J383" s="24"/>
      <c r="K383" s="24"/>
      <c r="L383" s="22"/>
    </row>
    <row r="384" spans="1:12">
      <c r="A384" s="22"/>
      <c r="B384" s="23"/>
      <c r="C384" s="22"/>
      <c r="D384" s="22"/>
      <c r="E384" s="22"/>
      <c r="F384" s="24"/>
      <c r="G384" s="24"/>
      <c r="H384" s="25"/>
      <c r="I384" s="25"/>
      <c r="J384" s="24"/>
      <c r="K384" s="24"/>
      <c r="L384" s="22"/>
    </row>
    <row r="385" spans="1:12">
      <c r="A385" s="22"/>
      <c r="B385" s="23"/>
      <c r="C385" s="22"/>
      <c r="D385" s="22"/>
      <c r="E385" s="22"/>
      <c r="F385" s="24"/>
      <c r="G385" s="24"/>
      <c r="H385" s="25"/>
      <c r="I385" s="25"/>
      <c r="J385" s="24"/>
      <c r="K385" s="24"/>
      <c r="L385" s="22"/>
    </row>
    <row r="386" spans="1:12">
      <c r="A386" s="22"/>
      <c r="B386" s="23"/>
      <c r="C386" s="22"/>
      <c r="D386" s="22"/>
      <c r="E386" s="22"/>
      <c r="F386" s="24"/>
      <c r="G386" s="24"/>
      <c r="H386" s="25"/>
      <c r="I386" s="25"/>
      <c r="J386" s="24"/>
      <c r="K386" s="24"/>
      <c r="L386" s="22"/>
    </row>
    <row r="387" spans="1:12">
      <c r="A387" s="22"/>
      <c r="B387" s="23"/>
      <c r="C387" s="22"/>
      <c r="D387" s="22"/>
      <c r="E387" s="22"/>
      <c r="F387" s="24"/>
      <c r="G387" s="24"/>
      <c r="H387" s="25"/>
      <c r="I387" s="25"/>
      <c r="J387" s="24"/>
      <c r="K387" s="24"/>
      <c r="L387" s="22"/>
    </row>
    <row r="388" spans="1:12">
      <c r="A388" s="22"/>
      <c r="B388" s="23"/>
      <c r="C388" s="22"/>
      <c r="D388" s="22"/>
      <c r="E388" s="22"/>
      <c r="F388" s="24"/>
      <c r="G388" s="24"/>
      <c r="H388" s="25"/>
      <c r="I388" s="25"/>
      <c r="J388" s="24"/>
      <c r="K388" s="24"/>
      <c r="L388" s="22"/>
    </row>
    <row r="389" spans="1:12">
      <c r="A389" s="22"/>
      <c r="B389" s="23"/>
      <c r="C389" s="22"/>
      <c r="D389" s="22"/>
      <c r="E389" s="22"/>
      <c r="F389" s="24"/>
      <c r="G389" s="24"/>
      <c r="H389" s="25"/>
      <c r="I389" s="25"/>
      <c r="J389" s="24"/>
      <c r="K389" s="24"/>
      <c r="L389" s="22"/>
    </row>
    <row r="390" spans="1:12">
      <c r="A390" s="22"/>
      <c r="B390" s="23"/>
      <c r="C390" s="22"/>
      <c r="D390" s="22"/>
      <c r="E390" s="22"/>
      <c r="F390" s="24"/>
      <c r="G390" s="24"/>
      <c r="H390" s="25"/>
      <c r="I390" s="25"/>
      <c r="J390" s="24"/>
      <c r="K390" s="24"/>
      <c r="L390" s="22"/>
    </row>
    <row r="391" spans="1:12">
      <c r="A391" s="22"/>
      <c r="B391" s="23"/>
      <c r="C391" s="22"/>
      <c r="D391" s="22"/>
      <c r="E391" s="22"/>
      <c r="F391" s="24"/>
      <c r="G391" s="24"/>
      <c r="H391" s="25"/>
      <c r="I391" s="25"/>
      <c r="J391" s="24"/>
      <c r="K391" s="24"/>
      <c r="L391" s="22"/>
    </row>
    <row r="392" spans="1:12">
      <c r="A392" s="22"/>
      <c r="B392" s="23"/>
      <c r="C392" s="22"/>
      <c r="D392" s="22"/>
      <c r="E392" s="22"/>
      <c r="F392" s="24"/>
      <c r="G392" s="24"/>
      <c r="H392" s="25"/>
      <c r="I392" s="25"/>
      <c r="J392" s="24"/>
      <c r="K392" s="24"/>
      <c r="L392" s="22"/>
    </row>
    <row r="393" spans="1:12">
      <c r="A393" s="22"/>
      <c r="B393" s="23"/>
      <c r="C393" s="22"/>
      <c r="D393" s="22"/>
      <c r="E393" s="22"/>
      <c r="F393" s="24"/>
      <c r="G393" s="24"/>
      <c r="H393" s="25"/>
      <c r="I393" s="25"/>
      <c r="J393" s="24"/>
      <c r="K393" s="24"/>
      <c r="L393" s="22"/>
    </row>
    <row r="394" spans="1:12">
      <c r="A394" s="22"/>
      <c r="B394" s="23"/>
      <c r="C394" s="22"/>
      <c r="D394" s="22"/>
      <c r="E394" s="22"/>
      <c r="F394" s="24"/>
      <c r="G394" s="24"/>
      <c r="H394" s="25"/>
      <c r="I394" s="25"/>
      <c r="J394" s="24"/>
      <c r="K394" s="24"/>
      <c r="L394" s="22"/>
    </row>
    <row r="395" spans="1:12">
      <c r="A395" s="22"/>
      <c r="B395" s="23"/>
      <c r="C395" s="22"/>
      <c r="D395" s="22"/>
      <c r="E395" s="22"/>
      <c r="F395" s="24"/>
      <c r="G395" s="24"/>
      <c r="H395" s="25"/>
      <c r="I395" s="25"/>
      <c r="J395" s="24"/>
      <c r="K395" s="24"/>
      <c r="L395" s="22"/>
    </row>
    <row r="396" spans="1:12">
      <c r="A396" s="22"/>
      <c r="B396" s="23"/>
      <c r="C396" s="22"/>
      <c r="D396" s="22"/>
      <c r="E396" s="22"/>
      <c r="F396" s="24"/>
      <c r="G396" s="24"/>
      <c r="H396" s="25"/>
      <c r="I396" s="25"/>
      <c r="J396" s="24"/>
      <c r="K396" s="24"/>
      <c r="L396" s="22"/>
    </row>
    <row r="397" spans="1:12">
      <c r="A397" s="22"/>
      <c r="B397" s="23"/>
      <c r="C397" s="22"/>
      <c r="D397" s="22"/>
      <c r="E397" s="22"/>
      <c r="F397" s="24"/>
      <c r="G397" s="24"/>
      <c r="H397" s="25"/>
      <c r="I397" s="25"/>
      <c r="J397" s="24"/>
      <c r="K397" s="24"/>
      <c r="L397" s="22"/>
    </row>
    <row r="398" spans="1:12">
      <c r="A398" s="22"/>
      <c r="B398" s="23"/>
      <c r="C398" s="22"/>
      <c r="D398" s="22"/>
      <c r="E398" s="22"/>
      <c r="F398" s="24"/>
      <c r="G398" s="24"/>
      <c r="H398" s="25"/>
      <c r="I398" s="25"/>
      <c r="J398" s="24"/>
      <c r="K398" s="24"/>
      <c r="L398" s="22"/>
    </row>
    <row r="399" spans="1:12">
      <c r="A399" s="22"/>
      <c r="B399" s="23"/>
      <c r="C399" s="22"/>
      <c r="D399" s="22"/>
      <c r="E399" s="22"/>
      <c r="F399" s="24"/>
      <c r="G399" s="24"/>
      <c r="H399" s="25"/>
      <c r="I399" s="25"/>
      <c r="J399" s="24"/>
      <c r="K399" s="24"/>
      <c r="L399" s="22"/>
    </row>
    <row r="400" spans="1:12">
      <c r="A400" s="22"/>
      <c r="B400" s="23"/>
      <c r="C400" s="22"/>
      <c r="D400" s="22"/>
      <c r="E400" s="22"/>
      <c r="F400" s="24"/>
      <c r="G400" s="24"/>
      <c r="H400" s="25"/>
      <c r="I400" s="25"/>
      <c r="J400" s="24"/>
      <c r="K400" s="24"/>
      <c r="L400" s="22"/>
    </row>
    <row r="401" spans="1:12">
      <c r="A401" s="22"/>
      <c r="B401" s="23"/>
      <c r="C401" s="22"/>
      <c r="D401" s="22"/>
      <c r="E401" s="22"/>
      <c r="F401" s="24"/>
      <c r="G401" s="24"/>
      <c r="H401" s="25"/>
      <c r="I401" s="25"/>
      <c r="J401" s="24"/>
      <c r="K401" s="24"/>
      <c r="L401" s="22"/>
    </row>
    <row r="402" spans="1:12">
      <c r="A402" s="22"/>
      <c r="B402" s="23"/>
      <c r="C402" s="22"/>
      <c r="D402" s="22"/>
      <c r="E402" s="22"/>
      <c r="F402" s="24"/>
      <c r="G402" s="24"/>
      <c r="H402" s="25"/>
      <c r="I402" s="25"/>
      <c r="J402" s="24"/>
      <c r="K402" s="24"/>
      <c r="L402" s="22"/>
    </row>
    <row r="403" spans="1:12">
      <c r="A403" s="22"/>
      <c r="B403" s="23"/>
      <c r="C403" s="22"/>
      <c r="D403" s="22"/>
      <c r="E403" s="22"/>
      <c r="F403" s="24"/>
      <c r="G403" s="24"/>
      <c r="H403" s="25"/>
      <c r="I403" s="25"/>
      <c r="J403" s="24"/>
      <c r="K403" s="24"/>
      <c r="L403" s="22"/>
    </row>
    <row r="404" spans="1:12">
      <c r="A404" s="22"/>
      <c r="B404" s="23"/>
      <c r="C404" s="22"/>
      <c r="D404" s="22"/>
      <c r="E404" s="22"/>
      <c r="F404" s="24"/>
      <c r="G404" s="24"/>
      <c r="H404" s="25"/>
      <c r="I404" s="25"/>
      <c r="J404" s="24"/>
      <c r="K404" s="24"/>
      <c r="L404" s="22"/>
    </row>
    <row r="405" spans="1:12">
      <c r="A405" s="22"/>
      <c r="B405" s="23"/>
      <c r="C405" s="22"/>
      <c r="D405" s="22"/>
      <c r="E405" s="22"/>
      <c r="F405" s="24"/>
      <c r="G405" s="24"/>
      <c r="H405" s="25"/>
      <c r="I405" s="25"/>
      <c r="J405" s="24"/>
      <c r="K405" s="24"/>
      <c r="L405" s="22"/>
    </row>
    <row r="406" spans="1:12">
      <c r="A406" s="22"/>
      <c r="B406" s="23"/>
      <c r="C406" s="22"/>
      <c r="D406" s="22"/>
      <c r="E406" s="22"/>
      <c r="F406" s="24"/>
      <c r="G406" s="24"/>
      <c r="H406" s="25"/>
      <c r="I406" s="25"/>
      <c r="J406" s="24"/>
      <c r="K406" s="24"/>
      <c r="L406" s="22"/>
    </row>
    <row r="407" spans="1:12">
      <c r="A407" s="22"/>
      <c r="B407" s="23"/>
      <c r="C407" s="22"/>
      <c r="D407" s="22"/>
      <c r="E407" s="22"/>
      <c r="F407" s="24"/>
      <c r="G407" s="24"/>
      <c r="H407" s="25"/>
      <c r="I407" s="25"/>
      <c r="J407" s="24"/>
      <c r="K407" s="24"/>
      <c r="L407" s="22"/>
    </row>
    <row r="408" spans="1:12">
      <c r="A408" s="22"/>
      <c r="B408" s="23"/>
      <c r="C408" s="22"/>
      <c r="D408" s="22"/>
      <c r="E408" s="22"/>
      <c r="F408" s="24"/>
      <c r="G408" s="24"/>
      <c r="H408" s="25"/>
      <c r="I408" s="25"/>
      <c r="J408" s="24"/>
      <c r="K408" s="24"/>
      <c r="L408" s="22"/>
    </row>
    <row r="409" spans="1:12">
      <c r="A409" s="22"/>
      <c r="B409" s="23"/>
      <c r="C409" s="22"/>
      <c r="D409" s="22"/>
      <c r="E409" s="22"/>
      <c r="F409" s="24"/>
      <c r="G409" s="24"/>
      <c r="H409" s="25"/>
      <c r="I409" s="25"/>
      <c r="J409" s="24"/>
      <c r="K409" s="24"/>
      <c r="L409" s="22"/>
    </row>
    <row r="410" spans="1:12">
      <c r="A410" s="22"/>
      <c r="B410" s="23"/>
      <c r="C410" s="22"/>
      <c r="D410" s="22"/>
      <c r="E410" s="22"/>
      <c r="F410" s="24"/>
      <c r="G410" s="24"/>
      <c r="H410" s="25"/>
      <c r="I410" s="25"/>
      <c r="J410" s="24"/>
      <c r="K410" s="24"/>
      <c r="L410" s="22"/>
    </row>
    <row r="411" spans="1:12">
      <c r="A411" s="22"/>
      <c r="B411" s="23"/>
      <c r="C411" s="22"/>
      <c r="D411" s="22"/>
      <c r="E411" s="22"/>
      <c r="F411" s="24"/>
      <c r="G411" s="24"/>
      <c r="H411" s="25"/>
      <c r="I411" s="25"/>
      <c r="J411" s="24"/>
      <c r="K411" s="24"/>
      <c r="L411" s="22"/>
    </row>
    <row r="412" spans="1:12">
      <c r="A412" s="22"/>
      <c r="B412" s="23"/>
      <c r="C412" s="22"/>
      <c r="D412" s="22"/>
      <c r="E412" s="22"/>
      <c r="F412" s="24"/>
      <c r="G412" s="24"/>
      <c r="H412" s="25"/>
      <c r="I412" s="25"/>
      <c r="J412" s="24"/>
      <c r="K412" s="24"/>
      <c r="L412" s="22"/>
    </row>
    <row r="413" spans="1:12">
      <c r="A413" s="22"/>
      <c r="B413" s="23"/>
      <c r="C413" s="22"/>
      <c r="D413" s="22"/>
      <c r="E413" s="22"/>
      <c r="F413" s="24"/>
      <c r="G413" s="24"/>
      <c r="H413" s="25"/>
      <c r="I413" s="25"/>
      <c r="J413" s="24"/>
      <c r="K413" s="24"/>
      <c r="L413" s="22"/>
    </row>
    <row r="414" spans="1:12">
      <c r="A414" s="22"/>
      <c r="B414" s="23"/>
      <c r="C414" s="22"/>
      <c r="D414" s="22"/>
      <c r="E414" s="22"/>
      <c r="F414" s="24"/>
      <c r="G414" s="24"/>
      <c r="H414" s="25"/>
      <c r="I414" s="25"/>
      <c r="J414" s="24"/>
      <c r="K414" s="24"/>
      <c r="L414" s="22"/>
    </row>
    <row r="415" spans="1:12">
      <c r="A415" s="22"/>
      <c r="B415" s="23"/>
      <c r="C415" s="22"/>
      <c r="D415" s="22"/>
      <c r="E415" s="22"/>
      <c r="F415" s="24"/>
      <c r="G415" s="24"/>
      <c r="H415" s="25"/>
      <c r="I415" s="25"/>
      <c r="J415" s="24"/>
      <c r="K415" s="24"/>
      <c r="L415" s="22"/>
    </row>
    <row r="416" spans="1:12">
      <c r="A416" s="22"/>
      <c r="B416" s="23"/>
      <c r="C416" s="22"/>
      <c r="D416" s="22"/>
      <c r="E416" s="22"/>
      <c r="F416" s="24"/>
      <c r="G416" s="24"/>
      <c r="H416" s="25"/>
      <c r="I416" s="25"/>
      <c r="J416" s="24"/>
      <c r="K416" s="24"/>
      <c r="L416" s="22"/>
    </row>
    <row r="417" spans="1:12">
      <c r="A417" s="22"/>
      <c r="B417" s="23"/>
      <c r="C417" s="22"/>
      <c r="D417" s="22"/>
      <c r="E417" s="22"/>
      <c r="F417" s="24"/>
      <c r="G417" s="24"/>
      <c r="H417" s="25"/>
      <c r="I417" s="25"/>
      <c r="J417" s="24"/>
      <c r="K417" s="24"/>
      <c r="L417" s="22"/>
    </row>
    <row r="418" spans="1:12">
      <c r="A418" s="22"/>
      <c r="B418" s="23"/>
      <c r="C418" s="22"/>
      <c r="D418" s="22"/>
      <c r="E418" s="22"/>
      <c r="F418" s="24"/>
      <c r="G418" s="24"/>
      <c r="H418" s="25"/>
      <c r="I418" s="25"/>
      <c r="J418" s="24"/>
      <c r="K418" s="24"/>
      <c r="L418" s="22"/>
    </row>
    <row r="419" spans="1:12">
      <c r="A419" s="22"/>
      <c r="B419" s="23"/>
      <c r="C419" s="22"/>
      <c r="D419" s="22"/>
      <c r="E419" s="22"/>
      <c r="F419" s="24"/>
      <c r="G419" s="24"/>
      <c r="H419" s="25"/>
      <c r="I419" s="25"/>
      <c r="J419" s="24"/>
      <c r="K419" s="24"/>
      <c r="L419" s="22"/>
    </row>
    <row r="420" spans="1:12">
      <c r="A420" s="22"/>
      <c r="B420" s="23"/>
      <c r="C420" s="22"/>
      <c r="D420" s="22"/>
      <c r="E420" s="22"/>
      <c r="F420" s="24"/>
      <c r="G420" s="24"/>
      <c r="H420" s="25"/>
      <c r="I420" s="25"/>
      <c r="J420" s="24"/>
      <c r="K420" s="24"/>
      <c r="L420" s="22"/>
    </row>
    <row r="421" spans="1:12">
      <c r="A421" s="22"/>
      <c r="B421" s="23"/>
      <c r="C421" s="22"/>
      <c r="D421" s="22"/>
      <c r="E421" s="22"/>
      <c r="F421" s="24"/>
      <c r="G421" s="24"/>
      <c r="H421" s="25"/>
      <c r="I421" s="25"/>
      <c r="J421" s="24"/>
      <c r="K421" s="24"/>
      <c r="L421" s="22"/>
    </row>
    <row r="422" spans="1:12">
      <c r="A422" s="22"/>
      <c r="B422" s="23"/>
      <c r="C422" s="22"/>
      <c r="D422" s="22"/>
      <c r="E422" s="22"/>
      <c r="F422" s="24"/>
      <c r="G422" s="24"/>
      <c r="H422" s="25"/>
      <c r="I422" s="25"/>
      <c r="J422" s="24"/>
      <c r="K422" s="24"/>
      <c r="L422" s="22"/>
    </row>
    <row r="423" spans="1:12">
      <c r="A423" s="22"/>
      <c r="B423" s="23"/>
      <c r="C423" s="22"/>
      <c r="D423" s="22"/>
      <c r="E423" s="22"/>
      <c r="F423" s="24"/>
      <c r="G423" s="24"/>
      <c r="H423" s="25"/>
      <c r="I423" s="25"/>
      <c r="J423" s="24"/>
      <c r="K423" s="24"/>
      <c r="L423" s="22"/>
    </row>
    <row r="424" spans="1:12">
      <c r="A424" s="22"/>
      <c r="B424" s="23"/>
      <c r="C424" s="22"/>
      <c r="D424" s="22"/>
      <c r="E424" s="22"/>
      <c r="F424" s="24"/>
      <c r="G424" s="24"/>
      <c r="H424" s="25"/>
      <c r="I424" s="25"/>
      <c r="J424" s="24"/>
      <c r="K424" s="24"/>
      <c r="L424" s="22"/>
    </row>
    <row r="425" spans="1:12">
      <c r="A425" s="22"/>
      <c r="B425" s="23"/>
      <c r="C425" s="22"/>
      <c r="D425" s="22"/>
      <c r="E425" s="22"/>
      <c r="F425" s="24"/>
      <c r="G425" s="24"/>
      <c r="H425" s="25"/>
      <c r="I425" s="25"/>
      <c r="J425" s="24"/>
      <c r="K425" s="24"/>
      <c r="L425" s="22"/>
    </row>
    <row r="426" spans="1:12">
      <c r="A426" s="22"/>
      <c r="B426" s="23"/>
      <c r="C426" s="22"/>
      <c r="D426" s="22"/>
      <c r="E426" s="22"/>
      <c r="F426" s="24"/>
      <c r="G426" s="24"/>
      <c r="H426" s="25"/>
      <c r="I426" s="25"/>
      <c r="J426" s="24"/>
      <c r="K426" s="24"/>
      <c r="L426" s="22"/>
    </row>
    <row r="427" spans="1:12">
      <c r="A427" s="22"/>
      <c r="B427" s="23"/>
      <c r="C427" s="22"/>
      <c r="D427" s="22"/>
      <c r="E427" s="22"/>
      <c r="F427" s="24"/>
      <c r="G427" s="24"/>
      <c r="H427" s="25"/>
      <c r="I427" s="25"/>
      <c r="J427" s="24"/>
      <c r="K427" s="24"/>
      <c r="L427" s="22"/>
    </row>
    <row r="428" spans="1:12">
      <c r="A428" s="22"/>
      <c r="B428" s="23"/>
      <c r="C428" s="22"/>
      <c r="D428" s="22"/>
      <c r="E428" s="22"/>
      <c r="F428" s="24"/>
      <c r="G428" s="24"/>
      <c r="H428" s="25"/>
      <c r="I428" s="25"/>
      <c r="J428" s="24"/>
      <c r="K428" s="24"/>
      <c r="L428" s="22"/>
    </row>
    <row r="429" spans="1:12">
      <c r="A429" s="22"/>
      <c r="B429" s="23"/>
      <c r="C429" s="22"/>
      <c r="D429" s="22"/>
      <c r="E429" s="22"/>
      <c r="F429" s="24"/>
      <c r="G429" s="24"/>
      <c r="H429" s="25"/>
      <c r="I429" s="25"/>
      <c r="J429" s="24"/>
      <c r="K429" s="24"/>
      <c r="L429" s="22"/>
    </row>
    <row r="430" spans="1:12">
      <c r="A430" s="22"/>
      <c r="B430" s="23"/>
      <c r="C430" s="22"/>
      <c r="D430" s="22"/>
      <c r="E430" s="22"/>
      <c r="F430" s="24"/>
      <c r="G430" s="24"/>
      <c r="H430" s="25"/>
      <c r="I430" s="25"/>
      <c r="J430" s="24"/>
      <c r="K430" s="24"/>
      <c r="L430" s="22"/>
    </row>
    <row r="431" spans="1:12">
      <c r="A431" s="22"/>
      <c r="B431" s="23"/>
      <c r="C431" s="22"/>
      <c r="D431" s="22"/>
      <c r="E431" s="22"/>
      <c r="F431" s="24"/>
      <c r="G431" s="24"/>
      <c r="H431" s="25"/>
      <c r="I431" s="25"/>
      <c r="J431" s="24"/>
      <c r="K431" s="24"/>
      <c r="L431" s="22"/>
    </row>
    <row r="432" spans="1:12">
      <c r="A432" s="22"/>
      <c r="B432" s="23"/>
      <c r="C432" s="22"/>
      <c r="D432" s="22"/>
      <c r="E432" s="22"/>
      <c r="F432" s="24"/>
      <c r="G432" s="24"/>
      <c r="H432" s="25"/>
      <c r="I432" s="25"/>
      <c r="J432" s="24"/>
      <c r="K432" s="24"/>
      <c r="L432" s="22"/>
    </row>
    <row r="433" spans="1:12">
      <c r="A433" s="22"/>
      <c r="B433" s="23"/>
      <c r="C433" s="22"/>
      <c r="D433" s="22"/>
      <c r="E433" s="22"/>
      <c r="F433" s="24"/>
      <c r="G433" s="24"/>
      <c r="H433" s="25"/>
      <c r="I433" s="25"/>
      <c r="J433" s="24"/>
      <c r="K433" s="24"/>
      <c r="L433" s="22"/>
    </row>
    <row r="434" spans="1:12">
      <c r="A434" s="22"/>
      <c r="B434" s="23"/>
      <c r="C434" s="22"/>
      <c r="D434" s="22"/>
      <c r="E434" s="22"/>
      <c r="F434" s="24"/>
      <c r="G434" s="24"/>
      <c r="H434" s="25"/>
      <c r="I434" s="25"/>
      <c r="J434" s="24"/>
      <c r="K434" s="24"/>
      <c r="L434" s="22"/>
    </row>
    <row r="435" spans="1:12">
      <c r="A435" s="22"/>
      <c r="B435" s="23"/>
      <c r="C435" s="22"/>
      <c r="D435" s="22"/>
      <c r="E435" s="22"/>
      <c r="F435" s="24"/>
      <c r="G435" s="24"/>
      <c r="H435" s="25"/>
      <c r="I435" s="25"/>
      <c r="J435" s="24"/>
      <c r="K435" s="24"/>
      <c r="L435" s="22"/>
    </row>
    <row r="436" spans="1:12">
      <c r="A436" s="22"/>
      <c r="B436" s="23"/>
      <c r="C436" s="22"/>
      <c r="D436" s="22"/>
      <c r="E436" s="22"/>
      <c r="F436" s="24"/>
      <c r="G436" s="24"/>
      <c r="H436" s="25"/>
      <c r="I436" s="25"/>
      <c r="J436" s="24"/>
      <c r="K436" s="24"/>
      <c r="L436" s="22"/>
    </row>
    <row r="437" spans="1:12">
      <c r="A437" s="22"/>
      <c r="B437" s="23"/>
      <c r="C437" s="22"/>
      <c r="D437" s="22"/>
      <c r="E437" s="22"/>
      <c r="F437" s="24"/>
      <c r="G437" s="24"/>
      <c r="H437" s="25"/>
      <c r="I437" s="25"/>
      <c r="J437" s="24"/>
      <c r="K437" s="24"/>
      <c r="L437" s="22"/>
    </row>
    <row r="438" spans="1:12">
      <c r="A438" s="22"/>
      <c r="B438" s="23"/>
      <c r="C438" s="22"/>
      <c r="D438" s="22"/>
      <c r="E438" s="22"/>
      <c r="F438" s="24"/>
      <c r="G438" s="24"/>
      <c r="H438" s="25"/>
      <c r="I438" s="25"/>
      <c r="J438" s="24"/>
      <c r="K438" s="24"/>
      <c r="L438" s="22"/>
    </row>
    <row r="439" spans="1:12">
      <c r="A439" s="22"/>
      <c r="B439" s="23"/>
      <c r="C439" s="22"/>
      <c r="D439" s="22"/>
      <c r="E439" s="22"/>
      <c r="F439" s="24"/>
      <c r="G439" s="24"/>
      <c r="H439" s="25"/>
      <c r="I439" s="25"/>
      <c r="J439" s="24"/>
      <c r="K439" s="24"/>
      <c r="L439" s="22"/>
    </row>
    <row r="440" spans="1:12">
      <c r="A440" s="22"/>
      <c r="B440" s="23"/>
      <c r="C440" s="22"/>
      <c r="D440" s="22"/>
      <c r="E440" s="22"/>
      <c r="F440" s="24"/>
      <c r="G440" s="24"/>
      <c r="H440" s="25"/>
      <c r="I440" s="25"/>
      <c r="J440" s="24"/>
      <c r="K440" s="24"/>
      <c r="L440" s="22"/>
    </row>
    <row r="441" spans="1:12">
      <c r="A441" s="22"/>
      <c r="B441" s="23"/>
      <c r="C441" s="22"/>
      <c r="D441" s="22"/>
      <c r="E441" s="22"/>
      <c r="F441" s="24"/>
      <c r="G441" s="24"/>
      <c r="H441" s="25"/>
      <c r="I441" s="25"/>
      <c r="J441" s="24"/>
      <c r="K441" s="24"/>
      <c r="L441" s="22"/>
    </row>
    <row r="442" spans="1:12">
      <c r="A442" s="22"/>
      <c r="B442" s="23"/>
      <c r="C442" s="22"/>
      <c r="D442" s="22"/>
      <c r="E442" s="22"/>
      <c r="F442" s="24"/>
      <c r="G442" s="24"/>
      <c r="H442" s="25"/>
      <c r="I442" s="25"/>
      <c r="J442" s="24"/>
      <c r="K442" s="24"/>
      <c r="L442" s="22"/>
    </row>
    <row r="443" spans="1:12">
      <c r="A443" s="22"/>
      <c r="B443" s="23"/>
      <c r="C443" s="22"/>
      <c r="D443" s="22"/>
      <c r="E443" s="22"/>
      <c r="F443" s="24"/>
      <c r="G443" s="24"/>
      <c r="H443" s="25"/>
      <c r="I443" s="25"/>
      <c r="J443" s="24"/>
      <c r="K443" s="24"/>
      <c r="L443" s="22"/>
    </row>
    <row r="444" spans="1:12">
      <c r="A444" s="22"/>
      <c r="B444" s="23"/>
      <c r="C444" s="22"/>
      <c r="D444" s="22"/>
      <c r="E444" s="22"/>
      <c r="F444" s="24"/>
      <c r="G444" s="24"/>
      <c r="H444" s="25"/>
      <c r="I444" s="25"/>
      <c r="J444" s="24"/>
      <c r="K444" s="24"/>
      <c r="L444" s="22"/>
    </row>
    <row r="445" spans="1:12">
      <c r="A445" s="22"/>
      <c r="B445" s="23"/>
      <c r="C445" s="22"/>
      <c r="D445" s="22"/>
      <c r="E445" s="22"/>
      <c r="F445" s="24"/>
      <c r="G445" s="24"/>
      <c r="H445" s="25"/>
      <c r="I445" s="25"/>
      <c r="J445" s="24"/>
      <c r="K445" s="24"/>
      <c r="L445" s="22"/>
    </row>
    <row r="446" spans="1:12">
      <c r="A446" s="22"/>
      <c r="B446" s="23"/>
      <c r="C446" s="22"/>
      <c r="D446" s="22"/>
      <c r="E446" s="22"/>
      <c r="F446" s="24"/>
      <c r="G446" s="24"/>
      <c r="H446" s="25"/>
      <c r="I446" s="25"/>
      <c r="J446" s="24"/>
      <c r="K446" s="24"/>
      <c r="L446" s="22"/>
    </row>
    <row r="447" spans="1:12">
      <c r="A447" s="22"/>
      <c r="B447" s="23"/>
      <c r="C447" s="22"/>
      <c r="D447" s="22"/>
      <c r="E447" s="22"/>
      <c r="F447" s="24"/>
      <c r="G447" s="24"/>
      <c r="H447" s="25"/>
      <c r="I447" s="25"/>
      <c r="J447" s="24"/>
      <c r="K447" s="24"/>
      <c r="L447" s="22"/>
    </row>
    <row r="448" spans="1:12">
      <c r="A448" s="22"/>
      <c r="B448" s="23"/>
      <c r="C448" s="22"/>
      <c r="D448" s="22"/>
      <c r="E448" s="22"/>
      <c r="F448" s="24"/>
      <c r="G448" s="24"/>
      <c r="H448" s="25"/>
      <c r="I448" s="25"/>
      <c r="J448" s="24"/>
      <c r="K448" s="24"/>
      <c r="L448" s="22"/>
    </row>
    <row r="449" spans="1:12">
      <c r="A449" s="22"/>
      <c r="B449" s="23"/>
      <c r="C449" s="22"/>
      <c r="D449" s="22"/>
      <c r="E449" s="22"/>
      <c r="F449" s="24"/>
      <c r="G449" s="24"/>
      <c r="H449" s="25"/>
      <c r="I449" s="25"/>
      <c r="J449" s="24"/>
      <c r="K449" s="24"/>
      <c r="L449" s="22"/>
    </row>
    <row r="450" spans="1:12">
      <c r="A450" s="22"/>
      <c r="B450" s="23"/>
      <c r="C450" s="22"/>
      <c r="D450" s="22"/>
      <c r="E450" s="22"/>
      <c r="F450" s="24"/>
      <c r="G450" s="24"/>
      <c r="H450" s="25"/>
      <c r="I450" s="25"/>
      <c r="J450" s="24"/>
      <c r="K450" s="24"/>
      <c r="L450" s="22"/>
    </row>
    <row r="451" spans="1:12">
      <c r="A451" s="22"/>
      <c r="B451" s="23"/>
      <c r="C451" s="22"/>
      <c r="D451" s="22"/>
      <c r="E451" s="22"/>
      <c r="F451" s="24"/>
      <c r="G451" s="24"/>
      <c r="H451" s="25"/>
      <c r="I451" s="25"/>
      <c r="J451" s="24"/>
      <c r="K451" s="24"/>
      <c r="L451" s="22"/>
    </row>
    <row r="452" spans="1:12">
      <c r="A452" s="22"/>
      <c r="B452" s="23"/>
      <c r="C452" s="22"/>
      <c r="D452" s="22"/>
      <c r="E452" s="22"/>
      <c r="F452" s="24"/>
      <c r="G452" s="24"/>
      <c r="H452" s="25"/>
      <c r="I452" s="25"/>
      <c r="J452" s="24"/>
      <c r="K452" s="24"/>
      <c r="L452" s="22"/>
    </row>
    <row r="453" spans="1:12">
      <c r="A453" s="22"/>
      <c r="B453" s="23"/>
      <c r="C453" s="22"/>
      <c r="D453" s="22"/>
      <c r="E453" s="22"/>
      <c r="F453" s="24"/>
      <c r="G453" s="24"/>
      <c r="H453" s="25"/>
      <c r="I453" s="25"/>
      <c r="J453" s="24"/>
      <c r="K453" s="24"/>
      <c r="L453" s="22"/>
    </row>
    <row r="454" spans="1:12">
      <c r="A454" s="22"/>
      <c r="B454" s="23"/>
      <c r="C454" s="22"/>
      <c r="D454" s="22"/>
      <c r="E454" s="22"/>
      <c r="F454" s="24"/>
      <c r="G454" s="24"/>
      <c r="H454" s="25"/>
      <c r="I454" s="25"/>
      <c r="J454" s="24"/>
      <c r="K454" s="24"/>
      <c r="L454" s="22"/>
    </row>
    <row r="455" spans="1:12">
      <c r="A455" s="22"/>
      <c r="B455" s="23"/>
      <c r="C455" s="22"/>
      <c r="D455" s="22"/>
      <c r="E455" s="22"/>
      <c r="F455" s="24"/>
      <c r="G455" s="24"/>
      <c r="H455" s="25"/>
      <c r="I455" s="25"/>
      <c r="J455" s="24"/>
      <c r="K455" s="24"/>
      <c r="L455" s="22"/>
    </row>
    <row r="456" spans="1:12">
      <c r="A456" s="22"/>
      <c r="B456" s="23"/>
      <c r="C456" s="22"/>
      <c r="D456" s="22"/>
      <c r="E456" s="22"/>
      <c r="F456" s="24"/>
      <c r="G456" s="24"/>
      <c r="H456" s="25"/>
      <c r="I456" s="25"/>
      <c r="J456" s="24"/>
      <c r="K456" s="24"/>
      <c r="L456" s="22"/>
    </row>
    <row r="457" spans="1:12">
      <c r="A457" s="22"/>
      <c r="B457" s="23"/>
      <c r="C457" s="22"/>
      <c r="D457" s="22"/>
      <c r="E457" s="22"/>
      <c r="F457" s="24"/>
      <c r="G457" s="24"/>
      <c r="H457" s="25"/>
      <c r="I457" s="25"/>
      <c r="J457" s="24"/>
      <c r="K457" s="24"/>
      <c r="L457" s="22"/>
    </row>
    <row r="458" spans="1:12">
      <c r="A458" s="22"/>
      <c r="B458" s="23"/>
      <c r="C458" s="22"/>
      <c r="D458" s="22"/>
      <c r="E458" s="22"/>
      <c r="F458" s="24"/>
      <c r="G458" s="24"/>
      <c r="H458" s="25"/>
      <c r="I458" s="25"/>
      <c r="J458" s="24"/>
      <c r="K458" s="24"/>
      <c r="L458" s="22"/>
    </row>
    <row r="459" spans="1:12">
      <c r="A459" s="22"/>
      <c r="B459" s="23"/>
      <c r="C459" s="22"/>
      <c r="D459" s="22"/>
      <c r="E459" s="22"/>
      <c r="F459" s="24"/>
      <c r="G459" s="24"/>
      <c r="H459" s="25"/>
      <c r="I459" s="25"/>
      <c r="J459" s="24"/>
      <c r="K459" s="24"/>
      <c r="L459" s="22"/>
    </row>
    <row r="460" spans="1:12">
      <c r="A460" s="22"/>
      <c r="B460" s="23"/>
      <c r="C460" s="22"/>
      <c r="D460" s="22"/>
      <c r="E460" s="22"/>
      <c r="F460" s="24"/>
      <c r="G460" s="24"/>
      <c r="H460" s="25"/>
      <c r="I460" s="25"/>
      <c r="J460" s="24"/>
      <c r="K460" s="24"/>
      <c r="L460" s="22"/>
    </row>
    <row r="461" spans="1:12">
      <c r="A461" s="22"/>
      <c r="B461" s="23"/>
      <c r="C461" s="22"/>
      <c r="D461" s="22"/>
      <c r="E461" s="22"/>
      <c r="F461" s="24"/>
      <c r="G461" s="24"/>
      <c r="H461" s="25"/>
      <c r="I461" s="25"/>
      <c r="J461" s="24"/>
      <c r="K461" s="24"/>
      <c r="L461" s="22"/>
    </row>
    <row r="462" spans="1:12">
      <c r="A462" s="22"/>
      <c r="B462" s="23"/>
      <c r="C462" s="22"/>
      <c r="D462" s="22"/>
      <c r="E462" s="22"/>
      <c r="F462" s="24"/>
      <c r="G462" s="24"/>
      <c r="H462" s="25"/>
      <c r="I462" s="25"/>
      <c r="J462" s="24"/>
      <c r="K462" s="24"/>
      <c r="L462" s="22"/>
    </row>
    <row r="463" spans="1:12">
      <c r="A463" s="22"/>
      <c r="B463" s="23"/>
      <c r="C463" s="22"/>
      <c r="D463" s="22"/>
      <c r="E463" s="22"/>
      <c r="F463" s="24"/>
      <c r="G463" s="24"/>
      <c r="H463" s="25"/>
      <c r="I463" s="25"/>
      <c r="J463" s="24"/>
      <c r="K463" s="24"/>
      <c r="L463" s="22"/>
    </row>
    <row r="464" spans="1:12">
      <c r="A464" s="22"/>
      <c r="B464" s="23"/>
      <c r="C464" s="22"/>
      <c r="D464" s="22"/>
      <c r="E464" s="22"/>
      <c r="F464" s="24"/>
      <c r="G464" s="24"/>
      <c r="H464" s="25"/>
      <c r="I464" s="25"/>
      <c r="J464" s="24"/>
      <c r="K464" s="24"/>
      <c r="L464" s="22"/>
    </row>
    <row r="465" spans="1:12">
      <c r="A465" s="22"/>
      <c r="B465" s="23"/>
      <c r="C465" s="22"/>
      <c r="D465" s="22"/>
      <c r="E465" s="22"/>
      <c r="F465" s="24"/>
      <c r="G465" s="24"/>
      <c r="H465" s="25"/>
      <c r="I465" s="25"/>
      <c r="J465" s="24"/>
      <c r="K465" s="24"/>
      <c r="L465" s="22"/>
    </row>
    <row r="466" spans="1:12">
      <c r="A466" s="22"/>
      <c r="B466" s="23"/>
      <c r="C466" s="22"/>
      <c r="D466" s="22"/>
      <c r="E466" s="22"/>
      <c r="F466" s="24"/>
      <c r="G466" s="24"/>
      <c r="H466" s="25"/>
      <c r="I466" s="25"/>
      <c r="J466" s="24"/>
      <c r="K466" s="24"/>
      <c r="L466" s="22"/>
    </row>
    <row r="467" spans="1:12">
      <c r="A467" s="22"/>
      <c r="B467" s="23"/>
      <c r="C467" s="22"/>
      <c r="D467" s="22"/>
      <c r="E467" s="22"/>
      <c r="F467" s="24"/>
      <c r="G467" s="24"/>
      <c r="H467" s="25"/>
      <c r="I467" s="25"/>
      <c r="J467" s="24"/>
      <c r="K467" s="24"/>
      <c r="L467" s="22"/>
    </row>
    <row r="468" spans="1:12">
      <c r="A468" s="22"/>
      <c r="B468" s="23"/>
      <c r="C468" s="22"/>
      <c r="D468" s="22"/>
      <c r="E468" s="22"/>
      <c r="F468" s="24"/>
      <c r="G468" s="24"/>
      <c r="H468" s="25"/>
      <c r="I468" s="25"/>
      <c r="J468" s="24"/>
      <c r="K468" s="24"/>
      <c r="L468" s="22"/>
    </row>
    <row r="469" spans="1:12">
      <c r="A469" s="22"/>
      <c r="B469" s="23"/>
      <c r="C469" s="22"/>
      <c r="D469" s="22"/>
      <c r="E469" s="22"/>
      <c r="F469" s="24"/>
      <c r="G469" s="24"/>
      <c r="H469" s="25"/>
      <c r="I469" s="25"/>
      <c r="J469" s="24"/>
      <c r="K469" s="24"/>
      <c r="L469" s="22"/>
    </row>
    <row r="470" spans="1:12">
      <c r="A470" s="22"/>
      <c r="B470" s="23"/>
      <c r="C470" s="22"/>
      <c r="D470" s="22"/>
      <c r="E470" s="22"/>
      <c r="F470" s="24"/>
      <c r="G470" s="24"/>
      <c r="H470" s="25"/>
      <c r="I470" s="25"/>
      <c r="J470" s="24"/>
      <c r="K470" s="24"/>
      <c r="L470" s="22"/>
    </row>
    <row r="471" spans="1:12">
      <c r="A471" s="22"/>
      <c r="B471" s="23"/>
      <c r="C471" s="22"/>
      <c r="D471" s="22"/>
      <c r="E471" s="22"/>
      <c r="F471" s="24"/>
      <c r="G471" s="24"/>
      <c r="H471" s="25"/>
      <c r="I471" s="25"/>
      <c r="J471" s="24"/>
      <c r="K471" s="24"/>
      <c r="L471" s="22"/>
    </row>
    <row r="472" spans="1:12">
      <c r="A472" s="22"/>
      <c r="B472" s="23"/>
      <c r="C472" s="22"/>
      <c r="D472" s="22"/>
      <c r="E472" s="22"/>
      <c r="F472" s="24"/>
      <c r="G472" s="24"/>
      <c r="H472" s="25"/>
      <c r="I472" s="25"/>
      <c r="J472" s="24"/>
      <c r="K472" s="24"/>
      <c r="L472" s="22"/>
    </row>
    <row r="473" spans="1:12">
      <c r="A473" s="22"/>
      <c r="B473" s="23"/>
      <c r="C473" s="22"/>
      <c r="D473" s="22"/>
      <c r="E473" s="22"/>
      <c r="F473" s="24"/>
      <c r="G473" s="24"/>
      <c r="H473" s="25"/>
      <c r="I473" s="25"/>
      <c r="J473" s="24"/>
      <c r="K473" s="24"/>
      <c r="L473" s="22"/>
    </row>
    <row r="474" spans="1:12">
      <c r="A474" s="22"/>
      <c r="B474" s="23"/>
      <c r="C474" s="22"/>
      <c r="D474" s="22"/>
      <c r="E474" s="22"/>
      <c r="F474" s="24"/>
      <c r="G474" s="24"/>
      <c r="H474" s="25"/>
      <c r="I474" s="25"/>
      <c r="J474" s="24"/>
      <c r="K474" s="24"/>
      <c r="L474" s="22"/>
    </row>
    <row r="475" spans="1:12">
      <c r="A475" s="22"/>
      <c r="B475" s="23"/>
      <c r="C475" s="22"/>
      <c r="D475" s="22"/>
      <c r="E475" s="22"/>
      <c r="F475" s="24"/>
      <c r="G475" s="24"/>
      <c r="H475" s="25"/>
      <c r="I475" s="25"/>
      <c r="J475" s="24"/>
      <c r="K475" s="24"/>
      <c r="L475" s="22"/>
    </row>
    <row r="476" spans="1:12">
      <c r="A476" s="22"/>
      <c r="B476" s="23"/>
      <c r="C476" s="22"/>
      <c r="D476" s="22"/>
      <c r="E476" s="22"/>
      <c r="F476" s="24"/>
      <c r="G476" s="24"/>
      <c r="H476" s="25"/>
      <c r="I476" s="25"/>
      <c r="J476" s="24"/>
      <c r="K476" s="24"/>
      <c r="L476" s="22"/>
    </row>
    <row r="477" spans="1:12">
      <c r="A477" s="22"/>
      <c r="B477" s="23"/>
      <c r="C477" s="22"/>
      <c r="D477" s="22"/>
      <c r="E477" s="22"/>
      <c r="F477" s="24"/>
      <c r="G477" s="24"/>
      <c r="H477" s="25"/>
      <c r="I477" s="25"/>
      <c r="J477" s="24"/>
      <c r="K477" s="24"/>
      <c r="L477" s="22"/>
    </row>
    <row r="478" spans="1:12">
      <c r="A478" s="22"/>
      <c r="B478" s="23"/>
      <c r="C478" s="22"/>
      <c r="D478" s="22"/>
      <c r="E478" s="22"/>
      <c r="F478" s="24"/>
      <c r="G478" s="24"/>
      <c r="H478" s="25"/>
      <c r="I478" s="25"/>
      <c r="J478" s="24"/>
      <c r="K478" s="24"/>
      <c r="L478" s="22"/>
    </row>
    <row r="479" spans="1:12">
      <c r="A479" s="22"/>
      <c r="B479" s="23"/>
      <c r="C479" s="22"/>
      <c r="D479" s="22"/>
      <c r="E479" s="22"/>
      <c r="F479" s="24"/>
      <c r="G479" s="24"/>
      <c r="H479" s="25"/>
      <c r="I479" s="25"/>
      <c r="J479" s="24"/>
      <c r="K479" s="24"/>
      <c r="L479" s="22"/>
    </row>
    <row r="480" spans="1:12">
      <c r="A480" s="22"/>
      <c r="B480" s="23"/>
      <c r="C480" s="22"/>
      <c r="D480" s="22"/>
      <c r="E480" s="22"/>
      <c r="F480" s="24"/>
      <c r="G480" s="24"/>
      <c r="H480" s="25"/>
      <c r="I480" s="25"/>
      <c r="J480" s="24"/>
      <c r="K480" s="24"/>
      <c r="L480" s="22"/>
    </row>
    <row r="481" spans="1:12">
      <c r="A481" s="22"/>
      <c r="B481" s="23"/>
      <c r="C481" s="22"/>
      <c r="D481" s="22"/>
      <c r="E481" s="22"/>
      <c r="F481" s="24"/>
      <c r="G481" s="24"/>
      <c r="H481" s="25"/>
      <c r="I481" s="25"/>
      <c r="J481" s="24"/>
      <c r="K481" s="24"/>
      <c r="L481" s="22"/>
    </row>
    <row r="482" spans="1:12">
      <c r="A482" s="22"/>
      <c r="B482" s="23"/>
      <c r="C482" s="22"/>
      <c r="D482" s="22"/>
      <c r="E482" s="22"/>
      <c r="F482" s="24"/>
      <c r="G482" s="24"/>
      <c r="H482" s="25"/>
      <c r="I482" s="25"/>
      <c r="J482" s="24"/>
      <c r="K482" s="24"/>
      <c r="L482" s="22"/>
    </row>
    <row r="483" spans="1:12">
      <c r="A483" s="22"/>
      <c r="B483" s="23"/>
      <c r="C483" s="22"/>
      <c r="D483" s="22"/>
      <c r="E483" s="22"/>
      <c r="F483" s="24"/>
      <c r="G483" s="24"/>
      <c r="H483" s="25"/>
      <c r="I483" s="25"/>
      <c r="J483" s="24"/>
      <c r="K483" s="24"/>
      <c r="L483" s="22"/>
    </row>
    <row r="484" spans="1:12">
      <c r="A484" s="22"/>
      <c r="B484" s="23"/>
      <c r="C484" s="22"/>
      <c r="D484" s="22"/>
      <c r="E484" s="22"/>
      <c r="F484" s="24"/>
      <c r="G484" s="24"/>
      <c r="H484" s="25"/>
      <c r="I484" s="25"/>
      <c r="J484" s="24"/>
      <c r="K484" s="24"/>
      <c r="L484" s="22"/>
    </row>
    <row r="485" spans="1:12">
      <c r="A485" s="22"/>
      <c r="B485" s="23"/>
      <c r="C485" s="22"/>
      <c r="D485" s="22"/>
      <c r="E485" s="22"/>
      <c r="F485" s="24"/>
      <c r="G485" s="24"/>
      <c r="H485" s="25"/>
      <c r="I485" s="25"/>
      <c r="J485" s="24"/>
      <c r="K485" s="24"/>
      <c r="L485" s="22"/>
    </row>
    <row r="486" spans="1:12">
      <c r="A486" s="22"/>
      <c r="B486" s="23"/>
      <c r="C486" s="22"/>
      <c r="D486" s="22"/>
      <c r="E486" s="22"/>
      <c r="F486" s="24"/>
      <c r="G486" s="24"/>
      <c r="H486" s="25"/>
      <c r="I486" s="25"/>
      <c r="J486" s="24"/>
      <c r="K486" s="24"/>
      <c r="L486" s="22"/>
    </row>
    <row r="487" spans="1:12">
      <c r="A487" s="22"/>
      <c r="B487" s="23"/>
      <c r="C487" s="22"/>
      <c r="D487" s="22"/>
      <c r="E487" s="22"/>
      <c r="F487" s="24"/>
      <c r="G487" s="24"/>
      <c r="H487" s="25"/>
      <c r="I487" s="25"/>
      <c r="J487" s="24"/>
      <c r="K487" s="24"/>
      <c r="L487" s="22"/>
    </row>
    <row r="488" spans="1:12">
      <c r="A488" s="22"/>
      <c r="B488" s="23"/>
      <c r="C488" s="22"/>
      <c r="D488" s="22"/>
      <c r="E488" s="22"/>
      <c r="F488" s="24"/>
      <c r="G488" s="24"/>
      <c r="H488" s="25"/>
      <c r="I488" s="25"/>
      <c r="J488" s="24"/>
      <c r="K488" s="24"/>
      <c r="L488" s="22"/>
    </row>
    <row r="489" spans="1:12">
      <c r="A489" s="22"/>
      <c r="B489" s="23"/>
      <c r="C489" s="22"/>
      <c r="D489" s="22"/>
      <c r="E489" s="22"/>
      <c r="F489" s="24"/>
      <c r="G489" s="24"/>
      <c r="H489" s="25"/>
      <c r="I489" s="25"/>
      <c r="J489" s="24"/>
      <c r="K489" s="24"/>
      <c r="L489" s="22"/>
    </row>
    <row r="490" spans="1:12">
      <c r="A490" s="22"/>
      <c r="B490" s="23"/>
      <c r="C490" s="22"/>
      <c r="D490" s="22"/>
      <c r="E490" s="22"/>
      <c r="F490" s="24"/>
      <c r="G490" s="24"/>
      <c r="H490" s="25"/>
      <c r="I490" s="25"/>
      <c r="J490" s="24"/>
      <c r="K490" s="24"/>
      <c r="L490" s="22"/>
    </row>
    <row r="491" spans="1:12">
      <c r="A491" s="22"/>
      <c r="B491" s="23"/>
      <c r="C491" s="22"/>
      <c r="D491" s="22"/>
      <c r="E491" s="22"/>
      <c r="F491" s="24"/>
      <c r="G491" s="24"/>
      <c r="H491" s="25"/>
      <c r="I491" s="25"/>
      <c r="J491" s="24"/>
      <c r="K491" s="24"/>
      <c r="L491" s="22"/>
    </row>
    <row r="492" spans="1:12">
      <c r="A492" s="22"/>
      <c r="B492" s="23"/>
      <c r="C492" s="22"/>
      <c r="D492" s="22"/>
      <c r="E492" s="22"/>
      <c r="F492" s="24"/>
      <c r="G492" s="24"/>
      <c r="H492" s="25"/>
      <c r="I492" s="25"/>
      <c r="J492" s="24"/>
      <c r="K492" s="24"/>
      <c r="L492" s="22"/>
    </row>
    <row r="493" spans="1:12">
      <c r="A493" s="22"/>
      <c r="B493" s="23"/>
      <c r="C493" s="22"/>
      <c r="D493" s="22"/>
      <c r="E493" s="22"/>
      <c r="F493" s="24"/>
      <c r="G493" s="24"/>
      <c r="H493" s="25"/>
      <c r="I493" s="25"/>
      <c r="J493" s="24"/>
      <c r="K493" s="24"/>
      <c r="L493" s="22"/>
    </row>
    <row r="494" spans="1:12">
      <c r="A494" s="22"/>
      <c r="B494" s="23"/>
      <c r="C494" s="22"/>
      <c r="D494" s="22"/>
      <c r="E494" s="22"/>
      <c r="F494" s="24"/>
      <c r="G494" s="24"/>
      <c r="H494" s="25"/>
      <c r="I494" s="25"/>
      <c r="J494" s="24"/>
      <c r="K494" s="24"/>
      <c r="L494" s="22"/>
    </row>
    <row r="495" spans="1:12">
      <c r="A495" s="22"/>
      <c r="B495" s="23"/>
      <c r="C495" s="22"/>
      <c r="D495" s="22"/>
      <c r="E495" s="22"/>
      <c r="F495" s="24"/>
      <c r="G495" s="24"/>
      <c r="H495" s="25"/>
      <c r="I495" s="25"/>
      <c r="J495" s="24"/>
      <c r="K495" s="24"/>
      <c r="L495" s="22"/>
    </row>
    <row r="496" spans="1:12">
      <c r="A496" s="22"/>
      <c r="B496" s="23"/>
      <c r="C496" s="22"/>
      <c r="D496" s="22"/>
      <c r="E496" s="22"/>
      <c r="F496" s="24"/>
      <c r="G496" s="24"/>
      <c r="H496" s="25"/>
      <c r="I496" s="25"/>
      <c r="J496" s="24"/>
      <c r="K496" s="24"/>
      <c r="L496" s="22"/>
    </row>
    <row r="497" spans="1:12">
      <c r="A497" s="22"/>
      <c r="B497" s="23"/>
      <c r="C497" s="22"/>
      <c r="D497" s="22"/>
      <c r="E497" s="22"/>
      <c r="F497" s="24"/>
      <c r="G497" s="24"/>
      <c r="H497" s="25"/>
      <c r="I497" s="25"/>
      <c r="J497" s="24"/>
      <c r="K497" s="24"/>
      <c r="L497" s="22"/>
    </row>
    <row r="498" spans="1:12">
      <c r="A498" s="22"/>
      <c r="B498" s="23"/>
      <c r="C498" s="22"/>
      <c r="D498" s="22"/>
      <c r="E498" s="22"/>
      <c r="F498" s="24"/>
      <c r="G498" s="24"/>
      <c r="H498" s="25"/>
      <c r="I498" s="25"/>
      <c r="J498" s="24"/>
      <c r="K498" s="24"/>
      <c r="L498" s="22"/>
    </row>
    <row r="499" spans="1:12">
      <c r="A499" s="22"/>
      <c r="B499" s="23"/>
      <c r="C499" s="22"/>
      <c r="D499" s="22"/>
      <c r="E499" s="22"/>
      <c r="F499" s="24"/>
      <c r="G499" s="24"/>
      <c r="H499" s="25"/>
      <c r="I499" s="25"/>
      <c r="J499" s="24"/>
      <c r="K499" s="24"/>
      <c r="L499" s="22"/>
    </row>
    <row r="500" spans="1:12">
      <c r="A500" s="22"/>
      <c r="B500" s="23"/>
      <c r="C500" s="22"/>
      <c r="D500" s="22"/>
      <c r="E500" s="22"/>
      <c r="F500" s="24"/>
      <c r="G500" s="24"/>
      <c r="H500" s="25"/>
      <c r="I500" s="25"/>
      <c r="J500" s="24"/>
      <c r="K500" s="24"/>
      <c r="L500" s="22"/>
    </row>
    <row r="501" spans="1:12">
      <c r="A501" s="22"/>
      <c r="B501" s="23"/>
      <c r="C501" s="22"/>
      <c r="D501" s="22"/>
      <c r="E501" s="22"/>
      <c r="F501" s="24"/>
      <c r="G501" s="24"/>
      <c r="H501" s="25"/>
      <c r="I501" s="25"/>
      <c r="J501" s="24"/>
      <c r="K501" s="24"/>
      <c r="L501" s="22"/>
    </row>
    <row r="502" spans="1:12">
      <c r="A502" s="22"/>
      <c r="B502" s="23"/>
      <c r="C502" s="22"/>
      <c r="D502" s="22"/>
      <c r="E502" s="22"/>
      <c r="F502" s="24"/>
      <c r="G502" s="24"/>
      <c r="H502" s="25"/>
      <c r="I502" s="25"/>
      <c r="J502" s="24"/>
      <c r="K502" s="24"/>
      <c r="L502" s="22"/>
    </row>
    <row r="503" spans="1:12">
      <c r="A503" s="22"/>
      <c r="B503" s="23"/>
      <c r="C503" s="22"/>
      <c r="D503" s="22"/>
      <c r="E503" s="22"/>
      <c r="F503" s="24"/>
      <c r="G503" s="24"/>
      <c r="H503" s="25"/>
      <c r="I503" s="25"/>
      <c r="J503" s="24"/>
      <c r="K503" s="24"/>
      <c r="L503" s="22"/>
    </row>
    <row r="504" spans="1:12">
      <c r="A504" s="22"/>
      <c r="B504" s="23"/>
      <c r="C504" s="22"/>
      <c r="D504" s="22"/>
      <c r="E504" s="22"/>
      <c r="F504" s="24"/>
      <c r="G504" s="24"/>
      <c r="H504" s="25"/>
      <c r="I504" s="25"/>
      <c r="J504" s="24"/>
      <c r="K504" s="24"/>
      <c r="L504" s="22"/>
    </row>
    <row r="505" spans="1:12">
      <c r="A505" s="22"/>
      <c r="B505" s="23"/>
      <c r="C505" s="22"/>
      <c r="D505" s="22"/>
      <c r="E505" s="22"/>
      <c r="F505" s="24"/>
      <c r="G505" s="24"/>
      <c r="H505" s="25"/>
      <c r="I505" s="25"/>
      <c r="J505" s="24"/>
      <c r="K505" s="24"/>
      <c r="L505" s="22"/>
    </row>
    <row r="506" spans="1:12">
      <c r="A506" s="22"/>
      <c r="B506" s="23"/>
      <c r="C506" s="22"/>
      <c r="D506" s="22"/>
      <c r="E506" s="22"/>
      <c r="F506" s="24"/>
      <c r="G506" s="24"/>
      <c r="H506" s="25"/>
      <c r="I506" s="25"/>
      <c r="J506" s="24"/>
      <c r="K506" s="24"/>
      <c r="L506" s="22"/>
    </row>
    <row r="507" spans="1:12">
      <c r="A507" s="22"/>
      <c r="B507" s="23"/>
      <c r="C507" s="22"/>
      <c r="D507" s="22"/>
      <c r="E507" s="22"/>
      <c r="F507" s="24"/>
      <c r="G507" s="24"/>
      <c r="H507" s="25"/>
      <c r="I507" s="25"/>
      <c r="J507" s="24"/>
      <c r="K507" s="24"/>
      <c r="L507" s="22"/>
    </row>
    <row r="508" spans="1:12">
      <c r="A508" s="22"/>
      <c r="B508" s="23"/>
      <c r="C508" s="22"/>
      <c r="D508" s="22"/>
      <c r="E508" s="22"/>
      <c r="F508" s="24"/>
      <c r="G508" s="24"/>
      <c r="H508" s="25"/>
      <c r="I508" s="25"/>
      <c r="J508" s="24"/>
      <c r="K508" s="24"/>
      <c r="L508" s="22"/>
    </row>
    <row r="509" spans="1:12">
      <c r="A509" s="22"/>
      <c r="B509" s="23"/>
      <c r="C509" s="22"/>
      <c r="D509" s="22"/>
      <c r="E509" s="22"/>
      <c r="F509" s="24"/>
      <c r="G509" s="24"/>
      <c r="H509" s="25"/>
      <c r="I509" s="25"/>
      <c r="J509" s="24"/>
      <c r="K509" s="24"/>
      <c r="L509" s="22"/>
    </row>
    <row r="510" spans="1:12">
      <c r="A510" s="22"/>
      <c r="B510" s="23"/>
      <c r="C510" s="22"/>
      <c r="D510" s="22"/>
      <c r="E510" s="22"/>
      <c r="F510" s="24"/>
      <c r="G510" s="24"/>
      <c r="H510" s="25"/>
      <c r="I510" s="25"/>
      <c r="J510" s="24"/>
      <c r="K510" s="24"/>
      <c r="L510" s="22"/>
    </row>
    <row r="511" spans="1:12">
      <c r="A511" s="22"/>
      <c r="B511" s="23"/>
      <c r="C511" s="22"/>
      <c r="D511" s="22"/>
      <c r="E511" s="22"/>
      <c r="F511" s="24"/>
      <c r="G511" s="24"/>
      <c r="H511" s="25"/>
      <c r="I511" s="25"/>
      <c r="J511" s="24"/>
      <c r="K511" s="24"/>
      <c r="L511" s="22"/>
    </row>
    <row r="512" spans="1:12">
      <c r="A512" s="22"/>
      <c r="B512" s="23"/>
      <c r="C512" s="22"/>
      <c r="D512" s="22"/>
      <c r="E512" s="22"/>
      <c r="F512" s="24"/>
      <c r="G512" s="24"/>
      <c r="H512" s="25"/>
      <c r="I512" s="25"/>
      <c r="J512" s="24"/>
      <c r="K512" s="24"/>
      <c r="L512" s="22"/>
    </row>
    <row r="513" spans="1:12">
      <c r="A513" s="22"/>
      <c r="B513" s="23"/>
      <c r="C513" s="22"/>
      <c r="D513" s="22"/>
      <c r="E513" s="22"/>
      <c r="F513" s="24"/>
      <c r="G513" s="24"/>
      <c r="H513" s="25"/>
      <c r="I513" s="25"/>
      <c r="J513" s="24"/>
      <c r="K513" s="24"/>
      <c r="L513" s="22"/>
    </row>
    <row r="514" spans="1:12">
      <c r="A514" s="22"/>
      <c r="B514" s="23"/>
      <c r="C514" s="22"/>
      <c r="D514" s="22"/>
      <c r="E514" s="22"/>
      <c r="F514" s="24"/>
      <c r="G514" s="24"/>
      <c r="H514" s="25"/>
      <c r="I514" s="25"/>
      <c r="J514" s="24"/>
      <c r="K514" s="24"/>
      <c r="L514" s="22"/>
    </row>
    <row r="515" spans="1:12">
      <c r="A515" s="22"/>
      <c r="B515" s="23"/>
      <c r="C515" s="22"/>
      <c r="D515" s="22"/>
      <c r="E515" s="22"/>
      <c r="F515" s="24"/>
      <c r="G515" s="24"/>
      <c r="H515" s="25"/>
      <c r="I515" s="25"/>
      <c r="J515" s="24"/>
      <c r="K515" s="24"/>
      <c r="L515" s="22"/>
    </row>
    <row r="516" spans="1:12">
      <c r="A516" s="22"/>
      <c r="B516" s="23"/>
      <c r="C516" s="22"/>
      <c r="D516" s="22"/>
      <c r="E516" s="22"/>
      <c r="F516" s="24"/>
      <c r="G516" s="24"/>
      <c r="H516" s="25"/>
      <c r="I516" s="25"/>
      <c r="J516" s="24"/>
      <c r="K516" s="24"/>
      <c r="L516" s="22"/>
    </row>
    <row r="517" spans="1:12">
      <c r="A517" s="22"/>
      <c r="B517" s="23"/>
      <c r="C517" s="22"/>
      <c r="D517" s="22"/>
      <c r="E517" s="22"/>
      <c r="F517" s="24"/>
      <c r="G517" s="24"/>
      <c r="H517" s="25"/>
      <c r="I517" s="25"/>
      <c r="J517" s="24"/>
      <c r="K517" s="24"/>
      <c r="L517" s="22"/>
    </row>
    <row r="518" spans="1:12">
      <c r="A518" s="22"/>
      <c r="B518" s="23"/>
      <c r="C518" s="22"/>
      <c r="D518" s="22"/>
      <c r="E518" s="22"/>
      <c r="F518" s="24"/>
      <c r="G518" s="24"/>
      <c r="H518" s="25"/>
      <c r="I518" s="25"/>
      <c r="J518" s="24"/>
      <c r="K518" s="24"/>
      <c r="L518" s="22"/>
    </row>
    <row r="519" spans="1:12">
      <c r="A519" s="22"/>
      <c r="B519" s="23"/>
      <c r="C519" s="22"/>
      <c r="D519" s="22"/>
      <c r="E519" s="22"/>
      <c r="F519" s="24"/>
      <c r="G519" s="24"/>
      <c r="H519" s="25"/>
      <c r="I519" s="25"/>
      <c r="J519" s="24"/>
      <c r="K519" s="24"/>
      <c r="L519" s="22"/>
    </row>
    <row r="520" spans="1:12">
      <c r="A520" s="22"/>
      <c r="B520" s="23"/>
      <c r="C520" s="22"/>
      <c r="D520" s="22"/>
      <c r="E520" s="22"/>
      <c r="F520" s="24"/>
      <c r="G520" s="24"/>
      <c r="H520" s="25"/>
      <c r="I520" s="25"/>
      <c r="J520" s="24"/>
      <c r="K520" s="24"/>
      <c r="L520" s="22"/>
    </row>
    <row r="521" spans="1:12">
      <c r="A521" s="22"/>
      <c r="B521" s="23"/>
      <c r="C521" s="22"/>
      <c r="D521" s="22"/>
      <c r="E521" s="22"/>
      <c r="F521" s="24"/>
      <c r="G521" s="24"/>
      <c r="H521" s="25"/>
      <c r="I521" s="25"/>
      <c r="J521" s="24"/>
      <c r="K521" s="24"/>
      <c r="L521" s="22"/>
    </row>
    <row r="522" spans="1:12">
      <c r="A522" s="22"/>
      <c r="B522" s="23"/>
      <c r="C522" s="22"/>
      <c r="D522" s="22"/>
      <c r="E522" s="22"/>
      <c r="F522" s="24"/>
      <c r="G522" s="24"/>
      <c r="H522" s="25"/>
      <c r="I522" s="25"/>
      <c r="J522" s="24"/>
      <c r="K522" s="24"/>
      <c r="L522" s="22"/>
    </row>
    <row r="523" spans="1:12">
      <c r="A523" s="22"/>
      <c r="B523" s="23"/>
      <c r="C523" s="22"/>
      <c r="D523" s="22"/>
      <c r="E523" s="22"/>
      <c r="F523" s="24"/>
      <c r="G523" s="24"/>
      <c r="H523" s="25"/>
      <c r="I523" s="25"/>
      <c r="J523" s="24"/>
      <c r="K523" s="24"/>
      <c r="L523" s="22"/>
    </row>
    <row r="524" spans="1:12">
      <c r="A524" s="22"/>
      <c r="B524" s="23"/>
      <c r="C524" s="22"/>
      <c r="D524" s="22"/>
      <c r="E524" s="22"/>
      <c r="F524" s="24"/>
      <c r="G524" s="24"/>
      <c r="H524" s="25"/>
      <c r="I524" s="25"/>
      <c r="J524" s="24"/>
      <c r="K524" s="24"/>
      <c r="L524" s="22"/>
    </row>
    <row r="525" spans="1:12">
      <c r="A525" s="22"/>
      <c r="B525" s="23"/>
      <c r="C525" s="22"/>
      <c r="D525" s="22"/>
      <c r="E525" s="22"/>
      <c r="F525" s="24"/>
      <c r="G525" s="24"/>
      <c r="H525" s="25"/>
      <c r="I525" s="25"/>
      <c r="J525" s="24"/>
      <c r="K525" s="24"/>
      <c r="L525" s="22"/>
    </row>
    <row r="526" spans="1:12">
      <c r="A526" s="22"/>
      <c r="B526" s="23"/>
      <c r="C526" s="22"/>
      <c r="D526" s="22"/>
      <c r="E526" s="22"/>
      <c r="F526" s="24"/>
      <c r="G526" s="24"/>
      <c r="H526" s="25"/>
      <c r="I526" s="25"/>
      <c r="J526" s="24"/>
      <c r="K526" s="24"/>
      <c r="L526" s="22"/>
    </row>
    <row r="527" spans="1:12">
      <c r="A527" s="22"/>
      <c r="B527" s="23"/>
      <c r="C527" s="22"/>
      <c r="D527" s="22"/>
      <c r="E527" s="22"/>
      <c r="F527" s="24"/>
      <c r="G527" s="24"/>
      <c r="H527" s="25"/>
      <c r="I527" s="25"/>
      <c r="J527" s="24"/>
      <c r="K527" s="24"/>
      <c r="L527" s="22"/>
    </row>
    <row r="528" spans="1:12">
      <c r="A528" s="22"/>
      <c r="B528" s="23"/>
      <c r="C528" s="22"/>
      <c r="D528" s="22"/>
      <c r="E528" s="22"/>
      <c r="F528" s="24"/>
      <c r="G528" s="24"/>
      <c r="H528" s="25"/>
      <c r="I528" s="25"/>
      <c r="J528" s="24"/>
      <c r="K528" s="24"/>
      <c r="L528" s="22"/>
    </row>
    <row r="529" spans="1:12">
      <c r="A529" s="22"/>
      <c r="B529" s="23"/>
      <c r="C529" s="22"/>
      <c r="D529" s="22"/>
      <c r="E529" s="22"/>
      <c r="F529" s="24"/>
      <c r="G529" s="24"/>
      <c r="H529" s="25"/>
      <c r="I529" s="25"/>
      <c r="J529" s="24"/>
      <c r="K529" s="24"/>
      <c r="L529" s="22"/>
    </row>
    <row r="530" spans="1:12">
      <c r="A530" s="22"/>
      <c r="B530" s="23"/>
      <c r="C530" s="22"/>
      <c r="D530" s="22"/>
      <c r="E530" s="22"/>
      <c r="F530" s="24"/>
      <c r="G530" s="24"/>
      <c r="H530" s="25"/>
      <c r="I530" s="25"/>
      <c r="J530" s="24"/>
      <c r="K530" s="24"/>
      <c r="L530" s="22"/>
    </row>
    <row r="531" spans="1:12">
      <c r="A531" s="22"/>
      <c r="B531" s="23"/>
      <c r="C531" s="22"/>
      <c r="D531" s="22"/>
      <c r="E531" s="22"/>
      <c r="F531" s="24"/>
      <c r="G531" s="24"/>
      <c r="H531" s="25"/>
      <c r="I531" s="25"/>
      <c r="J531" s="24"/>
      <c r="K531" s="24"/>
      <c r="L531" s="22"/>
    </row>
    <row r="532" spans="1:12">
      <c r="A532" s="22"/>
      <c r="B532" s="23"/>
      <c r="C532" s="22"/>
      <c r="D532" s="22"/>
      <c r="E532" s="22"/>
      <c r="F532" s="24"/>
      <c r="G532" s="24"/>
      <c r="H532" s="25"/>
      <c r="I532" s="25"/>
      <c r="J532" s="24"/>
      <c r="K532" s="24"/>
      <c r="L532" s="22"/>
    </row>
    <row r="533" spans="1:12">
      <c r="A533" s="22"/>
      <c r="B533" s="23"/>
      <c r="C533" s="22"/>
      <c r="D533" s="22"/>
      <c r="E533" s="22"/>
      <c r="F533" s="24"/>
      <c r="G533" s="24"/>
      <c r="H533" s="25"/>
      <c r="I533" s="25"/>
      <c r="J533" s="24"/>
      <c r="K533" s="24"/>
      <c r="L533" s="22"/>
    </row>
    <row r="534" spans="1:12">
      <c r="A534" s="22"/>
      <c r="B534" s="23"/>
      <c r="C534" s="22"/>
      <c r="D534" s="22"/>
      <c r="E534" s="22"/>
      <c r="F534" s="24"/>
      <c r="G534" s="24"/>
      <c r="H534" s="25"/>
      <c r="I534" s="25"/>
      <c r="J534" s="24"/>
      <c r="K534" s="24"/>
      <c r="L534" s="22"/>
    </row>
    <row r="535" spans="1:12">
      <c r="A535" s="22"/>
      <c r="B535" s="23"/>
      <c r="C535" s="22"/>
      <c r="D535" s="22"/>
      <c r="E535" s="22"/>
      <c r="F535" s="24"/>
      <c r="G535" s="24"/>
      <c r="H535" s="25"/>
      <c r="I535" s="25"/>
      <c r="J535" s="24"/>
      <c r="K535" s="24"/>
      <c r="L535" s="22"/>
    </row>
    <row r="536" spans="1:12">
      <c r="A536" s="22"/>
      <c r="B536" s="23"/>
      <c r="C536" s="22"/>
      <c r="D536" s="22"/>
      <c r="E536" s="22"/>
      <c r="F536" s="24"/>
      <c r="G536" s="24"/>
      <c r="H536" s="25"/>
      <c r="I536" s="25"/>
      <c r="J536" s="24"/>
      <c r="K536" s="24"/>
      <c r="L536" s="22"/>
    </row>
    <row r="537" spans="1:12">
      <c r="A537" s="22"/>
      <c r="B537" s="23"/>
      <c r="C537" s="22"/>
      <c r="D537" s="22"/>
      <c r="E537" s="22"/>
      <c r="F537" s="24"/>
      <c r="G537" s="24"/>
      <c r="H537" s="25"/>
      <c r="I537" s="25"/>
      <c r="J537" s="24"/>
      <c r="K537" s="24"/>
      <c r="L537" s="22"/>
    </row>
    <row r="538" spans="1:12">
      <c r="A538" s="22"/>
      <c r="B538" s="23"/>
      <c r="C538" s="22"/>
      <c r="D538" s="22"/>
      <c r="E538" s="22"/>
      <c r="F538" s="24"/>
      <c r="G538" s="24"/>
      <c r="H538" s="25"/>
      <c r="I538" s="25"/>
      <c r="J538" s="24"/>
      <c r="K538" s="24"/>
      <c r="L538" s="22"/>
    </row>
    <row r="539" spans="1:12">
      <c r="A539" s="22"/>
      <c r="B539" s="23"/>
      <c r="C539" s="22"/>
      <c r="D539" s="22"/>
      <c r="E539" s="22"/>
      <c r="F539" s="24"/>
      <c r="G539" s="24"/>
      <c r="H539" s="25"/>
      <c r="I539" s="25"/>
      <c r="J539" s="24"/>
      <c r="K539" s="24"/>
      <c r="L539" s="22"/>
    </row>
    <row r="540" spans="1:12">
      <c r="A540" s="22"/>
      <c r="B540" s="23"/>
      <c r="C540" s="22"/>
      <c r="D540" s="22"/>
      <c r="E540" s="22"/>
      <c r="F540" s="24"/>
      <c r="G540" s="24"/>
      <c r="H540" s="25"/>
      <c r="I540" s="25"/>
      <c r="J540" s="24"/>
      <c r="K540" s="24"/>
      <c r="L540" s="22"/>
    </row>
    <row r="541" spans="1:12">
      <c r="A541" s="22"/>
      <c r="B541" s="23"/>
      <c r="C541" s="22"/>
      <c r="D541" s="22"/>
      <c r="E541" s="22"/>
      <c r="F541" s="24"/>
      <c r="G541" s="24"/>
      <c r="H541" s="25"/>
      <c r="I541" s="25"/>
      <c r="J541" s="24"/>
      <c r="K541" s="24"/>
      <c r="L541" s="22"/>
    </row>
    <row r="542" spans="1:12">
      <c r="A542" s="22"/>
      <c r="B542" s="23"/>
      <c r="C542" s="22"/>
      <c r="D542" s="22"/>
      <c r="E542" s="22"/>
      <c r="F542" s="24"/>
      <c r="G542" s="24"/>
      <c r="H542" s="25"/>
      <c r="I542" s="25"/>
      <c r="J542" s="24"/>
      <c r="K542" s="24"/>
      <c r="L542" s="22"/>
    </row>
    <row r="543" spans="1:12">
      <c r="A543" s="22"/>
      <c r="B543" s="23"/>
      <c r="C543" s="22"/>
      <c r="D543" s="22"/>
      <c r="E543" s="22"/>
      <c r="F543" s="24"/>
      <c r="G543" s="24"/>
      <c r="H543" s="25"/>
      <c r="I543" s="25"/>
      <c r="J543" s="24"/>
      <c r="K543" s="24"/>
      <c r="L543" s="22"/>
    </row>
    <row r="544" spans="1:12">
      <c r="A544" s="22"/>
      <c r="B544" s="23"/>
      <c r="C544" s="22"/>
      <c r="D544" s="22"/>
      <c r="E544" s="22"/>
      <c r="F544" s="24"/>
      <c r="G544" s="24"/>
      <c r="H544" s="25"/>
      <c r="I544" s="25"/>
      <c r="J544" s="24"/>
      <c r="K544" s="24"/>
      <c r="L544" s="22"/>
    </row>
    <row r="545" spans="1:12">
      <c r="A545" s="22"/>
      <c r="B545" s="23"/>
      <c r="C545" s="22"/>
      <c r="D545" s="22"/>
      <c r="E545" s="22"/>
      <c r="F545" s="24"/>
      <c r="G545" s="24"/>
      <c r="H545" s="25"/>
      <c r="I545" s="25"/>
      <c r="J545" s="24"/>
      <c r="K545" s="24"/>
      <c r="L545" s="22"/>
    </row>
    <row r="546" spans="1:12">
      <c r="A546" s="22"/>
      <c r="B546" s="23"/>
      <c r="C546" s="22"/>
      <c r="D546" s="22"/>
      <c r="E546" s="22"/>
      <c r="F546" s="24"/>
      <c r="G546" s="24"/>
      <c r="H546" s="25"/>
      <c r="I546" s="25"/>
      <c r="J546" s="24"/>
      <c r="K546" s="24"/>
      <c r="L546" s="22"/>
    </row>
    <row r="547" spans="1:12">
      <c r="A547" s="22"/>
      <c r="B547" s="23"/>
      <c r="C547" s="22"/>
      <c r="D547" s="22"/>
      <c r="E547" s="22"/>
      <c r="F547" s="24"/>
      <c r="G547" s="24"/>
      <c r="H547" s="25"/>
      <c r="I547" s="25"/>
      <c r="J547" s="24"/>
      <c r="K547" s="24"/>
      <c r="L547" s="22"/>
    </row>
    <row r="548" spans="1:12">
      <c r="A548" s="22"/>
      <c r="B548" s="23"/>
      <c r="C548" s="22"/>
      <c r="D548" s="22"/>
      <c r="E548" s="22"/>
      <c r="F548" s="24"/>
      <c r="G548" s="24"/>
      <c r="H548" s="25"/>
      <c r="I548" s="25"/>
      <c r="J548" s="24"/>
      <c r="K548" s="24"/>
      <c r="L548" s="22"/>
    </row>
    <row r="549" spans="1:12">
      <c r="A549" s="22"/>
      <c r="B549" s="23"/>
      <c r="C549" s="22"/>
      <c r="D549" s="22"/>
      <c r="E549" s="22"/>
      <c r="F549" s="24"/>
      <c r="G549" s="24"/>
      <c r="H549" s="25"/>
      <c r="I549" s="25"/>
      <c r="J549" s="24"/>
      <c r="K549" s="24"/>
      <c r="L549" s="22"/>
    </row>
    <row r="550" spans="1:12">
      <c r="A550" s="22"/>
      <c r="B550" s="23"/>
      <c r="C550" s="22"/>
      <c r="D550" s="22"/>
      <c r="E550" s="22"/>
      <c r="F550" s="24"/>
      <c r="G550" s="24"/>
      <c r="H550" s="25"/>
      <c r="I550" s="25"/>
      <c r="J550" s="24"/>
      <c r="K550" s="24"/>
      <c r="L550" s="22"/>
    </row>
    <row r="551" spans="1:12">
      <c r="A551" s="22"/>
      <c r="B551" s="23"/>
      <c r="C551" s="22"/>
      <c r="D551" s="22"/>
      <c r="E551" s="22"/>
      <c r="F551" s="24"/>
      <c r="G551" s="24"/>
      <c r="H551" s="25"/>
      <c r="I551" s="25"/>
      <c r="J551" s="24"/>
      <c r="K551" s="24"/>
      <c r="L551" s="22"/>
    </row>
    <row r="552" spans="1:12">
      <c r="A552" s="22"/>
      <c r="B552" s="23"/>
      <c r="C552" s="22"/>
      <c r="D552" s="22"/>
      <c r="E552" s="22"/>
      <c r="F552" s="24"/>
      <c r="G552" s="24"/>
      <c r="H552" s="25"/>
      <c r="I552" s="25"/>
      <c r="J552" s="24"/>
      <c r="K552" s="24"/>
      <c r="L552" s="22"/>
    </row>
    <row r="553" spans="1:12">
      <c r="A553" s="22"/>
      <c r="B553" s="23"/>
      <c r="C553" s="22"/>
      <c r="D553" s="22"/>
      <c r="E553" s="22"/>
      <c r="F553" s="24"/>
      <c r="G553" s="24"/>
      <c r="H553" s="25"/>
      <c r="I553" s="25"/>
      <c r="J553" s="24"/>
      <c r="K553" s="24"/>
      <c r="L553" s="22"/>
    </row>
    <row r="554" spans="1:12">
      <c r="A554" s="22"/>
      <c r="B554" s="23"/>
      <c r="C554" s="22"/>
      <c r="D554" s="22"/>
      <c r="E554" s="22"/>
      <c r="F554" s="24"/>
      <c r="G554" s="24"/>
      <c r="H554" s="25"/>
      <c r="I554" s="25"/>
      <c r="J554" s="24"/>
      <c r="K554" s="24"/>
      <c r="L554" s="22"/>
    </row>
    <row r="555" spans="1:12">
      <c r="A555" s="22"/>
      <c r="B555" s="23"/>
      <c r="C555" s="22"/>
      <c r="D555" s="22"/>
      <c r="E555" s="22"/>
      <c r="F555" s="24"/>
      <c r="G555" s="24"/>
      <c r="H555" s="25"/>
      <c r="I555" s="25"/>
      <c r="J555" s="24"/>
      <c r="K555" s="24"/>
      <c r="L555" s="22"/>
    </row>
    <row r="556" spans="1:12">
      <c r="A556" s="22"/>
      <c r="B556" s="23"/>
      <c r="C556" s="22"/>
      <c r="D556" s="22"/>
      <c r="E556" s="22"/>
      <c r="F556" s="24"/>
      <c r="G556" s="24"/>
      <c r="H556" s="25"/>
      <c r="I556" s="25"/>
      <c r="J556" s="24"/>
      <c r="K556" s="24"/>
      <c r="L556" s="22"/>
    </row>
    <row r="557" spans="1:12">
      <c r="A557" s="22"/>
      <c r="B557" s="23"/>
      <c r="C557" s="22"/>
      <c r="D557" s="22"/>
      <c r="E557" s="22"/>
      <c r="F557" s="24"/>
      <c r="G557" s="24"/>
      <c r="H557" s="25"/>
      <c r="I557" s="25"/>
      <c r="J557" s="24"/>
      <c r="K557" s="24"/>
      <c r="L557" s="22"/>
    </row>
    <row r="558" spans="1:12">
      <c r="A558" s="22"/>
      <c r="B558" s="23"/>
      <c r="C558" s="22"/>
      <c r="D558" s="22"/>
      <c r="E558" s="22"/>
      <c r="F558" s="24"/>
      <c r="G558" s="24"/>
      <c r="H558" s="25"/>
      <c r="I558" s="25"/>
      <c r="J558" s="24"/>
      <c r="K558" s="24"/>
      <c r="L558" s="22"/>
    </row>
    <row r="559" spans="1:12">
      <c r="A559" s="22"/>
      <c r="B559" s="23"/>
      <c r="C559" s="22"/>
      <c r="D559" s="22"/>
      <c r="E559" s="22"/>
      <c r="F559" s="24"/>
      <c r="G559" s="24"/>
      <c r="H559" s="25"/>
      <c r="I559" s="25"/>
      <c r="J559" s="24"/>
      <c r="K559" s="24"/>
      <c r="L559" s="22"/>
    </row>
    <row r="560" spans="1:12">
      <c r="A560" s="22"/>
      <c r="B560" s="23"/>
      <c r="C560" s="22"/>
      <c r="D560" s="22"/>
      <c r="E560" s="22"/>
      <c r="F560" s="24"/>
      <c r="G560" s="24"/>
      <c r="H560" s="25"/>
      <c r="I560" s="25"/>
      <c r="J560" s="24"/>
      <c r="K560" s="24"/>
      <c r="L560" s="22"/>
    </row>
    <row r="561" spans="1:12">
      <c r="A561" s="22"/>
      <c r="B561" s="23"/>
      <c r="C561" s="22"/>
      <c r="D561" s="22"/>
      <c r="E561" s="22"/>
      <c r="F561" s="24"/>
      <c r="G561" s="24"/>
      <c r="H561" s="25"/>
      <c r="I561" s="25"/>
      <c r="J561" s="24"/>
      <c r="K561" s="24"/>
      <c r="L561" s="22"/>
    </row>
    <row r="562" spans="1:12">
      <c r="A562" s="22"/>
      <c r="B562" s="23"/>
      <c r="C562" s="22"/>
      <c r="D562" s="22"/>
      <c r="E562" s="22"/>
      <c r="F562" s="24"/>
      <c r="G562" s="24"/>
      <c r="H562" s="25"/>
      <c r="I562" s="25"/>
      <c r="J562" s="24"/>
      <c r="K562" s="24"/>
      <c r="L562" s="22"/>
    </row>
    <row r="563" spans="1:12">
      <c r="A563" s="22"/>
      <c r="B563" s="23"/>
      <c r="C563" s="22"/>
      <c r="D563" s="22"/>
      <c r="E563" s="22"/>
      <c r="F563" s="24"/>
      <c r="G563" s="24"/>
      <c r="H563" s="25"/>
      <c r="I563" s="25"/>
      <c r="J563" s="24"/>
      <c r="K563" s="24"/>
      <c r="L563" s="22"/>
    </row>
    <row r="564" spans="1:12">
      <c r="A564" s="22"/>
      <c r="B564" s="23"/>
      <c r="C564" s="22"/>
      <c r="D564" s="22"/>
      <c r="E564" s="22"/>
      <c r="F564" s="24"/>
      <c r="G564" s="24"/>
      <c r="H564" s="25"/>
      <c r="I564" s="25"/>
      <c r="J564" s="24"/>
      <c r="K564" s="24"/>
      <c r="L564" s="22"/>
    </row>
    <row r="565" spans="1:12">
      <c r="A565" s="22"/>
      <c r="B565" s="23"/>
      <c r="C565" s="22"/>
      <c r="D565" s="22"/>
      <c r="E565" s="22"/>
      <c r="F565" s="24"/>
      <c r="G565" s="24"/>
      <c r="H565" s="25"/>
      <c r="I565" s="25"/>
      <c r="J565" s="24"/>
      <c r="K565" s="24"/>
      <c r="L565" s="22"/>
    </row>
    <row r="566" spans="1:12">
      <c r="A566" s="22"/>
      <c r="B566" s="23"/>
      <c r="C566" s="22"/>
      <c r="D566" s="22"/>
      <c r="E566" s="22"/>
      <c r="F566" s="24"/>
      <c r="G566" s="24"/>
      <c r="H566" s="25"/>
      <c r="I566" s="25"/>
      <c r="J566" s="24"/>
      <c r="K566" s="24"/>
      <c r="L566" s="22"/>
    </row>
    <row r="567" spans="1:12">
      <c r="A567" s="22"/>
      <c r="B567" s="23"/>
      <c r="C567" s="22"/>
      <c r="D567" s="22"/>
      <c r="E567" s="22"/>
      <c r="F567" s="24"/>
      <c r="G567" s="24"/>
      <c r="H567" s="25"/>
      <c r="I567" s="25"/>
      <c r="J567" s="24"/>
      <c r="K567" s="24"/>
      <c r="L567" s="22"/>
    </row>
    <row r="568" spans="1:12">
      <c r="A568" s="22"/>
      <c r="B568" s="23"/>
      <c r="C568" s="22"/>
      <c r="D568" s="22"/>
      <c r="E568" s="22"/>
      <c r="F568" s="24"/>
      <c r="G568" s="24"/>
      <c r="H568" s="25"/>
      <c r="I568" s="25"/>
      <c r="J568" s="24"/>
      <c r="K568" s="24"/>
      <c r="L568" s="22"/>
    </row>
    <row r="569" spans="1:12">
      <c r="A569" s="22"/>
      <c r="B569" s="23"/>
      <c r="C569" s="22"/>
      <c r="D569" s="22"/>
      <c r="E569" s="22"/>
      <c r="F569" s="24"/>
      <c r="G569" s="24"/>
      <c r="H569" s="25"/>
      <c r="I569" s="25"/>
      <c r="J569" s="24"/>
      <c r="K569" s="24"/>
      <c r="L569" s="22"/>
    </row>
    <row r="570" spans="1:12">
      <c r="A570" s="22"/>
      <c r="B570" s="23"/>
      <c r="C570" s="22"/>
      <c r="D570" s="22"/>
      <c r="E570" s="22"/>
      <c r="F570" s="24"/>
      <c r="G570" s="24"/>
      <c r="H570" s="25"/>
      <c r="I570" s="25"/>
      <c r="J570" s="24"/>
      <c r="K570" s="24"/>
      <c r="L570" s="22"/>
    </row>
    <row r="571" spans="1:12">
      <c r="A571" s="22"/>
      <c r="B571" s="23"/>
      <c r="C571" s="22"/>
      <c r="D571" s="22"/>
      <c r="E571" s="22"/>
      <c r="F571" s="24"/>
      <c r="G571" s="24"/>
      <c r="H571" s="25"/>
      <c r="I571" s="25"/>
      <c r="J571" s="24"/>
      <c r="K571" s="24"/>
      <c r="L571" s="22"/>
    </row>
    <row r="572" spans="1:12">
      <c r="A572" s="22"/>
      <c r="B572" s="23"/>
      <c r="C572" s="22"/>
      <c r="D572" s="22"/>
      <c r="E572" s="22"/>
      <c r="F572" s="24"/>
      <c r="G572" s="24"/>
      <c r="H572" s="25"/>
      <c r="I572" s="25"/>
      <c r="J572" s="24"/>
      <c r="K572" s="24"/>
      <c r="L572" s="22"/>
    </row>
    <row r="573" spans="1:12">
      <c r="A573" s="22"/>
      <c r="B573" s="23"/>
      <c r="C573" s="22"/>
      <c r="D573" s="22"/>
      <c r="E573" s="22"/>
      <c r="F573" s="24"/>
      <c r="G573" s="24"/>
      <c r="H573" s="25"/>
      <c r="I573" s="25"/>
      <c r="J573" s="24"/>
      <c r="K573" s="24"/>
      <c r="L573" s="22"/>
    </row>
    <row r="574" spans="1:12">
      <c r="A574" s="22"/>
      <c r="B574" s="23"/>
      <c r="C574" s="22"/>
      <c r="D574" s="22"/>
      <c r="E574" s="22"/>
      <c r="F574" s="24"/>
      <c r="G574" s="24"/>
      <c r="H574" s="25"/>
      <c r="I574" s="25"/>
      <c r="J574" s="24"/>
      <c r="K574" s="24"/>
      <c r="L574" s="22"/>
    </row>
    <row r="575" spans="1:12">
      <c r="A575" s="22"/>
      <c r="B575" s="23"/>
      <c r="C575" s="22"/>
      <c r="D575" s="22"/>
      <c r="E575" s="22"/>
      <c r="F575" s="24"/>
      <c r="G575" s="24"/>
      <c r="H575" s="25"/>
      <c r="I575" s="25"/>
      <c r="J575" s="24"/>
      <c r="K575" s="24"/>
      <c r="L575" s="22"/>
    </row>
    <row r="576" spans="1:12">
      <c r="A576" s="22"/>
      <c r="B576" s="23"/>
      <c r="C576" s="22"/>
      <c r="D576" s="22"/>
      <c r="E576" s="22"/>
      <c r="F576" s="24"/>
      <c r="G576" s="24"/>
      <c r="H576" s="25"/>
      <c r="I576" s="25"/>
      <c r="J576" s="24"/>
      <c r="K576" s="24"/>
      <c r="L576" s="22"/>
    </row>
    <row r="577" spans="1:12">
      <c r="A577" s="22"/>
      <c r="B577" s="23"/>
      <c r="C577" s="22"/>
      <c r="D577" s="22"/>
      <c r="E577" s="22"/>
      <c r="F577" s="24"/>
      <c r="G577" s="24"/>
      <c r="H577" s="25"/>
      <c r="I577" s="25"/>
      <c r="J577" s="24"/>
      <c r="K577" s="24"/>
      <c r="L577" s="22"/>
    </row>
    <row r="578" spans="1:12">
      <c r="A578" s="22"/>
      <c r="B578" s="23"/>
      <c r="C578" s="22"/>
      <c r="D578" s="22"/>
      <c r="E578" s="22"/>
      <c r="F578" s="24"/>
      <c r="G578" s="24"/>
      <c r="H578" s="25"/>
      <c r="I578" s="25"/>
      <c r="J578" s="24"/>
      <c r="K578" s="24"/>
      <c r="L578" s="22"/>
    </row>
    <row r="579" spans="1:12">
      <c r="A579" s="22"/>
      <c r="B579" s="23"/>
      <c r="C579" s="22"/>
      <c r="D579" s="22"/>
      <c r="E579" s="22"/>
      <c r="F579" s="24"/>
      <c r="G579" s="24"/>
      <c r="H579" s="25"/>
      <c r="I579" s="25"/>
      <c r="J579" s="24"/>
      <c r="K579" s="24"/>
      <c r="L579" s="22"/>
    </row>
    <row r="580" spans="1:12">
      <c r="A580" s="22"/>
      <c r="B580" s="23"/>
      <c r="C580" s="22"/>
      <c r="D580" s="22"/>
      <c r="E580" s="22"/>
      <c r="F580" s="24"/>
      <c r="G580" s="24"/>
      <c r="H580" s="25"/>
      <c r="I580" s="25"/>
      <c r="J580" s="24"/>
      <c r="K580" s="24"/>
      <c r="L580" s="22"/>
    </row>
    <row r="581" spans="1:12">
      <c r="A581" s="22"/>
      <c r="B581" s="23"/>
      <c r="C581" s="22"/>
      <c r="D581" s="22"/>
      <c r="E581" s="22"/>
      <c r="F581" s="24"/>
      <c r="G581" s="24"/>
      <c r="H581" s="25"/>
      <c r="I581" s="25"/>
      <c r="J581" s="24"/>
      <c r="K581" s="24"/>
      <c r="L581" s="22"/>
    </row>
    <row r="582" spans="1:12">
      <c r="A582" s="22"/>
      <c r="B582" s="23"/>
      <c r="C582" s="22"/>
      <c r="D582" s="22"/>
      <c r="E582" s="22"/>
      <c r="F582" s="24"/>
      <c r="G582" s="24"/>
      <c r="H582" s="25"/>
      <c r="I582" s="25"/>
      <c r="J582" s="24"/>
      <c r="K582" s="24"/>
      <c r="L582" s="22"/>
    </row>
    <row r="583" spans="1:12">
      <c r="A583" s="22"/>
      <c r="B583" s="23"/>
      <c r="C583" s="22"/>
      <c r="D583" s="22"/>
      <c r="E583" s="22"/>
      <c r="F583" s="24"/>
      <c r="G583" s="24"/>
      <c r="H583" s="25"/>
      <c r="I583" s="25"/>
      <c r="J583" s="24"/>
      <c r="K583" s="24"/>
      <c r="L583" s="22"/>
    </row>
    <row r="584" spans="1:12">
      <c r="A584" s="22"/>
      <c r="B584" s="23"/>
      <c r="C584" s="22"/>
      <c r="D584" s="22"/>
      <c r="E584" s="22"/>
      <c r="F584" s="24"/>
      <c r="G584" s="24"/>
      <c r="H584" s="25"/>
      <c r="I584" s="25"/>
      <c r="J584" s="24"/>
      <c r="K584" s="24"/>
      <c r="L584" s="22"/>
    </row>
    <row r="585" spans="1:12">
      <c r="A585" s="22"/>
      <c r="B585" s="23"/>
      <c r="C585" s="22"/>
      <c r="D585" s="22"/>
      <c r="E585" s="22"/>
      <c r="F585" s="24"/>
      <c r="G585" s="24"/>
      <c r="H585" s="25"/>
      <c r="I585" s="25"/>
      <c r="J585" s="24"/>
      <c r="K585" s="24"/>
      <c r="L585" s="22"/>
    </row>
    <row r="586" spans="1:12">
      <c r="A586" s="22"/>
      <c r="B586" s="23"/>
      <c r="C586" s="22"/>
      <c r="D586" s="22"/>
      <c r="E586" s="22"/>
      <c r="F586" s="24"/>
      <c r="G586" s="24"/>
      <c r="H586" s="25"/>
      <c r="I586" s="25"/>
      <c r="J586" s="24"/>
      <c r="K586" s="24"/>
      <c r="L586" s="22"/>
    </row>
    <row r="587" spans="1:12">
      <c r="A587" s="22"/>
      <c r="B587" s="23"/>
      <c r="C587" s="22"/>
      <c r="D587" s="22"/>
      <c r="E587" s="22"/>
      <c r="F587" s="24"/>
      <c r="G587" s="24"/>
      <c r="H587" s="25"/>
      <c r="I587" s="25"/>
      <c r="J587" s="24"/>
      <c r="K587" s="24"/>
      <c r="L587" s="22"/>
    </row>
    <row r="588" spans="1:12">
      <c r="A588" s="22"/>
      <c r="B588" s="23"/>
      <c r="C588" s="22"/>
      <c r="D588" s="22"/>
      <c r="E588" s="22"/>
      <c r="F588" s="24"/>
      <c r="G588" s="24"/>
      <c r="H588" s="25"/>
      <c r="I588" s="25"/>
      <c r="J588" s="24"/>
      <c r="K588" s="24"/>
      <c r="L588" s="22"/>
    </row>
    <row r="589" spans="1:12">
      <c r="A589" s="22"/>
      <c r="B589" s="23"/>
      <c r="C589" s="22"/>
      <c r="D589" s="22"/>
      <c r="E589" s="22"/>
      <c r="F589" s="24"/>
      <c r="G589" s="24"/>
      <c r="H589" s="25"/>
      <c r="I589" s="25"/>
      <c r="J589" s="24"/>
      <c r="K589" s="24"/>
      <c r="L589" s="22"/>
    </row>
    <row r="590" spans="1:12">
      <c r="A590" s="22"/>
      <c r="B590" s="23"/>
      <c r="C590" s="22"/>
      <c r="D590" s="22"/>
      <c r="E590" s="22"/>
      <c r="F590" s="24"/>
      <c r="G590" s="24"/>
      <c r="H590" s="25"/>
      <c r="I590" s="25"/>
      <c r="J590" s="24"/>
      <c r="K590" s="24"/>
      <c r="L590" s="22"/>
    </row>
    <row r="591" spans="1:12">
      <c r="A591" s="22"/>
      <c r="B591" s="23"/>
      <c r="C591" s="22"/>
      <c r="D591" s="22"/>
      <c r="E591" s="22"/>
      <c r="F591" s="24"/>
      <c r="G591" s="24"/>
      <c r="H591" s="25"/>
      <c r="I591" s="25"/>
      <c r="J591" s="24"/>
      <c r="K591" s="24"/>
      <c r="L591" s="22"/>
    </row>
    <row r="592" spans="1:12">
      <c r="A592" s="22"/>
      <c r="B592" s="23"/>
      <c r="C592" s="22"/>
      <c r="D592" s="22"/>
      <c r="E592" s="22"/>
      <c r="F592" s="24"/>
      <c r="G592" s="24"/>
      <c r="H592" s="25"/>
      <c r="I592" s="25"/>
      <c r="J592" s="24"/>
      <c r="K592" s="24"/>
      <c r="L592" s="22"/>
    </row>
    <row r="593" spans="1:12">
      <c r="A593" s="22"/>
      <c r="B593" s="23"/>
      <c r="C593" s="22"/>
      <c r="D593" s="22"/>
      <c r="E593" s="22"/>
      <c r="F593" s="24"/>
      <c r="G593" s="24"/>
      <c r="H593" s="25"/>
      <c r="I593" s="25"/>
      <c r="J593" s="24"/>
      <c r="K593" s="24"/>
      <c r="L593" s="22"/>
    </row>
    <row r="594" spans="1:12">
      <c r="A594" s="22"/>
      <c r="B594" s="23"/>
      <c r="C594" s="22"/>
      <c r="D594" s="22"/>
      <c r="E594" s="22"/>
      <c r="F594" s="24"/>
      <c r="G594" s="24"/>
      <c r="H594" s="25"/>
      <c r="I594" s="25"/>
      <c r="J594" s="24"/>
      <c r="K594" s="24"/>
      <c r="L594" s="22"/>
    </row>
    <row r="595" spans="1:12">
      <c r="A595" s="22"/>
      <c r="B595" s="23"/>
      <c r="C595" s="22"/>
      <c r="D595" s="22"/>
      <c r="E595" s="22"/>
      <c r="F595" s="24"/>
      <c r="G595" s="24"/>
      <c r="H595" s="25"/>
      <c r="I595" s="25"/>
      <c r="J595" s="24"/>
      <c r="K595" s="24"/>
      <c r="L595" s="22"/>
    </row>
    <row r="596" spans="1:12">
      <c r="A596" s="22"/>
      <c r="B596" s="23"/>
      <c r="C596" s="22"/>
      <c r="D596" s="22"/>
      <c r="E596" s="22"/>
      <c r="F596" s="24"/>
      <c r="G596" s="24"/>
      <c r="H596" s="25"/>
      <c r="I596" s="25"/>
      <c r="J596" s="24"/>
      <c r="K596" s="24"/>
      <c r="L596" s="22"/>
    </row>
    <row r="597" spans="1:12">
      <c r="A597" s="22"/>
      <c r="B597" s="23"/>
      <c r="C597" s="22"/>
      <c r="D597" s="22"/>
      <c r="E597" s="22"/>
      <c r="F597" s="24"/>
      <c r="G597" s="24"/>
      <c r="H597" s="25"/>
      <c r="I597" s="25"/>
      <c r="J597" s="24"/>
      <c r="K597" s="24"/>
      <c r="L597" s="22"/>
    </row>
    <row r="598" spans="1:12">
      <c r="A598" s="22"/>
      <c r="B598" s="23"/>
      <c r="C598" s="22"/>
      <c r="D598" s="22"/>
      <c r="E598" s="22"/>
      <c r="F598" s="24"/>
      <c r="G598" s="24"/>
      <c r="H598" s="25"/>
      <c r="I598" s="25"/>
      <c r="J598" s="24"/>
      <c r="K598" s="24"/>
      <c r="L598" s="22"/>
    </row>
    <row r="599" spans="1:12">
      <c r="A599" s="22"/>
      <c r="B599" s="23"/>
      <c r="C599" s="22"/>
      <c r="D599" s="22"/>
      <c r="E599" s="22"/>
      <c r="F599" s="24"/>
      <c r="G599" s="24"/>
      <c r="H599" s="25"/>
      <c r="I599" s="25"/>
      <c r="J599" s="24"/>
      <c r="K599" s="24"/>
      <c r="L599" s="22"/>
    </row>
    <row r="600" spans="1:12">
      <c r="A600" s="22"/>
      <c r="B600" s="23"/>
      <c r="C600" s="22"/>
      <c r="D600" s="22"/>
      <c r="E600" s="22"/>
      <c r="F600" s="24"/>
      <c r="G600" s="24"/>
      <c r="H600" s="25"/>
      <c r="I600" s="25"/>
      <c r="J600" s="24"/>
      <c r="K600" s="24"/>
      <c r="L600" s="22"/>
    </row>
    <row r="601" spans="1:12">
      <c r="A601" s="22"/>
      <c r="B601" s="23"/>
      <c r="C601" s="22"/>
      <c r="D601" s="22"/>
      <c r="E601" s="22"/>
      <c r="F601" s="24"/>
      <c r="G601" s="24"/>
      <c r="H601" s="25"/>
      <c r="I601" s="25"/>
      <c r="J601" s="24"/>
      <c r="K601" s="24"/>
      <c r="L601" s="22"/>
    </row>
    <row r="602" spans="1:12">
      <c r="A602" s="22"/>
      <c r="B602" s="23"/>
      <c r="C602" s="22"/>
      <c r="D602" s="22"/>
      <c r="E602" s="22"/>
      <c r="F602" s="24"/>
      <c r="G602" s="24"/>
      <c r="H602" s="25"/>
      <c r="I602" s="25"/>
      <c r="J602" s="24"/>
      <c r="K602" s="24"/>
      <c r="L602" s="22"/>
    </row>
    <row r="603" spans="1:12">
      <c r="A603" s="22"/>
      <c r="B603" s="23"/>
      <c r="C603" s="22"/>
      <c r="D603" s="22"/>
      <c r="E603" s="22"/>
      <c r="F603" s="24"/>
      <c r="G603" s="24"/>
      <c r="H603" s="25"/>
      <c r="I603" s="25"/>
      <c r="J603" s="24"/>
      <c r="K603" s="24"/>
      <c r="L603" s="22"/>
    </row>
    <row r="604" spans="1:12">
      <c r="A604" s="22"/>
      <c r="B604" s="23"/>
      <c r="C604" s="22"/>
      <c r="D604" s="22"/>
      <c r="E604" s="22"/>
      <c r="F604" s="24"/>
      <c r="G604" s="24"/>
      <c r="H604" s="25"/>
      <c r="I604" s="25"/>
      <c r="J604" s="24"/>
      <c r="K604" s="24"/>
      <c r="L604" s="22"/>
    </row>
    <row r="605" spans="1:12">
      <c r="A605" s="22"/>
      <c r="B605" s="23"/>
      <c r="C605" s="22"/>
      <c r="D605" s="22"/>
      <c r="E605" s="22"/>
      <c r="F605" s="24"/>
      <c r="G605" s="24"/>
      <c r="H605" s="25"/>
      <c r="I605" s="25"/>
      <c r="J605" s="24"/>
      <c r="K605" s="24"/>
      <c r="L605" s="22"/>
    </row>
    <row r="606" spans="1:12">
      <c r="A606" s="22"/>
      <c r="B606" s="23"/>
      <c r="C606" s="22"/>
      <c r="D606" s="22"/>
      <c r="E606" s="22"/>
      <c r="F606" s="24"/>
      <c r="G606" s="24"/>
      <c r="H606" s="25"/>
      <c r="I606" s="25"/>
      <c r="J606" s="24"/>
      <c r="K606" s="24"/>
      <c r="L606" s="22"/>
    </row>
    <row r="607" spans="1:12">
      <c r="A607" s="22"/>
      <c r="B607" s="23"/>
      <c r="C607" s="22"/>
      <c r="D607" s="22"/>
      <c r="E607" s="22"/>
      <c r="F607" s="24"/>
      <c r="G607" s="24"/>
      <c r="H607" s="25"/>
      <c r="I607" s="25"/>
      <c r="J607" s="24"/>
      <c r="K607" s="24"/>
      <c r="L607" s="22"/>
    </row>
    <row r="608" spans="1:12">
      <c r="A608" s="22"/>
      <c r="B608" s="23"/>
      <c r="C608" s="22"/>
      <c r="D608" s="22"/>
      <c r="E608" s="22"/>
      <c r="F608" s="24"/>
      <c r="G608" s="24"/>
      <c r="H608" s="25"/>
      <c r="I608" s="25"/>
      <c r="J608" s="24"/>
      <c r="K608" s="24"/>
      <c r="L608" s="22"/>
    </row>
    <row r="609" spans="1:12">
      <c r="A609" s="22"/>
      <c r="B609" s="23"/>
      <c r="C609" s="22"/>
      <c r="D609" s="22"/>
      <c r="E609" s="22"/>
      <c r="F609" s="24"/>
      <c r="G609" s="24"/>
      <c r="H609" s="25"/>
      <c r="I609" s="25"/>
      <c r="J609" s="24"/>
      <c r="K609" s="24"/>
      <c r="L609" s="22"/>
    </row>
    <row r="610" spans="1:12">
      <c r="A610" s="22"/>
      <c r="B610" s="23"/>
      <c r="C610" s="22"/>
      <c r="D610" s="22"/>
      <c r="E610" s="22"/>
      <c r="F610" s="24"/>
      <c r="G610" s="24"/>
      <c r="H610" s="25"/>
      <c r="I610" s="25"/>
      <c r="J610" s="24"/>
      <c r="K610" s="24"/>
      <c r="L610" s="22"/>
    </row>
    <row r="611" spans="1:12">
      <c r="A611" s="22"/>
      <c r="B611" s="23"/>
      <c r="C611" s="22"/>
      <c r="D611" s="22"/>
      <c r="E611" s="22"/>
      <c r="F611" s="24"/>
      <c r="G611" s="24"/>
      <c r="H611" s="25"/>
      <c r="I611" s="25"/>
      <c r="J611" s="24"/>
      <c r="K611" s="24"/>
      <c r="L611" s="22"/>
    </row>
    <row r="612" spans="1:12">
      <c r="A612" s="22"/>
      <c r="B612" s="23"/>
      <c r="C612" s="22"/>
      <c r="D612" s="22"/>
      <c r="E612" s="22"/>
      <c r="F612" s="24"/>
      <c r="G612" s="24"/>
      <c r="H612" s="25"/>
      <c r="I612" s="25"/>
      <c r="J612" s="24"/>
      <c r="K612" s="24"/>
      <c r="L612" s="22"/>
    </row>
    <row r="613" spans="1:12">
      <c r="A613" s="22"/>
      <c r="B613" s="23"/>
      <c r="C613" s="22"/>
      <c r="D613" s="22"/>
      <c r="E613" s="22"/>
      <c r="F613" s="24"/>
      <c r="G613" s="24"/>
      <c r="H613" s="25"/>
      <c r="I613" s="25"/>
      <c r="J613" s="24"/>
      <c r="K613" s="24"/>
      <c r="L613" s="22"/>
    </row>
    <row r="614" spans="1:12">
      <c r="A614" s="22"/>
      <c r="B614" s="23"/>
      <c r="C614" s="22"/>
      <c r="D614" s="22"/>
      <c r="E614" s="22"/>
      <c r="F614" s="24"/>
      <c r="G614" s="24"/>
      <c r="H614" s="25"/>
      <c r="I614" s="25"/>
      <c r="J614" s="24"/>
      <c r="K614" s="24"/>
      <c r="L614" s="22"/>
    </row>
    <row r="615" spans="1:12">
      <c r="A615" s="22"/>
      <c r="B615" s="23"/>
      <c r="C615" s="22"/>
      <c r="D615" s="22"/>
      <c r="E615" s="22"/>
      <c r="F615" s="24"/>
      <c r="G615" s="24"/>
      <c r="H615" s="25"/>
      <c r="I615" s="25"/>
      <c r="J615" s="24"/>
      <c r="K615" s="24"/>
      <c r="L615" s="22"/>
    </row>
    <row r="616" spans="1:12">
      <c r="A616" s="22"/>
      <c r="B616" s="23"/>
      <c r="C616" s="22"/>
      <c r="D616" s="22"/>
      <c r="E616" s="22"/>
      <c r="F616" s="24"/>
      <c r="G616" s="24"/>
      <c r="H616" s="25"/>
      <c r="I616" s="25"/>
      <c r="J616" s="24"/>
      <c r="K616" s="24"/>
      <c r="L616" s="22"/>
    </row>
    <row r="617" spans="1:12">
      <c r="A617" s="22"/>
      <c r="B617" s="23"/>
      <c r="C617" s="22"/>
      <c r="D617" s="22"/>
      <c r="E617" s="22"/>
      <c r="F617" s="24"/>
      <c r="G617" s="24"/>
      <c r="H617" s="25"/>
      <c r="I617" s="25"/>
      <c r="J617" s="24"/>
      <c r="K617" s="24"/>
      <c r="L617" s="22"/>
    </row>
    <row r="618" spans="1:12">
      <c r="A618" s="22"/>
      <c r="B618" s="23"/>
      <c r="C618" s="22"/>
      <c r="D618" s="22"/>
      <c r="E618" s="22"/>
      <c r="F618" s="24"/>
      <c r="G618" s="24"/>
      <c r="H618" s="25"/>
      <c r="I618" s="25"/>
      <c r="J618" s="24"/>
      <c r="K618" s="24"/>
      <c r="L618" s="22"/>
    </row>
    <row r="619" spans="1:12">
      <c r="A619" s="22"/>
      <c r="B619" s="23"/>
      <c r="C619" s="22"/>
      <c r="D619" s="22"/>
      <c r="E619" s="22"/>
      <c r="F619" s="24"/>
      <c r="G619" s="24"/>
      <c r="H619" s="25"/>
      <c r="I619" s="25"/>
      <c r="J619" s="24"/>
      <c r="K619" s="24"/>
      <c r="L619" s="22"/>
    </row>
    <row r="620" spans="1:12">
      <c r="A620" s="22"/>
      <c r="B620" s="23"/>
      <c r="C620" s="22"/>
      <c r="D620" s="22"/>
      <c r="E620" s="22"/>
      <c r="F620" s="24"/>
      <c r="G620" s="24"/>
      <c r="H620" s="25"/>
      <c r="I620" s="25"/>
      <c r="J620" s="24"/>
      <c r="K620" s="24"/>
      <c r="L620" s="22"/>
    </row>
    <row r="621" spans="1:12">
      <c r="A621" s="22"/>
      <c r="B621" s="23"/>
      <c r="C621" s="22"/>
      <c r="D621" s="22"/>
      <c r="E621" s="22"/>
      <c r="F621" s="24"/>
      <c r="G621" s="24"/>
      <c r="H621" s="25"/>
      <c r="I621" s="25"/>
      <c r="J621" s="24"/>
      <c r="K621" s="24"/>
      <c r="L621" s="22"/>
    </row>
    <row r="622" spans="1:12">
      <c r="A622" s="22"/>
      <c r="B622" s="23"/>
      <c r="C622" s="22"/>
      <c r="D622" s="22"/>
      <c r="E622" s="22"/>
      <c r="F622" s="24"/>
      <c r="G622" s="24"/>
      <c r="H622" s="25"/>
      <c r="I622" s="25"/>
      <c r="J622" s="24"/>
      <c r="K622" s="24"/>
      <c r="L622" s="22"/>
    </row>
    <row r="623" spans="1:12">
      <c r="A623" s="22"/>
      <c r="B623" s="23"/>
      <c r="C623" s="22"/>
      <c r="D623" s="22"/>
      <c r="E623" s="22"/>
      <c r="F623" s="24"/>
      <c r="G623" s="24"/>
      <c r="H623" s="25"/>
      <c r="I623" s="25"/>
      <c r="J623" s="24"/>
      <c r="K623" s="24"/>
      <c r="L623" s="22"/>
    </row>
    <row r="624" spans="1:12">
      <c r="A624" s="22"/>
      <c r="B624" s="23"/>
      <c r="C624" s="22"/>
      <c r="D624" s="22"/>
      <c r="E624" s="22"/>
      <c r="F624" s="24"/>
      <c r="G624" s="24"/>
      <c r="H624" s="25"/>
      <c r="I624" s="25"/>
      <c r="J624" s="24"/>
      <c r="K624" s="24"/>
      <c r="L624" s="22"/>
    </row>
    <row r="625" spans="1:12">
      <c r="A625" s="22"/>
      <c r="B625" s="23"/>
      <c r="C625" s="22"/>
      <c r="D625" s="22"/>
      <c r="E625" s="22"/>
      <c r="F625" s="24"/>
      <c r="G625" s="24"/>
      <c r="H625" s="25"/>
      <c r="I625" s="25"/>
      <c r="J625" s="24"/>
      <c r="K625" s="24"/>
      <c r="L625" s="22"/>
    </row>
    <row r="626" spans="1:12">
      <c r="A626" s="22"/>
      <c r="B626" s="23"/>
      <c r="C626" s="22"/>
      <c r="D626" s="22"/>
      <c r="E626" s="22"/>
      <c r="F626" s="24"/>
      <c r="G626" s="24"/>
      <c r="H626" s="25"/>
      <c r="I626" s="25"/>
      <c r="J626" s="24"/>
      <c r="K626" s="24"/>
      <c r="L626" s="22"/>
    </row>
    <row r="627" spans="1:12">
      <c r="A627" s="22"/>
      <c r="B627" s="23"/>
      <c r="C627" s="22"/>
      <c r="D627" s="22"/>
      <c r="E627" s="22"/>
      <c r="F627" s="24"/>
      <c r="G627" s="24"/>
      <c r="H627" s="25"/>
      <c r="I627" s="25"/>
      <c r="J627" s="24"/>
      <c r="K627" s="24"/>
      <c r="L627" s="22"/>
    </row>
    <row r="628" spans="1:12">
      <c r="A628" s="22"/>
      <c r="B628" s="23"/>
      <c r="C628" s="22"/>
      <c r="D628" s="22"/>
      <c r="E628" s="22"/>
      <c r="F628" s="24"/>
      <c r="G628" s="24"/>
      <c r="H628" s="25"/>
      <c r="I628" s="25"/>
      <c r="J628" s="24"/>
      <c r="K628" s="24"/>
      <c r="L628" s="22"/>
    </row>
    <row r="629" spans="1:12">
      <c r="A629" s="22"/>
      <c r="B629" s="23"/>
      <c r="C629" s="22"/>
      <c r="D629" s="22"/>
      <c r="E629" s="22"/>
      <c r="F629" s="24"/>
      <c r="G629" s="24"/>
      <c r="H629" s="25"/>
      <c r="I629" s="25"/>
      <c r="J629" s="24"/>
      <c r="K629" s="24"/>
      <c r="L629" s="22"/>
    </row>
    <row r="630" spans="1:12">
      <c r="A630" s="22"/>
      <c r="B630" s="23"/>
      <c r="C630" s="22"/>
      <c r="D630" s="22"/>
      <c r="E630" s="22"/>
      <c r="F630" s="24"/>
      <c r="G630" s="24"/>
      <c r="H630" s="25"/>
      <c r="I630" s="25"/>
      <c r="J630" s="24"/>
      <c r="K630" s="24"/>
      <c r="L630" s="22"/>
    </row>
    <row r="631" spans="1:12">
      <c r="A631" s="22"/>
      <c r="B631" s="23"/>
      <c r="C631" s="22"/>
      <c r="D631" s="22"/>
      <c r="E631" s="22"/>
      <c r="F631" s="24"/>
      <c r="G631" s="24"/>
      <c r="H631" s="25"/>
      <c r="I631" s="25"/>
      <c r="J631" s="24"/>
      <c r="K631" s="24"/>
      <c r="L631" s="22"/>
    </row>
    <row r="632" spans="1:12">
      <c r="A632" s="22"/>
      <c r="B632" s="23"/>
      <c r="C632" s="22"/>
      <c r="D632" s="22"/>
      <c r="E632" s="22"/>
      <c r="F632" s="24"/>
      <c r="G632" s="24"/>
      <c r="H632" s="25"/>
      <c r="I632" s="25"/>
      <c r="J632" s="24"/>
      <c r="K632" s="24"/>
      <c r="L632" s="22"/>
    </row>
    <row r="633" spans="1:12">
      <c r="A633" s="22"/>
      <c r="B633" s="23"/>
      <c r="C633" s="22"/>
      <c r="D633" s="22"/>
      <c r="E633" s="22"/>
      <c r="F633" s="24"/>
      <c r="G633" s="24"/>
      <c r="H633" s="25"/>
      <c r="I633" s="25"/>
      <c r="J633" s="24"/>
      <c r="K633" s="24"/>
      <c r="L633" s="22"/>
    </row>
    <row r="634" spans="1:12">
      <c r="A634" s="22"/>
      <c r="B634" s="23"/>
      <c r="C634" s="22"/>
      <c r="D634" s="22"/>
      <c r="E634" s="22"/>
      <c r="F634" s="24"/>
      <c r="G634" s="24"/>
      <c r="H634" s="25"/>
      <c r="I634" s="25"/>
      <c r="J634" s="24"/>
      <c r="K634" s="24"/>
      <c r="L634" s="22"/>
    </row>
    <row r="635" spans="1:12">
      <c r="A635" s="22"/>
      <c r="B635" s="23"/>
      <c r="C635" s="22"/>
      <c r="D635" s="22"/>
      <c r="E635" s="22"/>
      <c r="F635" s="24"/>
      <c r="G635" s="24"/>
      <c r="H635" s="25"/>
      <c r="I635" s="25"/>
      <c r="J635" s="24"/>
      <c r="K635" s="24"/>
      <c r="L635" s="22"/>
    </row>
    <row r="636" spans="1:12">
      <c r="A636" s="22"/>
      <c r="B636" s="23"/>
      <c r="C636" s="22"/>
      <c r="D636" s="22"/>
      <c r="E636" s="22"/>
      <c r="F636" s="24"/>
      <c r="G636" s="24"/>
      <c r="H636" s="25"/>
      <c r="I636" s="25"/>
      <c r="J636" s="24"/>
      <c r="K636" s="24"/>
      <c r="L636" s="22"/>
    </row>
    <row r="637" spans="1:12">
      <c r="A637" s="22"/>
      <c r="B637" s="23"/>
      <c r="C637" s="22"/>
      <c r="D637" s="22"/>
      <c r="E637" s="22"/>
      <c r="F637" s="24"/>
      <c r="G637" s="24"/>
      <c r="H637" s="25"/>
      <c r="I637" s="25"/>
      <c r="J637" s="24"/>
      <c r="K637" s="24"/>
      <c r="L637" s="22"/>
    </row>
    <row r="638" spans="1:12">
      <c r="A638" s="22"/>
      <c r="B638" s="23"/>
      <c r="C638" s="22"/>
      <c r="D638" s="22"/>
      <c r="E638" s="22"/>
      <c r="F638" s="24"/>
      <c r="G638" s="24"/>
      <c r="H638" s="25"/>
      <c r="I638" s="25"/>
      <c r="J638" s="24"/>
      <c r="K638" s="24"/>
      <c r="L638" s="22"/>
    </row>
    <row r="639" spans="1:12">
      <c r="A639" s="22"/>
      <c r="B639" s="23"/>
      <c r="C639" s="22"/>
      <c r="D639" s="22"/>
      <c r="E639" s="22"/>
      <c r="F639" s="24"/>
      <c r="G639" s="24"/>
      <c r="H639" s="25"/>
      <c r="I639" s="25"/>
      <c r="J639" s="24"/>
      <c r="K639" s="24"/>
      <c r="L639" s="22"/>
    </row>
    <row r="640" spans="1:12">
      <c r="A640" s="22"/>
      <c r="B640" s="23"/>
      <c r="C640" s="22"/>
      <c r="D640" s="22"/>
      <c r="E640" s="22"/>
      <c r="F640" s="24"/>
      <c r="G640" s="24"/>
      <c r="H640" s="25"/>
      <c r="I640" s="25"/>
      <c r="J640" s="24"/>
      <c r="K640" s="24"/>
      <c r="L640" s="22"/>
    </row>
    <row r="641" spans="1:12">
      <c r="A641" s="22"/>
      <c r="B641" s="23"/>
      <c r="C641" s="22"/>
      <c r="D641" s="22"/>
      <c r="E641" s="22"/>
      <c r="F641" s="24"/>
      <c r="G641" s="24"/>
      <c r="H641" s="25"/>
      <c r="I641" s="25"/>
      <c r="J641" s="24"/>
      <c r="K641" s="24"/>
      <c r="L641" s="22"/>
    </row>
    <row r="642" spans="1:12">
      <c r="A642" s="22"/>
      <c r="B642" s="23"/>
      <c r="C642" s="22"/>
      <c r="D642" s="22"/>
      <c r="E642" s="22"/>
      <c r="F642" s="24"/>
      <c r="G642" s="24"/>
      <c r="H642" s="25"/>
      <c r="I642" s="25"/>
      <c r="J642" s="24"/>
      <c r="K642" s="24"/>
      <c r="L642" s="22"/>
    </row>
    <row r="643" spans="1:12">
      <c r="A643" s="22"/>
      <c r="B643" s="23"/>
      <c r="C643" s="22"/>
      <c r="D643" s="22"/>
      <c r="E643" s="22"/>
      <c r="F643" s="24"/>
      <c r="G643" s="24"/>
      <c r="H643" s="25"/>
      <c r="I643" s="25"/>
      <c r="J643" s="24"/>
      <c r="K643" s="24"/>
      <c r="L643" s="22"/>
    </row>
    <row r="644" spans="1:12">
      <c r="A644" s="22"/>
      <c r="B644" s="23"/>
      <c r="C644" s="22"/>
      <c r="D644" s="22"/>
      <c r="E644" s="22"/>
      <c r="F644" s="24"/>
      <c r="G644" s="24"/>
      <c r="H644" s="25"/>
      <c r="I644" s="25"/>
      <c r="J644" s="24"/>
      <c r="K644" s="24"/>
      <c r="L644" s="22"/>
    </row>
    <row r="645" spans="1:12">
      <c r="A645" s="22"/>
      <c r="B645" s="23"/>
      <c r="C645" s="22"/>
      <c r="D645" s="22"/>
      <c r="E645" s="22"/>
      <c r="F645" s="24"/>
      <c r="G645" s="24"/>
      <c r="H645" s="25"/>
      <c r="I645" s="25"/>
      <c r="J645" s="24"/>
      <c r="K645" s="24"/>
      <c r="L645" s="22"/>
    </row>
    <row r="646" spans="1:12">
      <c r="A646" s="22"/>
      <c r="B646" s="23"/>
      <c r="C646" s="22"/>
      <c r="D646" s="22"/>
      <c r="E646" s="22"/>
      <c r="F646" s="24"/>
      <c r="G646" s="24"/>
      <c r="H646" s="25"/>
      <c r="I646" s="25"/>
      <c r="J646" s="24"/>
      <c r="K646" s="24"/>
      <c r="L646" s="22"/>
    </row>
    <row r="647" spans="1:12">
      <c r="A647" s="22"/>
      <c r="B647" s="23"/>
      <c r="C647" s="22"/>
      <c r="D647" s="22"/>
      <c r="E647" s="22"/>
      <c r="F647" s="24"/>
      <c r="G647" s="24"/>
      <c r="H647" s="25"/>
      <c r="I647" s="25"/>
      <c r="J647" s="24"/>
      <c r="K647" s="24"/>
      <c r="L647" s="22"/>
    </row>
    <row r="648" spans="1:12">
      <c r="A648" s="22"/>
      <c r="B648" s="23"/>
      <c r="C648" s="22"/>
      <c r="D648" s="22"/>
      <c r="E648" s="22"/>
      <c r="F648" s="24"/>
      <c r="G648" s="24"/>
      <c r="H648" s="25"/>
      <c r="I648" s="25"/>
      <c r="J648" s="24"/>
      <c r="K648" s="24"/>
      <c r="L648" s="22"/>
    </row>
    <row r="649" spans="1:12">
      <c r="A649" s="22"/>
      <c r="B649" s="23"/>
      <c r="C649" s="22"/>
      <c r="D649" s="22"/>
      <c r="E649" s="22"/>
      <c r="F649" s="24"/>
      <c r="G649" s="24"/>
      <c r="H649" s="25"/>
      <c r="I649" s="25"/>
      <c r="J649" s="24"/>
      <c r="K649" s="24"/>
      <c r="L649" s="22"/>
    </row>
    <row r="650" spans="1:12">
      <c r="A650" s="22"/>
      <c r="B650" s="23"/>
      <c r="C650" s="22"/>
      <c r="D650" s="22"/>
      <c r="E650" s="22"/>
      <c r="F650" s="24"/>
      <c r="G650" s="24"/>
      <c r="H650" s="25"/>
      <c r="I650" s="25"/>
      <c r="J650" s="24"/>
      <c r="K650" s="24"/>
      <c r="L650" s="22"/>
    </row>
    <row r="651" spans="1:12">
      <c r="A651" s="22"/>
      <c r="B651" s="23"/>
      <c r="C651" s="22"/>
      <c r="D651" s="22"/>
      <c r="E651" s="22"/>
      <c r="F651" s="24"/>
      <c r="G651" s="24"/>
      <c r="H651" s="25"/>
      <c r="I651" s="25"/>
      <c r="J651" s="24"/>
      <c r="K651" s="24"/>
      <c r="L651" s="22"/>
    </row>
    <row r="652" spans="1:12">
      <c r="A652" s="22"/>
      <c r="B652" s="23"/>
      <c r="C652" s="22"/>
      <c r="D652" s="22"/>
      <c r="E652" s="22"/>
      <c r="F652" s="24"/>
      <c r="G652" s="24"/>
      <c r="H652" s="25"/>
      <c r="I652" s="25"/>
      <c r="J652" s="24"/>
      <c r="K652" s="24"/>
      <c r="L652" s="22"/>
    </row>
    <row r="653" spans="1:12">
      <c r="A653" s="22"/>
      <c r="B653" s="23"/>
      <c r="C653" s="22"/>
      <c r="D653" s="22"/>
      <c r="E653" s="22"/>
      <c r="F653" s="24"/>
      <c r="G653" s="24"/>
      <c r="H653" s="25"/>
      <c r="I653" s="25"/>
      <c r="J653" s="24"/>
      <c r="K653" s="24"/>
      <c r="L653" s="22"/>
    </row>
    <row r="654" spans="1:12">
      <c r="A654" s="22"/>
      <c r="B654" s="23"/>
      <c r="C654" s="22"/>
      <c r="D654" s="22"/>
      <c r="E654" s="22"/>
      <c r="F654" s="24"/>
      <c r="G654" s="24"/>
      <c r="H654" s="25"/>
      <c r="I654" s="25"/>
      <c r="J654" s="24"/>
      <c r="K654" s="24"/>
      <c r="L654" s="22"/>
    </row>
    <row r="655" spans="1:12">
      <c r="A655" s="22"/>
      <c r="B655" s="23"/>
      <c r="C655" s="22"/>
      <c r="D655" s="22"/>
      <c r="E655" s="22"/>
      <c r="F655" s="24"/>
      <c r="G655" s="24"/>
      <c r="H655" s="25"/>
      <c r="I655" s="25"/>
      <c r="J655" s="24"/>
      <c r="K655" s="24"/>
      <c r="L655" s="22"/>
    </row>
    <row r="656" spans="1:12">
      <c r="A656" s="22"/>
      <c r="B656" s="23"/>
      <c r="C656" s="22"/>
      <c r="D656" s="22"/>
      <c r="E656" s="22"/>
      <c r="F656" s="24"/>
      <c r="G656" s="24"/>
      <c r="H656" s="25"/>
      <c r="I656" s="25"/>
      <c r="J656" s="24"/>
      <c r="K656" s="24"/>
      <c r="L656" s="22"/>
    </row>
    <row r="657" spans="1:12">
      <c r="A657" s="22"/>
      <c r="B657" s="23"/>
      <c r="C657" s="22"/>
      <c r="D657" s="22"/>
      <c r="E657" s="22"/>
      <c r="F657" s="24"/>
      <c r="G657" s="24"/>
      <c r="H657" s="25"/>
      <c r="I657" s="25"/>
      <c r="J657" s="24"/>
      <c r="K657" s="24"/>
      <c r="L657" s="22"/>
    </row>
    <row r="658" spans="1:12">
      <c r="A658" s="22"/>
      <c r="B658" s="23"/>
      <c r="C658" s="22"/>
      <c r="D658" s="22"/>
      <c r="E658" s="22"/>
      <c r="F658" s="24"/>
      <c r="G658" s="24"/>
      <c r="H658" s="25"/>
      <c r="I658" s="25"/>
      <c r="J658" s="24"/>
      <c r="K658" s="24"/>
      <c r="L658" s="22"/>
    </row>
    <row r="659" spans="1:12">
      <c r="A659" s="22"/>
      <c r="B659" s="23"/>
      <c r="C659" s="22"/>
      <c r="D659" s="22"/>
      <c r="E659" s="22"/>
      <c r="F659" s="24"/>
      <c r="G659" s="24"/>
      <c r="H659" s="25"/>
      <c r="I659" s="25"/>
      <c r="J659" s="24"/>
      <c r="K659" s="24"/>
      <c r="L659" s="22"/>
    </row>
    <row r="660" spans="1:12">
      <c r="A660" s="22"/>
      <c r="B660" s="23"/>
      <c r="C660" s="22"/>
      <c r="D660" s="22"/>
      <c r="E660" s="22"/>
      <c r="F660" s="24"/>
      <c r="G660" s="24"/>
      <c r="H660" s="25"/>
      <c r="I660" s="25"/>
      <c r="J660" s="24"/>
      <c r="K660" s="24"/>
      <c r="L660" s="22"/>
    </row>
    <row r="661" spans="1:12">
      <c r="A661" s="22"/>
      <c r="B661" s="23"/>
      <c r="C661" s="22"/>
      <c r="D661" s="22"/>
      <c r="E661" s="22"/>
      <c r="F661" s="24"/>
      <c r="G661" s="24"/>
      <c r="H661" s="25"/>
      <c r="I661" s="25"/>
      <c r="J661" s="24"/>
      <c r="K661" s="24"/>
      <c r="L661" s="22"/>
    </row>
    <row r="662" spans="1:12">
      <c r="A662" s="22"/>
      <c r="B662" s="23"/>
      <c r="C662" s="22"/>
      <c r="D662" s="22"/>
      <c r="E662" s="22"/>
      <c r="F662" s="24"/>
      <c r="G662" s="24"/>
      <c r="H662" s="25"/>
      <c r="I662" s="25"/>
      <c r="J662" s="24"/>
      <c r="K662" s="24"/>
      <c r="L662" s="22"/>
    </row>
    <row r="663" spans="1:12">
      <c r="A663" s="22"/>
      <c r="B663" s="23"/>
      <c r="C663" s="22"/>
      <c r="D663" s="22"/>
      <c r="E663" s="22"/>
      <c r="F663" s="24"/>
      <c r="G663" s="24"/>
      <c r="H663" s="25"/>
      <c r="I663" s="25"/>
      <c r="J663" s="24"/>
      <c r="K663" s="24"/>
      <c r="L663" s="22"/>
    </row>
    <row r="664" spans="1:12">
      <c r="A664" s="22"/>
      <c r="B664" s="23"/>
      <c r="C664" s="22"/>
      <c r="D664" s="22"/>
      <c r="E664" s="22"/>
      <c r="F664" s="24"/>
      <c r="G664" s="24"/>
      <c r="H664" s="25"/>
      <c r="I664" s="25"/>
      <c r="J664" s="24"/>
      <c r="K664" s="24"/>
      <c r="L664" s="22"/>
    </row>
    <row r="665" spans="1:12">
      <c r="A665" s="22"/>
      <c r="B665" s="23"/>
      <c r="C665" s="22"/>
      <c r="D665" s="22"/>
      <c r="E665" s="22"/>
      <c r="F665" s="24"/>
      <c r="G665" s="24"/>
      <c r="H665" s="25"/>
      <c r="I665" s="25"/>
      <c r="J665" s="24"/>
      <c r="K665" s="24"/>
      <c r="L665" s="22"/>
    </row>
    <row r="666" spans="1:12">
      <c r="A666" s="22"/>
      <c r="B666" s="23"/>
      <c r="C666" s="22"/>
      <c r="D666" s="22"/>
      <c r="E666" s="22"/>
      <c r="F666" s="24"/>
      <c r="G666" s="24"/>
      <c r="H666" s="25"/>
      <c r="I666" s="25"/>
      <c r="J666" s="24"/>
      <c r="K666" s="24"/>
      <c r="L666" s="22"/>
    </row>
    <row r="667" spans="1:12">
      <c r="A667" s="22"/>
      <c r="B667" s="23"/>
      <c r="C667" s="22"/>
      <c r="D667" s="22"/>
      <c r="E667" s="22"/>
      <c r="F667" s="24"/>
      <c r="G667" s="24"/>
      <c r="H667" s="25"/>
      <c r="I667" s="25"/>
      <c r="J667" s="24"/>
      <c r="K667" s="24"/>
      <c r="L667" s="22"/>
    </row>
    <row r="668" spans="1:12">
      <c r="A668" s="22"/>
      <c r="B668" s="23"/>
      <c r="C668" s="22"/>
      <c r="D668" s="22"/>
      <c r="E668" s="22"/>
      <c r="F668" s="24"/>
      <c r="G668" s="24"/>
      <c r="H668" s="25"/>
      <c r="I668" s="25"/>
      <c r="J668" s="24"/>
      <c r="K668" s="24"/>
      <c r="L668" s="22"/>
    </row>
    <row r="669" spans="1:12">
      <c r="A669" s="22"/>
      <c r="B669" s="23"/>
      <c r="C669" s="22"/>
      <c r="D669" s="22"/>
      <c r="E669" s="22"/>
      <c r="F669" s="24"/>
      <c r="G669" s="24"/>
      <c r="H669" s="25"/>
      <c r="I669" s="25"/>
      <c r="J669" s="24"/>
      <c r="K669" s="24"/>
      <c r="L669" s="22"/>
    </row>
    <row r="670" spans="1:12">
      <c r="A670" s="22"/>
      <c r="B670" s="23"/>
      <c r="C670" s="22"/>
      <c r="D670" s="22"/>
      <c r="E670" s="22"/>
      <c r="F670" s="24"/>
      <c r="G670" s="24"/>
      <c r="H670" s="25"/>
      <c r="I670" s="25"/>
      <c r="J670" s="24"/>
      <c r="K670" s="24"/>
      <c r="L670" s="22"/>
    </row>
    <row r="671" spans="1:12">
      <c r="A671" s="22"/>
      <c r="B671" s="23"/>
      <c r="C671" s="22"/>
      <c r="D671" s="22"/>
      <c r="E671" s="22"/>
      <c r="F671" s="24"/>
      <c r="G671" s="24"/>
      <c r="H671" s="25"/>
      <c r="I671" s="25"/>
      <c r="J671" s="24"/>
      <c r="K671" s="24"/>
      <c r="L671" s="22"/>
    </row>
    <row r="672" spans="1:12">
      <c r="A672" s="22"/>
      <c r="B672" s="23"/>
      <c r="C672" s="22"/>
      <c r="D672" s="22"/>
      <c r="E672" s="22"/>
      <c r="F672" s="24"/>
      <c r="G672" s="24"/>
      <c r="H672" s="25"/>
      <c r="I672" s="25"/>
      <c r="J672" s="24"/>
      <c r="K672" s="24"/>
      <c r="L672" s="22"/>
    </row>
    <row r="673" spans="1:12">
      <c r="A673" s="22"/>
      <c r="B673" s="23"/>
      <c r="C673" s="22"/>
      <c r="D673" s="22"/>
      <c r="E673" s="22"/>
      <c r="F673" s="24"/>
      <c r="G673" s="24"/>
      <c r="H673" s="25"/>
      <c r="I673" s="25"/>
      <c r="J673" s="24"/>
      <c r="K673" s="24"/>
      <c r="L673" s="22"/>
    </row>
    <row r="674" spans="1:12">
      <c r="A674" s="22"/>
      <c r="B674" s="23"/>
      <c r="C674" s="22"/>
      <c r="D674" s="22"/>
      <c r="E674" s="22"/>
      <c r="F674" s="24"/>
      <c r="G674" s="24"/>
      <c r="H674" s="25"/>
      <c r="I674" s="25"/>
      <c r="J674" s="24"/>
      <c r="K674" s="24"/>
      <c r="L674" s="22"/>
    </row>
    <row r="675" spans="1:12">
      <c r="A675" s="22"/>
      <c r="B675" s="23"/>
      <c r="C675" s="22"/>
      <c r="D675" s="22"/>
      <c r="E675" s="22"/>
      <c r="F675" s="24"/>
      <c r="G675" s="24"/>
      <c r="H675" s="25"/>
      <c r="I675" s="25"/>
      <c r="J675" s="24"/>
      <c r="K675" s="24"/>
      <c r="L675" s="22"/>
    </row>
    <row r="676" spans="1:12">
      <c r="A676" s="22"/>
      <c r="B676" s="23"/>
      <c r="C676" s="22"/>
      <c r="D676" s="22"/>
      <c r="E676" s="22"/>
      <c r="F676" s="24"/>
      <c r="G676" s="24"/>
      <c r="H676" s="25"/>
      <c r="I676" s="25"/>
      <c r="J676" s="24"/>
      <c r="K676" s="24"/>
      <c r="L676" s="22"/>
    </row>
    <row r="677" spans="1:12">
      <c r="A677" s="22"/>
      <c r="B677" s="23"/>
      <c r="C677" s="22"/>
      <c r="D677" s="22"/>
      <c r="E677" s="22"/>
      <c r="F677" s="24"/>
      <c r="G677" s="24"/>
      <c r="H677" s="25"/>
      <c r="I677" s="25"/>
      <c r="J677" s="24"/>
      <c r="K677" s="24"/>
      <c r="L677" s="22"/>
    </row>
    <row r="678" spans="1:12">
      <c r="A678" s="22"/>
      <c r="B678" s="23"/>
      <c r="C678" s="22"/>
      <c r="D678" s="22"/>
      <c r="E678" s="22"/>
      <c r="F678" s="24"/>
      <c r="G678" s="24"/>
      <c r="H678" s="25"/>
      <c r="I678" s="25"/>
      <c r="J678" s="24"/>
      <c r="K678" s="24"/>
      <c r="L678" s="22"/>
    </row>
    <row r="679" spans="1:12">
      <c r="A679" s="22"/>
      <c r="B679" s="23"/>
      <c r="C679" s="22"/>
      <c r="D679" s="22"/>
      <c r="E679" s="22"/>
      <c r="F679" s="24"/>
      <c r="G679" s="24"/>
      <c r="H679" s="25"/>
      <c r="I679" s="25"/>
      <c r="J679" s="24"/>
      <c r="K679" s="24"/>
      <c r="L679" s="22"/>
    </row>
    <row r="680" spans="1:12">
      <c r="A680" s="22"/>
      <c r="B680" s="23"/>
      <c r="C680" s="22"/>
      <c r="D680" s="22"/>
      <c r="E680" s="22"/>
      <c r="F680" s="24"/>
      <c r="G680" s="24"/>
      <c r="H680" s="25"/>
      <c r="I680" s="25"/>
      <c r="J680" s="24"/>
      <c r="K680" s="24"/>
      <c r="L680" s="22"/>
    </row>
    <row r="681" spans="1:12">
      <c r="A681" s="22"/>
      <c r="B681" s="23"/>
      <c r="C681" s="22"/>
      <c r="D681" s="22"/>
      <c r="E681" s="22"/>
      <c r="F681" s="24"/>
      <c r="G681" s="24"/>
      <c r="H681" s="25"/>
      <c r="I681" s="25"/>
      <c r="J681" s="24"/>
      <c r="K681" s="24"/>
      <c r="L681" s="22"/>
    </row>
    <row r="682" spans="1:12">
      <c r="A682" s="22"/>
      <c r="B682" s="23"/>
      <c r="C682" s="22"/>
      <c r="D682" s="22"/>
      <c r="E682" s="22"/>
      <c r="F682" s="24"/>
      <c r="G682" s="24"/>
      <c r="H682" s="25"/>
      <c r="I682" s="25"/>
      <c r="J682" s="24"/>
      <c r="K682" s="24"/>
      <c r="L682" s="22"/>
    </row>
    <row r="683" spans="1:12">
      <c r="A683" s="22"/>
      <c r="B683" s="23"/>
      <c r="C683" s="22"/>
      <c r="D683" s="22"/>
      <c r="E683" s="22"/>
      <c r="F683" s="24"/>
      <c r="G683" s="24"/>
      <c r="H683" s="25"/>
      <c r="I683" s="25"/>
      <c r="J683" s="24"/>
      <c r="K683" s="24"/>
      <c r="L683" s="22"/>
    </row>
    <row r="684" spans="1:12">
      <c r="A684" s="22"/>
      <c r="B684" s="23"/>
      <c r="C684" s="22"/>
      <c r="D684" s="22"/>
      <c r="E684" s="22"/>
      <c r="F684" s="24"/>
      <c r="G684" s="24"/>
      <c r="H684" s="25"/>
      <c r="I684" s="25"/>
      <c r="J684" s="24"/>
      <c r="K684" s="24"/>
      <c r="L684" s="22"/>
    </row>
    <row r="685" spans="1:12">
      <c r="A685" s="22"/>
      <c r="B685" s="23"/>
      <c r="C685" s="22"/>
      <c r="D685" s="22"/>
      <c r="E685" s="22"/>
      <c r="F685" s="24"/>
      <c r="G685" s="24"/>
      <c r="H685" s="25"/>
      <c r="I685" s="25"/>
      <c r="J685" s="24"/>
      <c r="K685" s="24"/>
      <c r="L685" s="22"/>
    </row>
    <row r="686" spans="1:12">
      <c r="A686" s="22"/>
      <c r="B686" s="23"/>
      <c r="C686" s="22"/>
      <c r="D686" s="22"/>
      <c r="E686" s="22"/>
      <c r="F686" s="24"/>
      <c r="G686" s="24"/>
      <c r="H686" s="25"/>
      <c r="I686" s="25"/>
      <c r="J686" s="24"/>
      <c r="K686" s="24"/>
      <c r="L686" s="22"/>
    </row>
    <row r="687" spans="1:12">
      <c r="A687" s="22"/>
      <c r="B687" s="23"/>
      <c r="C687" s="22"/>
      <c r="D687" s="22"/>
      <c r="E687" s="22"/>
      <c r="F687" s="24"/>
      <c r="G687" s="24"/>
      <c r="H687" s="25"/>
      <c r="I687" s="25"/>
      <c r="J687" s="24"/>
      <c r="K687" s="24"/>
      <c r="L687" s="22"/>
    </row>
    <row r="688" spans="1:12">
      <c r="A688" s="22"/>
      <c r="B688" s="23"/>
      <c r="C688" s="22"/>
      <c r="D688" s="22"/>
      <c r="E688" s="22"/>
      <c r="F688" s="24"/>
      <c r="G688" s="24"/>
      <c r="H688" s="25"/>
      <c r="I688" s="25"/>
      <c r="J688" s="24"/>
      <c r="K688" s="24"/>
      <c r="L688" s="22"/>
    </row>
    <row r="689" spans="1:12">
      <c r="A689" s="22"/>
      <c r="B689" s="23"/>
      <c r="C689" s="22"/>
      <c r="D689" s="22"/>
      <c r="E689" s="22"/>
      <c r="F689" s="24"/>
      <c r="G689" s="24"/>
      <c r="H689" s="25"/>
      <c r="I689" s="25"/>
      <c r="J689" s="24"/>
      <c r="K689" s="24"/>
      <c r="L689" s="22"/>
    </row>
    <row r="690" spans="1:12">
      <c r="A690" s="22"/>
      <c r="B690" s="23"/>
      <c r="C690" s="22"/>
      <c r="D690" s="22"/>
      <c r="E690" s="22"/>
      <c r="F690" s="24"/>
      <c r="G690" s="24"/>
      <c r="H690" s="25"/>
      <c r="I690" s="25"/>
      <c r="J690" s="24"/>
      <c r="K690" s="24"/>
      <c r="L690" s="22"/>
    </row>
    <row r="691" spans="1:12">
      <c r="A691" s="22"/>
      <c r="B691" s="23"/>
      <c r="C691" s="22"/>
      <c r="D691" s="22"/>
      <c r="E691" s="22"/>
      <c r="F691" s="24"/>
      <c r="G691" s="24"/>
      <c r="H691" s="25"/>
      <c r="I691" s="25"/>
      <c r="J691" s="24"/>
      <c r="K691" s="24"/>
      <c r="L691" s="22"/>
    </row>
    <row r="692" spans="1:12">
      <c r="A692" s="22"/>
      <c r="B692" s="23"/>
      <c r="C692" s="22"/>
      <c r="D692" s="22"/>
      <c r="E692" s="22"/>
      <c r="F692" s="24"/>
      <c r="G692" s="24"/>
      <c r="H692" s="25"/>
      <c r="I692" s="25"/>
      <c r="J692" s="24"/>
      <c r="K692" s="24"/>
      <c r="L692" s="22"/>
    </row>
    <row r="693" spans="1:12">
      <c r="A693" s="22"/>
      <c r="B693" s="23"/>
      <c r="C693" s="22"/>
      <c r="D693" s="22"/>
      <c r="E693" s="22"/>
      <c r="F693" s="24"/>
      <c r="G693" s="24"/>
      <c r="H693" s="25"/>
      <c r="I693" s="25"/>
      <c r="J693" s="24"/>
      <c r="K693" s="24"/>
      <c r="L693" s="22"/>
    </row>
    <row r="694" spans="1:12">
      <c r="A694" s="22"/>
      <c r="B694" s="23"/>
      <c r="C694" s="22"/>
      <c r="D694" s="22"/>
      <c r="E694" s="22"/>
      <c r="F694" s="24"/>
      <c r="G694" s="24"/>
      <c r="H694" s="25"/>
      <c r="I694" s="25"/>
      <c r="J694" s="24"/>
      <c r="K694" s="24"/>
      <c r="L694" s="22"/>
    </row>
    <row r="695" spans="1:12">
      <c r="A695" s="22"/>
      <c r="B695" s="23"/>
      <c r="C695" s="22"/>
      <c r="D695" s="22"/>
      <c r="E695" s="22"/>
      <c r="F695" s="24"/>
      <c r="G695" s="24"/>
      <c r="H695" s="25"/>
      <c r="I695" s="25"/>
      <c r="J695" s="24"/>
      <c r="K695" s="24"/>
      <c r="L695" s="22"/>
    </row>
    <row r="696" spans="1:12">
      <c r="A696" s="22"/>
      <c r="B696" s="23"/>
      <c r="C696" s="22"/>
      <c r="D696" s="22"/>
      <c r="E696" s="22"/>
      <c r="F696" s="24"/>
      <c r="G696" s="24"/>
      <c r="H696" s="25"/>
      <c r="I696" s="25"/>
      <c r="J696" s="24"/>
      <c r="K696" s="24"/>
      <c r="L696" s="22"/>
    </row>
    <row r="697" spans="1:12">
      <c r="A697" s="22"/>
      <c r="B697" s="23"/>
      <c r="C697" s="22"/>
      <c r="D697" s="22"/>
      <c r="E697" s="22"/>
      <c r="F697" s="24"/>
      <c r="G697" s="24"/>
      <c r="H697" s="25"/>
      <c r="I697" s="25"/>
      <c r="J697" s="24"/>
      <c r="K697" s="24"/>
      <c r="L697" s="22"/>
    </row>
    <row r="698" spans="1:12">
      <c r="A698" s="22"/>
      <c r="B698" s="23"/>
      <c r="C698" s="22"/>
      <c r="D698" s="22"/>
      <c r="E698" s="22"/>
      <c r="F698" s="24"/>
      <c r="G698" s="24"/>
      <c r="H698" s="25"/>
      <c r="I698" s="25"/>
      <c r="J698" s="24"/>
      <c r="K698" s="24"/>
      <c r="L698" s="22"/>
    </row>
    <row r="699" spans="1:12">
      <c r="A699" s="22"/>
      <c r="B699" s="23"/>
      <c r="C699" s="22"/>
      <c r="D699" s="22"/>
      <c r="E699" s="22"/>
      <c r="F699" s="24"/>
      <c r="G699" s="24"/>
      <c r="H699" s="25"/>
      <c r="I699" s="25"/>
      <c r="J699" s="24"/>
      <c r="K699" s="24"/>
      <c r="L699" s="22"/>
    </row>
    <row r="700" spans="1:12">
      <c r="A700" s="22"/>
      <c r="B700" s="23"/>
      <c r="C700" s="22"/>
      <c r="D700" s="22"/>
      <c r="E700" s="22"/>
      <c r="F700" s="24"/>
      <c r="G700" s="24"/>
      <c r="H700" s="25"/>
      <c r="I700" s="25"/>
      <c r="J700" s="24"/>
      <c r="K700" s="24"/>
      <c r="L700" s="22"/>
    </row>
    <row r="701" spans="1:12">
      <c r="A701" s="22"/>
      <c r="B701" s="23"/>
      <c r="C701" s="22"/>
      <c r="D701" s="22"/>
      <c r="E701" s="22"/>
      <c r="F701" s="24"/>
      <c r="G701" s="24"/>
      <c r="H701" s="25"/>
      <c r="I701" s="25"/>
      <c r="J701" s="24"/>
      <c r="K701" s="24"/>
      <c r="L701" s="22"/>
    </row>
    <row r="702" spans="1:12">
      <c r="A702" s="22"/>
      <c r="B702" s="23"/>
      <c r="C702" s="22"/>
      <c r="D702" s="22"/>
      <c r="E702" s="22"/>
      <c r="F702" s="24"/>
      <c r="G702" s="24"/>
      <c r="H702" s="25"/>
      <c r="I702" s="25"/>
      <c r="J702" s="24"/>
      <c r="K702" s="24"/>
      <c r="L702" s="22"/>
    </row>
    <row r="703" spans="1:12">
      <c r="A703" s="22"/>
      <c r="B703" s="23"/>
      <c r="C703" s="22"/>
      <c r="D703" s="22"/>
      <c r="E703" s="22"/>
      <c r="F703" s="24"/>
      <c r="G703" s="24"/>
      <c r="H703" s="25"/>
      <c r="I703" s="25"/>
      <c r="J703" s="24"/>
      <c r="K703" s="24"/>
      <c r="L703" s="22"/>
    </row>
    <row r="704" spans="1:12">
      <c r="A704" s="22"/>
      <c r="B704" s="23"/>
      <c r="C704" s="22"/>
      <c r="D704" s="22"/>
      <c r="E704" s="22"/>
      <c r="F704" s="24"/>
      <c r="G704" s="24"/>
      <c r="H704" s="25"/>
      <c r="I704" s="25"/>
      <c r="J704" s="24"/>
      <c r="K704" s="24"/>
      <c r="L704" s="22"/>
    </row>
    <row r="705" spans="1:12">
      <c r="A705" s="22"/>
      <c r="B705" s="23"/>
      <c r="C705" s="22"/>
      <c r="D705" s="22"/>
      <c r="E705" s="22"/>
      <c r="F705" s="24"/>
      <c r="G705" s="24"/>
      <c r="H705" s="25"/>
      <c r="I705" s="25"/>
      <c r="J705" s="24"/>
      <c r="K705" s="24"/>
      <c r="L705" s="22"/>
    </row>
    <row r="706" spans="1:12">
      <c r="A706" s="22"/>
      <c r="B706" s="23"/>
      <c r="C706" s="22"/>
      <c r="D706" s="22"/>
      <c r="E706" s="22"/>
      <c r="F706" s="24"/>
      <c r="G706" s="24"/>
      <c r="H706" s="25"/>
      <c r="I706" s="25"/>
      <c r="J706" s="24"/>
      <c r="K706" s="24"/>
      <c r="L706" s="22"/>
    </row>
    <row r="707" spans="1:12">
      <c r="A707" s="22"/>
      <c r="B707" s="23"/>
      <c r="C707" s="22"/>
      <c r="D707" s="22"/>
      <c r="E707" s="22"/>
      <c r="F707" s="24"/>
      <c r="G707" s="24"/>
      <c r="H707" s="25"/>
      <c r="I707" s="25"/>
      <c r="J707" s="24"/>
      <c r="K707" s="24"/>
      <c r="L707" s="22"/>
    </row>
    <row r="708" spans="1:12">
      <c r="A708" s="22"/>
      <c r="B708" s="23"/>
      <c r="C708" s="22"/>
      <c r="D708" s="22"/>
      <c r="E708" s="22"/>
      <c r="F708" s="24"/>
      <c r="G708" s="24"/>
      <c r="H708" s="25"/>
      <c r="I708" s="25"/>
      <c r="J708" s="24"/>
      <c r="K708" s="24"/>
      <c r="L708" s="22"/>
    </row>
    <row r="709" spans="1:12">
      <c r="A709" s="22"/>
      <c r="B709" s="23"/>
      <c r="C709" s="22"/>
      <c r="D709" s="22"/>
      <c r="E709" s="22"/>
      <c r="F709" s="24"/>
      <c r="G709" s="24"/>
      <c r="H709" s="25"/>
      <c r="I709" s="25"/>
      <c r="J709" s="24"/>
      <c r="K709" s="24"/>
      <c r="L709" s="22"/>
    </row>
    <row r="710" spans="1:12">
      <c r="A710" s="22"/>
      <c r="B710" s="23"/>
      <c r="C710" s="22"/>
      <c r="D710" s="22"/>
      <c r="E710" s="22"/>
      <c r="F710" s="24"/>
      <c r="G710" s="24"/>
      <c r="H710" s="25"/>
      <c r="I710" s="25"/>
      <c r="J710" s="24"/>
      <c r="K710" s="24"/>
      <c r="L710" s="22"/>
    </row>
    <row r="711" spans="1:12">
      <c r="A711" s="22"/>
      <c r="B711" s="23"/>
      <c r="C711" s="22"/>
      <c r="D711" s="22"/>
      <c r="E711" s="22"/>
      <c r="F711" s="24"/>
      <c r="G711" s="24"/>
      <c r="H711" s="25"/>
      <c r="I711" s="25"/>
      <c r="J711" s="24"/>
      <c r="K711" s="24"/>
      <c r="L711" s="22"/>
    </row>
    <row r="712" spans="1:12">
      <c r="A712" s="22"/>
      <c r="B712" s="23"/>
      <c r="C712" s="22"/>
      <c r="D712" s="22"/>
      <c r="E712" s="22"/>
      <c r="F712" s="24"/>
      <c r="G712" s="24"/>
      <c r="H712" s="25"/>
      <c r="I712" s="25"/>
      <c r="J712" s="24"/>
      <c r="K712" s="24"/>
      <c r="L712" s="22"/>
    </row>
    <row r="713" spans="1:12">
      <c r="A713" s="22"/>
      <c r="B713" s="23"/>
      <c r="C713" s="22"/>
      <c r="D713" s="22"/>
      <c r="E713" s="22"/>
      <c r="F713" s="24"/>
      <c r="G713" s="24"/>
      <c r="H713" s="25"/>
      <c r="I713" s="25"/>
      <c r="J713" s="24"/>
      <c r="K713" s="24"/>
      <c r="L713" s="22"/>
    </row>
    <row r="714" spans="1:12">
      <c r="A714" s="22"/>
      <c r="B714" s="23"/>
      <c r="C714" s="22"/>
      <c r="D714" s="22"/>
      <c r="E714" s="22"/>
      <c r="F714" s="24"/>
      <c r="G714" s="24"/>
      <c r="H714" s="25"/>
      <c r="I714" s="25"/>
      <c r="J714" s="24"/>
      <c r="K714" s="24"/>
      <c r="L714" s="22"/>
    </row>
    <row r="715" spans="1:12">
      <c r="A715" s="22"/>
      <c r="B715" s="23"/>
      <c r="C715" s="22"/>
      <c r="D715" s="22"/>
      <c r="E715" s="22"/>
      <c r="F715" s="24"/>
      <c r="G715" s="24"/>
      <c r="H715" s="25"/>
      <c r="I715" s="25"/>
      <c r="J715" s="24"/>
      <c r="K715" s="24"/>
      <c r="L715" s="22"/>
    </row>
    <row r="716" spans="1:12">
      <c r="A716" s="22"/>
      <c r="B716" s="23"/>
      <c r="C716" s="22"/>
      <c r="D716" s="22"/>
      <c r="E716" s="22"/>
      <c r="F716" s="24"/>
      <c r="G716" s="24"/>
      <c r="H716" s="25"/>
      <c r="I716" s="25"/>
      <c r="J716" s="24"/>
      <c r="K716" s="24"/>
      <c r="L716" s="22"/>
    </row>
    <row r="717" spans="1:12">
      <c r="A717" s="22"/>
      <c r="B717" s="23"/>
      <c r="C717" s="22"/>
      <c r="D717" s="22"/>
      <c r="E717" s="22"/>
      <c r="F717" s="24"/>
      <c r="G717" s="24"/>
      <c r="H717" s="25"/>
      <c r="I717" s="25"/>
      <c r="J717" s="24"/>
      <c r="K717" s="24"/>
      <c r="L717" s="22"/>
    </row>
    <row r="718" spans="1:12">
      <c r="A718" s="22"/>
      <c r="B718" s="23"/>
      <c r="C718" s="22"/>
      <c r="D718" s="22"/>
      <c r="E718" s="22"/>
      <c r="F718" s="24"/>
      <c r="G718" s="24"/>
      <c r="H718" s="25"/>
      <c r="I718" s="25"/>
      <c r="J718" s="24"/>
      <c r="K718" s="24"/>
      <c r="L718" s="22"/>
    </row>
    <row r="719" spans="1:12">
      <c r="A719" s="22"/>
      <c r="B719" s="23"/>
      <c r="C719" s="22"/>
      <c r="D719" s="22"/>
      <c r="E719" s="22"/>
      <c r="F719" s="24"/>
      <c r="G719" s="24"/>
      <c r="H719" s="25"/>
      <c r="I719" s="25"/>
      <c r="J719" s="24"/>
      <c r="K719" s="24"/>
      <c r="L719" s="22"/>
    </row>
    <row r="720" spans="1:12">
      <c r="A720" s="22"/>
      <c r="B720" s="23"/>
      <c r="C720" s="22"/>
      <c r="D720" s="22"/>
      <c r="E720" s="22"/>
      <c r="F720" s="24"/>
      <c r="G720" s="24"/>
      <c r="H720" s="25"/>
      <c r="I720" s="25"/>
      <c r="J720" s="24"/>
      <c r="K720" s="24"/>
      <c r="L720" s="22"/>
    </row>
    <row r="721" spans="1:12">
      <c r="A721" s="22"/>
      <c r="B721" s="23"/>
      <c r="C721" s="22"/>
      <c r="D721" s="22"/>
      <c r="E721" s="22"/>
      <c r="F721" s="24"/>
      <c r="G721" s="24"/>
      <c r="H721" s="25"/>
      <c r="I721" s="25"/>
      <c r="J721" s="24"/>
      <c r="K721" s="24"/>
      <c r="L721" s="22"/>
    </row>
    <row r="722" spans="1:12">
      <c r="A722" s="22"/>
      <c r="B722" s="23"/>
      <c r="C722" s="22"/>
      <c r="D722" s="22"/>
      <c r="E722" s="22"/>
      <c r="F722" s="24"/>
      <c r="G722" s="24"/>
      <c r="H722" s="25"/>
      <c r="I722" s="25"/>
      <c r="J722" s="24"/>
      <c r="K722" s="24"/>
      <c r="L722" s="22"/>
    </row>
    <row r="723" spans="1:12">
      <c r="A723" s="22"/>
      <c r="B723" s="23"/>
      <c r="C723" s="22"/>
      <c r="D723" s="22"/>
      <c r="E723" s="22"/>
      <c r="F723" s="24"/>
      <c r="G723" s="24"/>
      <c r="H723" s="25"/>
      <c r="I723" s="25"/>
      <c r="J723" s="24"/>
      <c r="K723" s="24"/>
      <c r="L723" s="22"/>
    </row>
    <row r="724" spans="1:12">
      <c r="A724" s="22"/>
      <c r="B724" s="23"/>
      <c r="C724" s="22"/>
      <c r="D724" s="22"/>
      <c r="E724" s="22"/>
      <c r="F724" s="24"/>
      <c r="G724" s="24"/>
      <c r="H724" s="25"/>
      <c r="I724" s="25"/>
      <c r="J724" s="24"/>
      <c r="K724" s="24"/>
      <c r="L724" s="22"/>
    </row>
    <row r="725" spans="1:12">
      <c r="A725" s="22"/>
      <c r="B725" s="23"/>
      <c r="C725" s="22"/>
      <c r="D725" s="22"/>
      <c r="E725" s="22"/>
      <c r="F725" s="24"/>
      <c r="G725" s="24"/>
      <c r="H725" s="25"/>
      <c r="I725" s="25"/>
      <c r="J725" s="24"/>
      <c r="K725" s="24"/>
      <c r="L725" s="22"/>
    </row>
    <row r="726" spans="1:12">
      <c r="A726" s="22"/>
      <c r="B726" s="23"/>
      <c r="C726" s="22"/>
      <c r="D726" s="22"/>
      <c r="E726" s="22"/>
      <c r="F726" s="24"/>
      <c r="G726" s="24"/>
      <c r="H726" s="25"/>
      <c r="I726" s="25"/>
      <c r="J726" s="24"/>
      <c r="K726" s="24"/>
      <c r="L726" s="22"/>
    </row>
    <row r="727" spans="1:12">
      <c r="A727" s="22"/>
      <c r="B727" s="23"/>
      <c r="C727" s="22"/>
      <c r="D727" s="22"/>
      <c r="E727" s="22"/>
      <c r="F727" s="24"/>
      <c r="G727" s="24"/>
      <c r="H727" s="25"/>
      <c r="I727" s="25"/>
      <c r="J727" s="24"/>
      <c r="K727" s="24"/>
      <c r="L727" s="22"/>
    </row>
    <row r="728" spans="1:12">
      <c r="A728" s="22"/>
      <c r="B728" s="23"/>
      <c r="C728" s="22"/>
      <c r="D728" s="22"/>
      <c r="E728" s="22"/>
      <c r="F728" s="24"/>
      <c r="G728" s="24"/>
      <c r="H728" s="25"/>
      <c r="I728" s="25"/>
      <c r="J728" s="24"/>
      <c r="K728" s="24"/>
      <c r="L728" s="22"/>
    </row>
    <row r="729" spans="1:12">
      <c r="A729" s="22"/>
      <c r="B729" s="23"/>
      <c r="C729" s="22"/>
      <c r="D729" s="22"/>
      <c r="E729" s="22"/>
      <c r="F729" s="24"/>
      <c r="G729" s="24"/>
      <c r="H729" s="25"/>
      <c r="I729" s="25"/>
      <c r="J729" s="24"/>
      <c r="K729" s="24"/>
      <c r="L729" s="22"/>
    </row>
    <row r="730" spans="1:12">
      <c r="A730" s="22"/>
      <c r="B730" s="23"/>
      <c r="C730" s="22"/>
      <c r="D730" s="22"/>
      <c r="E730" s="22"/>
      <c r="F730" s="24"/>
      <c r="G730" s="24"/>
      <c r="H730" s="25"/>
      <c r="I730" s="25"/>
      <c r="J730" s="24"/>
      <c r="K730" s="24"/>
      <c r="L730" s="22"/>
    </row>
    <row r="731" spans="1:12">
      <c r="A731" s="22"/>
      <c r="B731" s="23"/>
      <c r="C731" s="22"/>
      <c r="D731" s="22"/>
      <c r="E731" s="22"/>
      <c r="F731" s="24"/>
      <c r="G731" s="24"/>
      <c r="H731" s="25"/>
      <c r="I731" s="25"/>
      <c r="J731" s="24"/>
      <c r="K731" s="24"/>
      <c r="L731" s="22"/>
    </row>
    <row r="732" spans="1:12">
      <c r="A732" s="22"/>
      <c r="B732" s="23"/>
      <c r="C732" s="22"/>
      <c r="D732" s="22"/>
      <c r="E732" s="22"/>
      <c r="F732" s="24"/>
      <c r="G732" s="24"/>
      <c r="H732" s="25"/>
      <c r="I732" s="25"/>
      <c r="J732" s="24"/>
      <c r="K732" s="24"/>
      <c r="L732" s="22"/>
    </row>
    <row r="733" spans="1:12">
      <c r="A733" s="22"/>
      <c r="B733" s="23"/>
      <c r="C733" s="22"/>
      <c r="D733" s="22"/>
      <c r="E733" s="22"/>
      <c r="F733" s="24"/>
      <c r="G733" s="24"/>
      <c r="H733" s="25"/>
      <c r="I733" s="25"/>
      <c r="J733" s="24"/>
      <c r="K733" s="24"/>
      <c r="L733" s="22"/>
    </row>
    <row r="734" spans="1:12">
      <c r="A734" s="22"/>
      <c r="B734" s="23"/>
      <c r="C734" s="22"/>
      <c r="D734" s="22"/>
      <c r="E734" s="22"/>
      <c r="F734" s="24"/>
      <c r="G734" s="24"/>
      <c r="H734" s="25"/>
      <c r="I734" s="25"/>
      <c r="J734" s="24"/>
      <c r="K734" s="24"/>
      <c r="L734" s="22"/>
    </row>
    <row r="735" spans="1:12">
      <c r="A735" s="22"/>
      <c r="B735" s="23"/>
      <c r="C735" s="22"/>
      <c r="D735" s="22"/>
      <c r="E735" s="22"/>
      <c r="F735" s="24"/>
      <c r="G735" s="24"/>
      <c r="H735" s="25"/>
      <c r="I735" s="25"/>
      <c r="J735" s="24"/>
      <c r="K735" s="24"/>
      <c r="L735" s="22"/>
    </row>
    <row r="736" spans="1:12">
      <c r="A736" s="22"/>
      <c r="B736" s="23"/>
      <c r="C736" s="22"/>
      <c r="D736" s="22"/>
      <c r="E736" s="22"/>
      <c r="F736" s="24"/>
      <c r="G736" s="24"/>
      <c r="H736" s="25"/>
      <c r="I736" s="25"/>
      <c r="J736" s="24"/>
      <c r="K736" s="24"/>
      <c r="L736" s="22"/>
    </row>
    <row r="737" spans="1:12">
      <c r="A737" s="22"/>
      <c r="B737" s="23"/>
      <c r="C737" s="22"/>
      <c r="D737" s="22"/>
      <c r="E737" s="22"/>
      <c r="F737" s="24"/>
      <c r="G737" s="24"/>
      <c r="H737" s="25"/>
      <c r="I737" s="25"/>
      <c r="J737" s="24"/>
      <c r="K737" s="24"/>
      <c r="L737" s="22"/>
    </row>
    <row r="738" spans="1:12">
      <c r="A738" s="22"/>
      <c r="B738" s="23"/>
      <c r="C738" s="22"/>
      <c r="D738" s="22"/>
      <c r="E738" s="22"/>
      <c r="F738" s="24"/>
      <c r="G738" s="24"/>
      <c r="H738" s="25"/>
      <c r="I738" s="25"/>
      <c r="J738" s="24"/>
      <c r="K738" s="24"/>
      <c r="L738" s="22"/>
    </row>
    <row r="739" spans="1:12">
      <c r="A739" s="22"/>
      <c r="B739" s="23"/>
      <c r="C739" s="22"/>
      <c r="D739" s="22"/>
      <c r="E739" s="22"/>
      <c r="F739" s="24"/>
      <c r="G739" s="24"/>
      <c r="H739" s="25"/>
      <c r="I739" s="25"/>
      <c r="J739" s="24"/>
      <c r="K739" s="24"/>
      <c r="L739" s="22"/>
    </row>
    <row r="740" spans="1:12">
      <c r="A740" s="22"/>
      <c r="B740" s="23"/>
      <c r="C740" s="22"/>
      <c r="D740" s="22"/>
      <c r="E740" s="22"/>
      <c r="F740" s="24"/>
      <c r="G740" s="24"/>
      <c r="H740" s="25"/>
      <c r="I740" s="25"/>
      <c r="J740" s="24"/>
      <c r="K740" s="24"/>
      <c r="L740" s="22"/>
    </row>
    <row r="741" spans="1:12">
      <c r="A741" s="22"/>
      <c r="B741" s="23"/>
      <c r="C741" s="22"/>
      <c r="D741" s="22"/>
      <c r="E741" s="22"/>
      <c r="F741" s="24"/>
      <c r="G741" s="24"/>
      <c r="H741" s="25"/>
      <c r="I741" s="25"/>
      <c r="J741" s="24"/>
      <c r="K741" s="24"/>
      <c r="L741" s="22"/>
    </row>
    <row r="742" spans="1:12">
      <c r="A742" s="22"/>
      <c r="B742" s="23"/>
      <c r="C742" s="22"/>
      <c r="D742" s="22"/>
      <c r="E742" s="22"/>
      <c r="F742" s="24"/>
      <c r="G742" s="24"/>
      <c r="H742" s="25"/>
      <c r="I742" s="25"/>
      <c r="J742" s="24"/>
      <c r="K742" s="24"/>
      <c r="L742" s="22"/>
    </row>
    <row r="743" spans="1:12">
      <c r="A743" s="22"/>
      <c r="B743" s="23"/>
      <c r="C743" s="22"/>
      <c r="D743" s="22"/>
      <c r="E743" s="22"/>
      <c r="F743" s="24"/>
      <c r="G743" s="24"/>
      <c r="H743" s="25"/>
      <c r="I743" s="25"/>
      <c r="J743" s="24"/>
      <c r="K743" s="24"/>
      <c r="L743" s="22"/>
    </row>
    <row r="744" spans="1:12">
      <c r="A744" s="22"/>
      <c r="B744" s="23"/>
      <c r="C744" s="22"/>
      <c r="D744" s="22"/>
      <c r="E744" s="22"/>
      <c r="F744" s="24"/>
      <c r="G744" s="24"/>
      <c r="H744" s="25"/>
      <c r="I744" s="25"/>
      <c r="J744" s="24"/>
      <c r="K744" s="24"/>
      <c r="L744" s="22"/>
    </row>
    <row r="745" spans="1:12">
      <c r="A745" s="22"/>
      <c r="B745" s="23"/>
      <c r="C745" s="22"/>
      <c r="D745" s="22"/>
      <c r="E745" s="22"/>
      <c r="F745" s="24"/>
      <c r="G745" s="24"/>
      <c r="H745" s="25"/>
      <c r="I745" s="25"/>
      <c r="J745" s="24"/>
      <c r="K745" s="24"/>
      <c r="L745" s="22"/>
    </row>
    <row r="746" spans="1:12">
      <c r="A746" s="22"/>
      <c r="B746" s="23"/>
      <c r="C746" s="22"/>
      <c r="D746" s="22"/>
      <c r="E746" s="22"/>
      <c r="F746" s="24"/>
      <c r="G746" s="24"/>
      <c r="H746" s="25"/>
      <c r="I746" s="25"/>
      <c r="J746" s="24"/>
      <c r="K746" s="24"/>
      <c r="L746" s="22"/>
    </row>
    <row r="747" spans="1:12">
      <c r="A747" s="22"/>
      <c r="B747" s="23"/>
      <c r="C747" s="22"/>
      <c r="D747" s="22"/>
      <c r="E747" s="22"/>
      <c r="F747" s="24"/>
      <c r="G747" s="24"/>
      <c r="H747" s="25"/>
      <c r="I747" s="25"/>
      <c r="J747" s="24"/>
      <c r="K747" s="24"/>
      <c r="L747" s="22"/>
    </row>
    <row r="748" spans="1:12">
      <c r="A748" s="22"/>
      <c r="B748" s="23"/>
      <c r="C748" s="22"/>
      <c r="D748" s="22"/>
      <c r="E748" s="22"/>
      <c r="F748" s="24"/>
      <c r="G748" s="24"/>
      <c r="H748" s="25"/>
      <c r="I748" s="25"/>
      <c r="J748" s="24"/>
      <c r="K748" s="24"/>
      <c r="L748" s="22"/>
    </row>
    <row r="749" spans="1:12">
      <c r="A749" s="22"/>
      <c r="B749" s="23"/>
      <c r="C749" s="22"/>
      <c r="D749" s="22"/>
      <c r="E749" s="22"/>
      <c r="F749" s="24"/>
      <c r="G749" s="24"/>
      <c r="H749" s="25"/>
      <c r="I749" s="25"/>
      <c r="J749" s="24"/>
      <c r="K749" s="24"/>
      <c r="L749" s="22"/>
    </row>
    <row r="750" spans="1:12">
      <c r="A750" s="22"/>
      <c r="B750" s="23"/>
      <c r="C750" s="22"/>
      <c r="D750" s="22"/>
      <c r="E750" s="22"/>
      <c r="F750" s="24"/>
      <c r="G750" s="24"/>
      <c r="H750" s="25"/>
      <c r="I750" s="25"/>
      <c r="J750" s="24"/>
      <c r="K750" s="24"/>
      <c r="L750" s="22"/>
    </row>
    <row r="751" spans="1:12">
      <c r="A751" s="22"/>
      <c r="B751" s="23"/>
      <c r="C751" s="22"/>
      <c r="D751" s="22"/>
      <c r="E751" s="22"/>
      <c r="F751" s="24"/>
      <c r="G751" s="24"/>
      <c r="H751" s="25"/>
      <c r="I751" s="25"/>
      <c r="J751" s="24"/>
      <c r="K751" s="24"/>
      <c r="L751" s="22"/>
    </row>
    <row r="752" spans="1:12">
      <c r="A752" s="22"/>
      <c r="B752" s="23"/>
      <c r="C752" s="22"/>
      <c r="D752" s="22"/>
      <c r="E752" s="22"/>
      <c r="F752" s="24"/>
      <c r="G752" s="24"/>
      <c r="H752" s="25"/>
      <c r="I752" s="25"/>
      <c r="J752" s="24"/>
      <c r="K752" s="24"/>
      <c r="L752" s="22"/>
    </row>
    <row r="753" spans="1:12">
      <c r="A753" s="22"/>
      <c r="B753" s="23"/>
      <c r="C753" s="22"/>
      <c r="D753" s="22"/>
      <c r="E753" s="22"/>
      <c r="F753" s="24"/>
      <c r="G753" s="24"/>
      <c r="H753" s="25"/>
      <c r="I753" s="25"/>
      <c r="J753" s="24"/>
      <c r="K753" s="24"/>
      <c r="L753" s="22"/>
    </row>
    <row r="754" spans="1:12">
      <c r="A754" s="22"/>
      <c r="B754" s="23"/>
      <c r="C754" s="22"/>
      <c r="D754" s="22"/>
      <c r="E754" s="22"/>
      <c r="F754" s="24"/>
      <c r="G754" s="24"/>
      <c r="H754" s="25"/>
      <c r="I754" s="25"/>
      <c r="J754" s="24"/>
      <c r="K754" s="24"/>
      <c r="L754" s="22"/>
    </row>
    <row r="755" spans="1:12">
      <c r="A755" s="22"/>
      <c r="B755" s="23"/>
      <c r="C755" s="22"/>
      <c r="D755" s="22"/>
      <c r="E755" s="22"/>
      <c r="F755" s="24"/>
      <c r="G755" s="24"/>
      <c r="H755" s="25"/>
      <c r="I755" s="25"/>
      <c r="J755" s="24"/>
      <c r="K755" s="24"/>
      <c r="L755" s="22"/>
    </row>
    <row r="756" spans="1:12">
      <c r="A756" s="22"/>
      <c r="B756" s="23"/>
      <c r="C756" s="22"/>
      <c r="D756" s="22"/>
      <c r="E756" s="22"/>
      <c r="F756" s="24"/>
      <c r="G756" s="24"/>
      <c r="H756" s="25"/>
      <c r="I756" s="25"/>
      <c r="J756" s="24"/>
      <c r="K756" s="24"/>
      <c r="L756" s="22"/>
    </row>
    <row r="757" spans="1:12">
      <c r="A757" s="22"/>
      <c r="B757" s="23"/>
      <c r="C757" s="22"/>
      <c r="D757" s="22"/>
      <c r="E757" s="22"/>
      <c r="F757" s="24"/>
      <c r="G757" s="24"/>
      <c r="H757" s="25"/>
      <c r="I757" s="25"/>
      <c r="J757" s="24"/>
      <c r="K757" s="24"/>
      <c r="L757" s="22"/>
    </row>
    <row r="758" spans="1:12">
      <c r="A758" s="22"/>
      <c r="B758" s="23"/>
      <c r="C758" s="22"/>
      <c r="D758" s="22"/>
      <c r="E758" s="22"/>
      <c r="F758" s="24"/>
      <c r="G758" s="24"/>
      <c r="H758" s="25"/>
      <c r="I758" s="25"/>
      <c r="J758" s="24"/>
      <c r="K758" s="24"/>
      <c r="L758" s="22"/>
    </row>
    <row r="759" spans="1:12">
      <c r="A759" s="22"/>
      <c r="B759" s="23"/>
      <c r="C759" s="22"/>
      <c r="D759" s="22"/>
      <c r="E759" s="22"/>
      <c r="F759" s="24"/>
      <c r="G759" s="24"/>
      <c r="H759" s="25"/>
      <c r="I759" s="25"/>
      <c r="J759" s="24"/>
      <c r="K759" s="24"/>
      <c r="L759" s="22"/>
    </row>
    <row r="760" spans="1:12">
      <c r="A760" s="22"/>
      <c r="B760" s="23"/>
      <c r="C760" s="22"/>
      <c r="D760" s="22"/>
      <c r="E760" s="22"/>
      <c r="F760" s="24"/>
      <c r="G760" s="24"/>
      <c r="H760" s="25"/>
      <c r="I760" s="25"/>
      <c r="J760" s="24"/>
      <c r="K760" s="24"/>
      <c r="L760" s="22"/>
    </row>
    <row r="761" spans="1:12">
      <c r="A761" s="22"/>
      <c r="B761" s="23"/>
      <c r="C761" s="22"/>
      <c r="D761" s="22"/>
      <c r="E761" s="22"/>
      <c r="F761" s="24"/>
      <c r="G761" s="24"/>
      <c r="H761" s="25"/>
      <c r="I761" s="25"/>
      <c r="J761" s="24"/>
      <c r="K761" s="24"/>
      <c r="L761" s="22"/>
    </row>
    <row r="762" spans="1:12">
      <c r="A762" s="22"/>
      <c r="B762" s="23"/>
      <c r="C762" s="22"/>
      <c r="D762" s="22"/>
      <c r="E762" s="22"/>
      <c r="F762" s="24"/>
      <c r="G762" s="24"/>
      <c r="H762" s="25"/>
      <c r="I762" s="25"/>
      <c r="J762" s="24"/>
      <c r="K762" s="24"/>
      <c r="L762" s="22"/>
    </row>
    <row r="763" spans="1:12">
      <c r="A763" s="22"/>
      <c r="B763" s="23"/>
      <c r="C763" s="22"/>
      <c r="D763" s="22"/>
      <c r="E763" s="22"/>
      <c r="F763" s="24"/>
      <c r="G763" s="24"/>
      <c r="H763" s="25"/>
      <c r="I763" s="25"/>
      <c r="J763" s="24"/>
      <c r="K763" s="24"/>
      <c r="L763" s="22"/>
    </row>
    <row r="764" spans="1:12">
      <c r="A764" s="22"/>
      <c r="B764" s="23"/>
      <c r="C764" s="22"/>
      <c r="D764" s="22"/>
      <c r="E764" s="22"/>
      <c r="F764" s="24"/>
      <c r="G764" s="24"/>
      <c r="H764" s="25"/>
      <c r="I764" s="25"/>
      <c r="J764" s="24"/>
      <c r="K764" s="24"/>
      <c r="L764" s="22"/>
    </row>
    <row r="765" spans="1:12">
      <c r="A765" s="22"/>
      <c r="B765" s="23"/>
      <c r="C765" s="22"/>
      <c r="D765" s="22"/>
      <c r="E765" s="22"/>
      <c r="F765" s="24"/>
      <c r="G765" s="24"/>
      <c r="H765" s="25"/>
      <c r="I765" s="25"/>
      <c r="J765" s="24"/>
      <c r="K765" s="24"/>
      <c r="L765" s="22"/>
    </row>
    <row r="766" spans="1:12">
      <c r="A766" s="22"/>
      <c r="B766" s="23"/>
      <c r="C766" s="22"/>
      <c r="D766" s="22"/>
      <c r="E766" s="22"/>
      <c r="F766" s="24"/>
      <c r="G766" s="24"/>
      <c r="H766" s="25"/>
      <c r="I766" s="25"/>
      <c r="J766" s="24"/>
      <c r="K766" s="24"/>
      <c r="L766" s="22"/>
    </row>
    <row r="767" spans="1:12">
      <c r="A767" s="22"/>
      <c r="B767" s="23"/>
      <c r="C767" s="22"/>
      <c r="D767" s="22"/>
      <c r="E767" s="22"/>
      <c r="F767" s="24"/>
      <c r="G767" s="24"/>
      <c r="H767" s="25"/>
      <c r="I767" s="25"/>
      <c r="J767" s="24"/>
      <c r="K767" s="24"/>
      <c r="L767" s="22"/>
    </row>
    <row r="768" spans="1:12">
      <c r="A768" s="22"/>
      <c r="B768" s="23"/>
      <c r="C768" s="22"/>
      <c r="D768" s="22"/>
      <c r="E768" s="22"/>
      <c r="F768" s="24"/>
      <c r="G768" s="24"/>
      <c r="H768" s="25"/>
      <c r="I768" s="25"/>
      <c r="J768" s="24"/>
      <c r="K768" s="24"/>
      <c r="L768" s="22"/>
    </row>
    <row r="769" spans="1:12">
      <c r="A769" s="22"/>
      <c r="B769" s="23"/>
      <c r="C769" s="22"/>
      <c r="D769" s="22"/>
      <c r="E769" s="22"/>
      <c r="F769" s="24"/>
      <c r="G769" s="24"/>
      <c r="H769" s="25"/>
      <c r="I769" s="25"/>
      <c r="J769" s="24"/>
      <c r="K769" s="24"/>
      <c r="L769" s="22"/>
    </row>
    <row r="770" spans="1:12">
      <c r="A770" s="22"/>
      <c r="B770" s="23"/>
      <c r="C770" s="22"/>
      <c r="D770" s="22"/>
      <c r="E770" s="22"/>
      <c r="F770" s="24"/>
      <c r="G770" s="24"/>
      <c r="H770" s="25"/>
      <c r="I770" s="25"/>
      <c r="J770" s="24"/>
      <c r="K770" s="24"/>
      <c r="L770" s="22"/>
    </row>
    <row r="771" spans="1:12">
      <c r="A771" s="22"/>
      <c r="B771" s="23"/>
      <c r="C771" s="22"/>
      <c r="D771" s="22"/>
      <c r="E771" s="22"/>
      <c r="F771" s="24"/>
      <c r="G771" s="24"/>
      <c r="H771" s="25"/>
      <c r="I771" s="25"/>
      <c r="J771" s="24"/>
      <c r="K771" s="24"/>
      <c r="L771" s="22"/>
    </row>
    <row r="772" spans="1:12">
      <c r="A772" s="22"/>
      <c r="B772" s="23"/>
      <c r="C772" s="22"/>
      <c r="D772" s="22"/>
      <c r="E772" s="22"/>
      <c r="F772" s="24"/>
      <c r="G772" s="24"/>
      <c r="H772" s="25"/>
      <c r="I772" s="25"/>
      <c r="J772" s="24"/>
      <c r="K772" s="24"/>
      <c r="L772" s="22"/>
    </row>
    <row r="773" spans="1:12">
      <c r="A773" s="22"/>
      <c r="B773" s="23"/>
      <c r="C773" s="22"/>
      <c r="D773" s="22"/>
      <c r="E773" s="22"/>
      <c r="F773" s="24"/>
      <c r="G773" s="24"/>
      <c r="H773" s="25"/>
      <c r="I773" s="25"/>
      <c r="J773" s="24"/>
      <c r="K773" s="24"/>
      <c r="L773" s="22"/>
    </row>
    <row r="774" spans="1:12">
      <c r="A774" s="22"/>
      <c r="B774" s="23"/>
      <c r="C774" s="22"/>
      <c r="D774" s="22"/>
      <c r="E774" s="22"/>
      <c r="F774" s="24"/>
      <c r="G774" s="24"/>
      <c r="H774" s="25"/>
      <c r="I774" s="25"/>
      <c r="J774" s="24"/>
      <c r="K774" s="24"/>
      <c r="L774" s="22"/>
    </row>
    <row r="775" spans="1:12">
      <c r="A775" s="22"/>
      <c r="B775" s="23"/>
      <c r="C775" s="22"/>
      <c r="D775" s="22"/>
      <c r="E775" s="22"/>
      <c r="F775" s="24"/>
      <c r="G775" s="24"/>
      <c r="H775" s="25"/>
      <c r="I775" s="25"/>
      <c r="J775" s="24"/>
      <c r="K775" s="24"/>
      <c r="L775" s="22"/>
    </row>
    <row r="776" spans="1:12">
      <c r="A776" s="22"/>
      <c r="B776" s="23"/>
      <c r="C776" s="22"/>
      <c r="D776" s="22"/>
      <c r="E776" s="22"/>
      <c r="F776" s="24"/>
      <c r="G776" s="24"/>
      <c r="H776" s="25"/>
      <c r="I776" s="25"/>
      <c r="J776" s="24"/>
      <c r="K776" s="24"/>
      <c r="L776" s="22"/>
    </row>
    <row r="777" spans="1:12">
      <c r="A777" s="22"/>
      <c r="B777" s="23"/>
      <c r="C777" s="22"/>
      <c r="D777" s="22"/>
      <c r="E777" s="22"/>
      <c r="F777" s="24"/>
      <c r="G777" s="24"/>
      <c r="H777" s="25"/>
      <c r="I777" s="25"/>
      <c r="J777" s="24"/>
      <c r="K777" s="24"/>
      <c r="L777" s="22"/>
    </row>
    <row r="778" spans="1:12">
      <c r="A778" s="22"/>
      <c r="B778" s="23"/>
      <c r="C778" s="22"/>
      <c r="D778" s="22"/>
      <c r="E778" s="22"/>
      <c r="F778" s="24"/>
      <c r="G778" s="24"/>
      <c r="H778" s="25"/>
      <c r="I778" s="25"/>
      <c r="J778" s="24"/>
      <c r="K778" s="24"/>
      <c r="L778" s="22"/>
    </row>
    <row r="779" spans="1:12">
      <c r="A779" s="22"/>
      <c r="B779" s="23"/>
      <c r="C779" s="22"/>
      <c r="D779" s="22"/>
      <c r="E779" s="22"/>
      <c r="F779" s="24"/>
      <c r="G779" s="24"/>
      <c r="H779" s="25"/>
      <c r="I779" s="25"/>
      <c r="J779" s="24"/>
      <c r="K779" s="24"/>
      <c r="L779" s="22"/>
    </row>
    <row r="780" spans="1:12">
      <c r="A780" s="22"/>
      <c r="B780" s="23"/>
      <c r="C780" s="22"/>
      <c r="D780" s="22"/>
      <c r="E780" s="22"/>
      <c r="F780" s="24"/>
      <c r="G780" s="24"/>
      <c r="H780" s="25"/>
      <c r="I780" s="25"/>
      <c r="J780" s="24"/>
      <c r="K780" s="24"/>
      <c r="L780" s="22"/>
    </row>
    <row r="781" spans="1:12">
      <c r="A781" s="22"/>
      <c r="B781" s="23"/>
      <c r="C781" s="22"/>
      <c r="D781" s="22"/>
      <c r="E781" s="22"/>
      <c r="F781" s="24"/>
      <c r="G781" s="24"/>
      <c r="H781" s="25"/>
      <c r="I781" s="25"/>
      <c r="J781" s="24"/>
      <c r="K781" s="24"/>
      <c r="L781" s="22"/>
    </row>
    <row r="782" spans="1:12">
      <c r="A782" s="22"/>
      <c r="B782" s="23"/>
      <c r="C782" s="22"/>
      <c r="D782" s="22"/>
      <c r="E782" s="22"/>
      <c r="F782" s="24"/>
      <c r="G782" s="24"/>
      <c r="H782" s="25"/>
      <c r="I782" s="25"/>
      <c r="J782" s="24"/>
      <c r="K782" s="24"/>
      <c r="L782" s="22"/>
    </row>
    <row r="783" spans="1:12">
      <c r="A783" s="22"/>
      <c r="B783" s="23"/>
      <c r="C783" s="22"/>
      <c r="D783" s="22"/>
      <c r="E783" s="22"/>
      <c r="F783" s="24"/>
      <c r="G783" s="24"/>
      <c r="H783" s="25"/>
      <c r="I783" s="25"/>
      <c r="J783" s="24"/>
      <c r="K783" s="24"/>
      <c r="L783" s="22"/>
    </row>
    <row r="784" spans="1:12">
      <c r="A784" s="22"/>
      <c r="B784" s="23"/>
      <c r="C784" s="22"/>
      <c r="D784" s="22"/>
      <c r="E784" s="22"/>
      <c r="F784" s="24"/>
      <c r="G784" s="24"/>
      <c r="H784" s="25"/>
      <c r="I784" s="25"/>
      <c r="J784" s="24"/>
      <c r="K784" s="24"/>
      <c r="L784" s="22"/>
    </row>
    <row r="785" spans="1:12">
      <c r="A785" s="22"/>
      <c r="B785" s="23"/>
      <c r="C785" s="22"/>
      <c r="D785" s="22"/>
      <c r="E785" s="22"/>
      <c r="F785" s="24"/>
      <c r="G785" s="24"/>
      <c r="H785" s="25"/>
      <c r="I785" s="25"/>
      <c r="J785" s="24"/>
      <c r="K785" s="24"/>
      <c r="L785" s="22"/>
    </row>
    <row r="786" spans="1:12">
      <c r="A786" s="22"/>
      <c r="B786" s="23"/>
      <c r="C786" s="22"/>
      <c r="D786" s="22"/>
      <c r="E786" s="22"/>
      <c r="F786" s="24"/>
      <c r="G786" s="24"/>
      <c r="H786" s="25"/>
      <c r="I786" s="25"/>
      <c r="J786" s="24"/>
      <c r="K786" s="24"/>
      <c r="L786" s="22"/>
    </row>
    <row r="787" spans="1:12">
      <c r="A787" s="22"/>
      <c r="B787" s="23"/>
      <c r="C787" s="22"/>
      <c r="D787" s="22"/>
      <c r="E787" s="22"/>
      <c r="F787" s="24"/>
      <c r="G787" s="24"/>
      <c r="H787" s="25"/>
      <c r="I787" s="25"/>
      <c r="J787" s="24"/>
      <c r="K787" s="24"/>
      <c r="L787" s="22"/>
    </row>
    <row r="788" spans="1:12">
      <c r="A788" s="22"/>
      <c r="B788" s="23"/>
      <c r="C788" s="22"/>
      <c r="D788" s="22"/>
      <c r="E788" s="22"/>
      <c r="F788" s="24"/>
      <c r="G788" s="24"/>
      <c r="H788" s="25"/>
      <c r="I788" s="25"/>
      <c r="J788" s="24"/>
      <c r="K788" s="24"/>
      <c r="L788" s="22"/>
    </row>
    <row r="789" spans="1:12">
      <c r="A789" s="22"/>
      <c r="B789" s="23"/>
      <c r="C789" s="22"/>
      <c r="D789" s="22"/>
      <c r="E789" s="22"/>
      <c r="F789" s="24"/>
      <c r="G789" s="24"/>
      <c r="H789" s="25"/>
      <c r="I789" s="25"/>
      <c r="J789" s="24"/>
      <c r="K789" s="24"/>
      <c r="L789" s="22"/>
    </row>
    <row r="790" spans="1:12">
      <c r="A790" s="22"/>
      <c r="B790" s="23"/>
      <c r="C790" s="22"/>
      <c r="D790" s="22"/>
      <c r="E790" s="22"/>
      <c r="F790" s="24"/>
      <c r="G790" s="24"/>
      <c r="H790" s="25"/>
      <c r="I790" s="25"/>
      <c r="J790" s="24"/>
      <c r="K790" s="24"/>
      <c r="L790" s="22"/>
    </row>
    <row r="791" spans="1:12">
      <c r="A791" s="22"/>
      <c r="B791" s="23"/>
      <c r="C791" s="22"/>
      <c r="D791" s="22"/>
      <c r="E791" s="22"/>
      <c r="F791" s="24"/>
      <c r="G791" s="24"/>
      <c r="H791" s="25"/>
      <c r="I791" s="25"/>
      <c r="J791" s="24"/>
      <c r="K791" s="24"/>
      <c r="L791" s="22"/>
    </row>
    <row r="792" spans="1:12">
      <c r="A792" s="22"/>
      <c r="B792" s="23"/>
      <c r="C792" s="22"/>
      <c r="D792" s="22"/>
      <c r="E792" s="22"/>
      <c r="F792" s="24"/>
      <c r="G792" s="24"/>
      <c r="H792" s="25"/>
      <c r="I792" s="25"/>
      <c r="J792" s="24"/>
      <c r="K792" s="24"/>
      <c r="L792" s="22"/>
    </row>
    <row r="793" spans="1:12">
      <c r="A793" s="22"/>
      <c r="B793" s="23"/>
      <c r="C793" s="22"/>
      <c r="D793" s="22"/>
      <c r="E793" s="22"/>
      <c r="F793" s="24"/>
      <c r="G793" s="24"/>
      <c r="H793" s="25"/>
      <c r="I793" s="25"/>
      <c r="J793" s="24"/>
      <c r="K793" s="24"/>
      <c r="L793" s="22"/>
    </row>
    <row r="794" spans="1:12">
      <c r="A794" s="22"/>
      <c r="B794" s="23"/>
      <c r="C794" s="22"/>
      <c r="D794" s="22"/>
      <c r="E794" s="22"/>
      <c r="F794" s="24"/>
      <c r="G794" s="24"/>
      <c r="H794" s="25"/>
      <c r="I794" s="25"/>
      <c r="J794" s="24"/>
      <c r="K794" s="24"/>
      <c r="L794" s="22"/>
    </row>
    <row r="795" spans="1:12">
      <c r="A795" s="22"/>
      <c r="B795" s="23"/>
      <c r="C795" s="22"/>
      <c r="D795" s="22"/>
      <c r="E795" s="22"/>
      <c r="F795" s="24"/>
      <c r="G795" s="24"/>
      <c r="H795" s="25"/>
      <c r="I795" s="25"/>
      <c r="J795" s="24"/>
      <c r="K795" s="24"/>
      <c r="L795" s="22"/>
    </row>
    <row r="796" spans="1:12">
      <c r="A796" s="22"/>
      <c r="B796" s="23"/>
      <c r="C796" s="22"/>
      <c r="D796" s="22"/>
      <c r="E796" s="22"/>
      <c r="F796" s="24"/>
      <c r="G796" s="24"/>
      <c r="H796" s="25"/>
      <c r="I796" s="25"/>
      <c r="J796" s="24"/>
      <c r="K796" s="24"/>
      <c r="L796" s="22"/>
    </row>
    <row r="797" spans="1:12">
      <c r="A797" s="22"/>
      <c r="B797" s="23"/>
      <c r="C797" s="22"/>
      <c r="D797" s="22"/>
      <c r="E797" s="22"/>
      <c r="F797" s="24"/>
      <c r="G797" s="24"/>
      <c r="H797" s="25"/>
      <c r="I797" s="25"/>
      <c r="J797" s="24"/>
      <c r="K797" s="24"/>
      <c r="L797" s="22"/>
    </row>
    <row r="798" spans="1:12">
      <c r="A798" s="22"/>
      <c r="B798" s="23"/>
      <c r="C798" s="22"/>
      <c r="D798" s="22"/>
      <c r="E798" s="22"/>
      <c r="F798" s="24"/>
      <c r="G798" s="24"/>
      <c r="H798" s="25"/>
      <c r="I798" s="25"/>
      <c r="J798" s="24"/>
      <c r="K798" s="24"/>
      <c r="L798" s="22"/>
    </row>
    <row r="799" spans="1:12">
      <c r="A799" s="22"/>
      <c r="B799" s="23"/>
      <c r="C799" s="22"/>
      <c r="D799" s="22"/>
      <c r="E799" s="22"/>
      <c r="F799" s="24"/>
      <c r="G799" s="24"/>
      <c r="H799" s="25"/>
      <c r="I799" s="25"/>
      <c r="J799" s="24"/>
      <c r="K799" s="24"/>
      <c r="L799" s="22"/>
    </row>
    <row r="800" spans="1:12">
      <c r="A800" s="22"/>
      <c r="B800" s="23"/>
      <c r="C800" s="22"/>
      <c r="D800" s="22"/>
      <c r="E800" s="22"/>
      <c r="F800" s="24"/>
      <c r="G800" s="24"/>
      <c r="H800" s="25"/>
      <c r="I800" s="25"/>
      <c r="J800" s="24"/>
      <c r="K800" s="24"/>
      <c r="L800" s="22"/>
    </row>
    <row r="801" spans="1:12">
      <c r="A801" s="22"/>
      <c r="B801" s="23"/>
      <c r="C801" s="22"/>
      <c r="D801" s="22"/>
      <c r="E801" s="22"/>
      <c r="F801" s="24"/>
      <c r="G801" s="24"/>
      <c r="H801" s="25"/>
      <c r="I801" s="25"/>
      <c r="J801" s="24"/>
      <c r="K801" s="24"/>
      <c r="L801" s="22"/>
    </row>
    <row r="802" spans="1:12">
      <c r="A802" s="22"/>
      <c r="B802" s="23"/>
      <c r="C802" s="22"/>
      <c r="D802" s="22"/>
      <c r="E802" s="22"/>
      <c r="F802" s="24"/>
      <c r="G802" s="24"/>
      <c r="H802" s="25"/>
      <c r="I802" s="25"/>
      <c r="J802" s="24"/>
      <c r="K802" s="24"/>
      <c r="L802" s="22"/>
    </row>
    <row r="803" spans="1:12">
      <c r="A803" s="22"/>
      <c r="B803" s="23"/>
      <c r="C803" s="22"/>
      <c r="D803" s="22"/>
      <c r="E803" s="22"/>
      <c r="F803" s="24"/>
      <c r="G803" s="24"/>
      <c r="H803" s="25"/>
      <c r="I803" s="25"/>
      <c r="J803" s="24"/>
      <c r="K803" s="24"/>
      <c r="L803" s="22"/>
    </row>
    <row r="804" spans="1:12">
      <c r="A804" s="22"/>
      <c r="B804" s="23"/>
      <c r="C804" s="22"/>
      <c r="D804" s="22"/>
      <c r="E804" s="22"/>
      <c r="F804" s="24"/>
      <c r="G804" s="24"/>
      <c r="H804" s="25"/>
      <c r="I804" s="25"/>
      <c r="J804" s="24"/>
      <c r="K804" s="24"/>
      <c r="L804" s="22"/>
    </row>
    <row r="805" spans="1:12">
      <c r="A805" s="22"/>
      <c r="B805" s="23"/>
      <c r="C805" s="22"/>
      <c r="D805" s="22"/>
      <c r="E805" s="22"/>
      <c r="F805" s="24"/>
      <c r="G805" s="24"/>
      <c r="H805" s="25"/>
      <c r="I805" s="25"/>
      <c r="J805" s="24"/>
      <c r="K805" s="24"/>
      <c r="L805" s="22"/>
    </row>
    <row r="806" spans="1:12">
      <c r="G806" s="30"/>
    </row>
    <row r="807" spans="1:12">
      <c r="G807" s="30"/>
    </row>
    <row r="808" spans="1:12">
      <c r="G808" s="30"/>
    </row>
    <row r="809" spans="1:12">
      <c r="G809" s="30"/>
    </row>
    <row r="810" spans="1:12">
      <c r="G810" s="30"/>
    </row>
    <row r="811" spans="1:12">
      <c r="G811" s="30"/>
    </row>
    <row r="812" spans="1:12">
      <c r="G812" s="30"/>
    </row>
    <row r="813" spans="1:12">
      <c r="G813" s="30"/>
    </row>
    <row r="814" spans="1:12">
      <c r="G814" s="30"/>
    </row>
    <row r="815" spans="1:12">
      <c r="G815" s="30"/>
    </row>
    <row r="816" spans="1:12">
      <c r="G816" s="30"/>
    </row>
    <row r="817" spans="7:7">
      <c r="G817" s="30"/>
    </row>
    <row r="818" spans="7:7">
      <c r="G818" s="30"/>
    </row>
    <row r="819" spans="7:7">
      <c r="G819" s="30"/>
    </row>
    <row r="820" spans="7:7">
      <c r="G820" s="30"/>
    </row>
    <row r="821" spans="7:7">
      <c r="G821" s="30"/>
    </row>
    <row r="822" spans="7:7">
      <c r="G822" s="30"/>
    </row>
    <row r="823" spans="7:7">
      <c r="G823" s="30"/>
    </row>
    <row r="824" spans="7:7">
      <c r="G824" s="30"/>
    </row>
    <row r="825" spans="7:7">
      <c r="G825" s="30"/>
    </row>
    <row r="826" spans="7:7">
      <c r="G826" s="30"/>
    </row>
    <row r="827" spans="7:7">
      <c r="G827" s="30"/>
    </row>
    <row r="828" spans="7:7">
      <c r="G828" s="30"/>
    </row>
    <row r="829" spans="7:7">
      <c r="G829" s="30"/>
    </row>
    <row r="830" spans="7:7">
      <c r="G830" s="30"/>
    </row>
    <row r="831" spans="7:7">
      <c r="G831" s="30"/>
    </row>
    <row r="832" spans="7:7">
      <c r="G832" s="30"/>
    </row>
    <row r="833" spans="7:7">
      <c r="G833" s="30"/>
    </row>
    <row r="834" spans="7:7">
      <c r="G834" s="30"/>
    </row>
    <row r="835" spans="7:7">
      <c r="G835" s="30"/>
    </row>
    <row r="836" spans="7:7">
      <c r="G836" s="30"/>
    </row>
    <row r="837" spans="7:7">
      <c r="G837" s="30"/>
    </row>
    <row r="838" spans="7:7">
      <c r="G838" s="30"/>
    </row>
    <row r="839" spans="7:7">
      <c r="G839" s="30"/>
    </row>
    <row r="840" spans="7:7">
      <c r="G840" s="30"/>
    </row>
    <row r="841" spans="7:7">
      <c r="G841" s="30"/>
    </row>
    <row r="842" spans="7:7">
      <c r="G842" s="30"/>
    </row>
    <row r="843" spans="7:7">
      <c r="G843" s="30"/>
    </row>
    <row r="844" spans="7:7">
      <c r="G844" s="30"/>
    </row>
    <row r="845" spans="7:7">
      <c r="G845" s="30"/>
    </row>
    <row r="846" spans="7:7">
      <c r="G846" s="30"/>
    </row>
    <row r="847" spans="7:7">
      <c r="G847" s="30"/>
    </row>
    <row r="848" spans="7:7">
      <c r="G848" s="30"/>
    </row>
    <row r="849" spans="7:7">
      <c r="G849" s="30"/>
    </row>
    <row r="850" spans="7:7">
      <c r="G850" s="30"/>
    </row>
    <row r="851" spans="7:7">
      <c r="G851" s="30"/>
    </row>
    <row r="852" spans="7:7">
      <c r="G852" s="30"/>
    </row>
    <row r="853" spans="7:7">
      <c r="G853" s="30"/>
    </row>
    <row r="854" spans="7:7">
      <c r="G854" s="30"/>
    </row>
    <row r="855" spans="7:7">
      <c r="G855" s="30"/>
    </row>
    <row r="856" spans="7:7">
      <c r="G856" s="30"/>
    </row>
    <row r="857" spans="7:7">
      <c r="G857" s="30"/>
    </row>
    <row r="858" spans="7:7">
      <c r="G858" s="30"/>
    </row>
    <row r="859" spans="7:7">
      <c r="G859" s="30"/>
    </row>
    <row r="860" spans="7:7">
      <c r="G860" s="30"/>
    </row>
    <row r="861" spans="7:7">
      <c r="G861" s="30"/>
    </row>
    <row r="862" spans="7:7">
      <c r="G862" s="30"/>
    </row>
    <row r="863" spans="7:7">
      <c r="G863" s="30"/>
    </row>
    <row r="864" spans="7:7">
      <c r="G864" s="30"/>
    </row>
    <row r="865" spans="7:7">
      <c r="G865" s="30"/>
    </row>
    <row r="866" spans="7:7">
      <c r="G866" s="30"/>
    </row>
    <row r="867" spans="7:7">
      <c r="G867" s="30"/>
    </row>
    <row r="868" spans="7:7">
      <c r="G868" s="30"/>
    </row>
    <row r="869" spans="7:7">
      <c r="G869" s="30"/>
    </row>
    <row r="870" spans="7:7">
      <c r="G870" s="30"/>
    </row>
    <row r="871" spans="7:7">
      <c r="G871" s="30"/>
    </row>
    <row r="872" spans="7:7">
      <c r="G872" s="30"/>
    </row>
    <row r="873" spans="7:7">
      <c r="G873" s="30"/>
    </row>
    <row r="874" spans="7:7">
      <c r="G874" s="30"/>
    </row>
    <row r="875" spans="7:7">
      <c r="G875" s="30"/>
    </row>
    <row r="876" spans="7:7">
      <c r="G876" s="30"/>
    </row>
    <row r="877" spans="7:7">
      <c r="G877" s="30"/>
    </row>
    <row r="878" spans="7:7">
      <c r="G878" s="30"/>
    </row>
    <row r="879" spans="7:7">
      <c r="G879" s="30"/>
    </row>
    <row r="880" spans="7:7">
      <c r="G880" s="30"/>
    </row>
    <row r="881" spans="7:7">
      <c r="G881" s="30"/>
    </row>
    <row r="882" spans="7:7">
      <c r="G882" s="30"/>
    </row>
    <row r="883" spans="7:7">
      <c r="G883" s="30"/>
    </row>
    <row r="884" spans="7:7">
      <c r="G884" s="30"/>
    </row>
    <row r="885" spans="7:7">
      <c r="G885" s="30"/>
    </row>
    <row r="886" spans="7:7">
      <c r="G886" s="30"/>
    </row>
    <row r="887" spans="7:7">
      <c r="G887" s="30"/>
    </row>
    <row r="888" spans="7:7">
      <c r="G888" s="30"/>
    </row>
    <row r="889" spans="7:7">
      <c r="G889" s="30"/>
    </row>
    <row r="890" spans="7:7">
      <c r="G890" s="30"/>
    </row>
    <row r="891" spans="7:7">
      <c r="G891" s="30"/>
    </row>
    <row r="892" spans="7:7">
      <c r="G892" s="30"/>
    </row>
    <row r="893" spans="7:7">
      <c r="G893" s="30"/>
    </row>
    <row r="894" spans="7:7">
      <c r="G894" s="30"/>
    </row>
    <row r="895" spans="7:7">
      <c r="G895" s="30"/>
    </row>
    <row r="896" spans="7:7">
      <c r="G896" s="30"/>
    </row>
    <row r="897" spans="7:7">
      <c r="G897" s="30"/>
    </row>
    <row r="898" spans="7:7">
      <c r="G898" s="30"/>
    </row>
    <row r="899" spans="7:7">
      <c r="G899" s="30"/>
    </row>
    <row r="900" spans="7:7">
      <c r="G900" s="30"/>
    </row>
    <row r="901" spans="7:7">
      <c r="G901" s="30"/>
    </row>
    <row r="902" spans="7:7">
      <c r="G902" s="30"/>
    </row>
    <row r="903" spans="7:7">
      <c r="G903" s="30"/>
    </row>
    <row r="904" spans="7:7">
      <c r="G904" s="30"/>
    </row>
    <row r="905" spans="7:7">
      <c r="G905" s="30"/>
    </row>
    <row r="906" spans="7:7">
      <c r="G906" s="30"/>
    </row>
    <row r="907" spans="7:7">
      <c r="G907" s="30"/>
    </row>
    <row r="908" spans="7:7">
      <c r="G908" s="30"/>
    </row>
    <row r="909" spans="7:7">
      <c r="G909" s="30"/>
    </row>
    <row r="910" spans="7:7">
      <c r="G910" s="30"/>
    </row>
    <row r="911" spans="7:7">
      <c r="G911" s="30"/>
    </row>
    <row r="912" spans="7:7">
      <c r="G912" s="30"/>
    </row>
    <row r="913" spans="7:7">
      <c r="G913" s="30"/>
    </row>
    <row r="914" spans="7:7">
      <c r="G914" s="30"/>
    </row>
    <row r="915" spans="7:7">
      <c r="G915" s="30"/>
    </row>
    <row r="916" spans="7:7">
      <c r="G916" s="30"/>
    </row>
    <row r="917" spans="7:7">
      <c r="G917" s="30"/>
    </row>
    <row r="918" spans="7:7">
      <c r="G918" s="30"/>
    </row>
    <row r="919" spans="7:7">
      <c r="G919" s="30"/>
    </row>
    <row r="920" spans="7:7">
      <c r="G920" s="30"/>
    </row>
    <row r="921" spans="7:7">
      <c r="G921" s="30"/>
    </row>
    <row r="922" spans="7:7">
      <c r="G922" s="30"/>
    </row>
    <row r="923" spans="7:7">
      <c r="G923" s="30"/>
    </row>
    <row r="924" spans="7:7">
      <c r="G924" s="30"/>
    </row>
    <row r="925" spans="7:7">
      <c r="G925" s="30"/>
    </row>
    <row r="926" spans="7:7">
      <c r="G926" s="30"/>
    </row>
    <row r="927" spans="7:7">
      <c r="G927" s="30"/>
    </row>
    <row r="928" spans="7:7">
      <c r="G928" s="30"/>
    </row>
    <row r="929" spans="7:7">
      <c r="G929" s="30"/>
    </row>
    <row r="930" spans="7:7">
      <c r="G930" s="30"/>
    </row>
    <row r="931" spans="7:7">
      <c r="G931" s="30"/>
    </row>
    <row r="932" spans="7:7">
      <c r="G932" s="30"/>
    </row>
    <row r="933" spans="7:7">
      <c r="G933" s="30"/>
    </row>
    <row r="934" spans="7:7">
      <c r="G934" s="30"/>
    </row>
    <row r="935" spans="7:7">
      <c r="G935" s="30"/>
    </row>
    <row r="936" spans="7:7">
      <c r="G936" s="30"/>
    </row>
    <row r="937" spans="7:7">
      <c r="G937" s="30"/>
    </row>
    <row r="938" spans="7:7">
      <c r="G938" s="30"/>
    </row>
    <row r="939" spans="7:7">
      <c r="G939" s="30"/>
    </row>
    <row r="940" spans="7:7">
      <c r="G940" s="30"/>
    </row>
    <row r="941" spans="7:7">
      <c r="G941" s="30"/>
    </row>
    <row r="942" spans="7:7">
      <c r="G942" s="30"/>
    </row>
    <row r="943" spans="7:7">
      <c r="G943" s="30"/>
    </row>
    <row r="944" spans="7:7">
      <c r="G944" s="30"/>
    </row>
    <row r="945" spans="7:7">
      <c r="G945" s="30"/>
    </row>
    <row r="946" spans="7:7">
      <c r="G946" s="30"/>
    </row>
    <row r="947" spans="7:7">
      <c r="G947" s="30"/>
    </row>
    <row r="948" spans="7:7">
      <c r="G948" s="30"/>
    </row>
    <row r="949" spans="7:7">
      <c r="G949" s="30"/>
    </row>
    <row r="950" spans="7:7">
      <c r="G950" s="30"/>
    </row>
    <row r="951" spans="7:7">
      <c r="G951" s="30"/>
    </row>
    <row r="952" spans="7:7">
      <c r="G952" s="30"/>
    </row>
    <row r="953" spans="7:7">
      <c r="G953" s="30"/>
    </row>
    <row r="954" spans="7:7">
      <c r="G954" s="30"/>
    </row>
    <row r="955" spans="7:7">
      <c r="G955" s="30"/>
    </row>
    <row r="956" spans="7:7">
      <c r="G956" s="30"/>
    </row>
    <row r="957" spans="7:7">
      <c r="G957" s="30"/>
    </row>
    <row r="958" spans="7:7">
      <c r="G958" s="30"/>
    </row>
    <row r="959" spans="7:7">
      <c r="G959" s="30"/>
    </row>
    <row r="960" spans="7:7">
      <c r="G960" s="30"/>
    </row>
    <row r="961" spans="7:7">
      <c r="G961" s="30"/>
    </row>
    <row r="962" spans="7:7">
      <c r="G962" s="30"/>
    </row>
    <row r="963" spans="7:7">
      <c r="G963" s="30"/>
    </row>
    <row r="964" spans="7:7">
      <c r="G964" s="30"/>
    </row>
    <row r="965" spans="7:7">
      <c r="G965" s="30"/>
    </row>
    <row r="966" spans="7:7">
      <c r="G966" s="30"/>
    </row>
    <row r="967" spans="7:7">
      <c r="G967" s="30"/>
    </row>
    <row r="968" spans="7:7">
      <c r="G968" s="30"/>
    </row>
    <row r="969" spans="7:7">
      <c r="G969" s="30"/>
    </row>
    <row r="970" spans="7:7">
      <c r="G970" s="30"/>
    </row>
    <row r="971" spans="7:7">
      <c r="G971" s="30"/>
    </row>
    <row r="972" spans="7:7">
      <c r="G972" s="30"/>
    </row>
    <row r="973" spans="7:7">
      <c r="G973" s="30"/>
    </row>
    <row r="974" spans="7:7">
      <c r="G974" s="30"/>
    </row>
    <row r="975" spans="7:7">
      <c r="G975" s="30"/>
    </row>
    <row r="976" spans="7:7">
      <c r="G976" s="30"/>
    </row>
    <row r="977" spans="7:7">
      <c r="G977" s="30"/>
    </row>
    <row r="978" spans="7:7">
      <c r="G978" s="30"/>
    </row>
    <row r="979" spans="7:7">
      <c r="G979" s="30"/>
    </row>
    <row r="980" spans="7:7">
      <c r="G980" s="30"/>
    </row>
    <row r="981" spans="7:7">
      <c r="G981" s="30"/>
    </row>
    <row r="982" spans="7:7">
      <c r="G982" s="30"/>
    </row>
    <row r="983" spans="7:7">
      <c r="G983" s="30"/>
    </row>
    <row r="984" spans="7:7">
      <c r="G984" s="30"/>
    </row>
    <row r="985" spans="7:7">
      <c r="G985" s="30"/>
    </row>
    <row r="986" spans="7:7">
      <c r="G986" s="30"/>
    </row>
    <row r="987" spans="7:7">
      <c r="G987" s="30"/>
    </row>
    <row r="988" spans="7:7">
      <c r="G988" s="30"/>
    </row>
    <row r="989" spans="7:7">
      <c r="G989" s="30"/>
    </row>
    <row r="990" spans="7:7">
      <c r="G990" s="30"/>
    </row>
    <row r="991" spans="7:7">
      <c r="G991" s="30"/>
    </row>
    <row r="992" spans="7:7">
      <c r="G992" s="30"/>
    </row>
    <row r="993" spans="1:7">
      <c r="G993" s="30"/>
    </row>
    <row r="994" spans="1:7">
      <c r="G994" s="30"/>
    </row>
    <row r="995" spans="1:7">
      <c r="G995" s="30"/>
    </row>
    <row r="996" spans="1:7">
      <c r="G996" s="30"/>
    </row>
    <row r="997" spans="1:7">
      <c r="G997" s="30"/>
    </row>
    <row r="998" spans="1:7">
      <c r="A998" s="2"/>
      <c r="G998" s="30"/>
    </row>
    <row r="999" spans="1:7">
      <c r="A999" s="31"/>
      <c r="G999" s="30"/>
    </row>
    <row r="1000" spans="1:7">
      <c r="A1000" s="32"/>
    </row>
  </sheetData>
  <sheetProtection algorithmName="SHA-512" hashValue="KlDu2Fd2KdEqCShlLi0ZUBjcqerhgrro9ErN9INU/lppknKSBuDY/Vb55Np+n22ThPHLiqSG+UXch1fjLkzhpw==" saltValue="3i7K7DZWTtJrAWwfIt8frg==" spinCount="100000" sheet="1" objects="1" scenarios="1"/>
  <mergeCells count="3">
    <mergeCell ref="A1:C2"/>
    <mergeCell ref="D1:F2"/>
    <mergeCell ref="H1:I2"/>
  </mergeCells>
  <pageMargins left="0.5" right="0.5" top="0.5" bottom="0.5" header="0" footer="0"/>
  <pageSetup paperSize="77" orientation="landscape"/>
  <headerFooter/>
  <drawing r:id="rId1"/>
  <legacyDrawing r:id="rId2"/>
  <mc:AlternateContent xmlns:mc="http://schemas.openxmlformats.org/markup-compatibility/2006">
    <mc:Choice Requires="x14">
      <controls>
        <mc:AlternateContent xmlns:mc="http://schemas.openxmlformats.org/markup-compatibility/2006">
          <mc:Choice Requires="x14">
            <control shapeId="13313" name="Button 1" r:id="rId3">
              <controlPr print="0" defaultSize="0">
                <anchor moveWithCells="1" sizeWithCells="1">
                  <from>
                    <xdr:col>9</xdr:col>
                    <xdr:colOff>68580</xdr:colOff>
                    <xdr:row>0</xdr:row>
                    <xdr:rowOff>30480</xdr:rowOff>
                  </from>
                  <to>
                    <xdr:col>11</xdr:col>
                    <xdr:colOff>327660</xdr:colOff>
                    <xdr:row>1</xdr:row>
                    <xdr:rowOff>289560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llowEditUser xmlns="https://web.wps.cn/et/2018/main" xmlns:s="http://schemas.openxmlformats.org/spreadsheetml/2006/main" hasInvisiblePropRange="0">
  <rangeList sheetStid="215" master="" otherUserPermission="visible"/>
  <rangeList sheetStid="2" master="" otherUserPermission="visible"/>
  <rangeList sheetStid="3" master="" otherUserPermission="visible"/>
  <rangeList sheetStid="214" master="" otherUserPermission="visible"/>
  <rangeList sheetStid="210" master="" otherUserPermission="visible"/>
  <rangeList sheetStid="208" master="" otherUserPermission="visible"/>
  <rangeList sheetStid="205" master="" otherUserPermission="visible"/>
  <rangeList sheetStid="198" master="" otherUserPermission="visible"/>
  <rangeList sheetStid="220" master="" otherUserPermission="visible"/>
  <rangeList sheetStid="230" master="" otherUserPermission="visible"/>
  <rangeList sheetStid="226" master="" otherUserPermission="visible"/>
  <rangeList sheetStid="232" master="" otherUserPermission="visible"/>
  <rangeList sheetStid="224" master="" otherUserPermission="visible"/>
  <rangeList sheetStid="221" master="" otherUserPermission="visible"/>
  <rangeList sheetStid="231" master="" otherUserPermission="visible"/>
  <rangeList sheetStid="233" master="" otherUserPermission="visible"/>
  <rangeList sheetStid="234" master="" otherUserPermission="visible"/>
  <rangeList sheetStid="219" master="" otherUserPermission="visible"/>
  <rangeList sheetStid="222" master="" otherUserPermission="visible"/>
  <rangeList sheetStid="213" master="" otherUserPermission="visible"/>
</allowEditUser>
</file>

<file path=customXml/item2.xml><?xml version="1.0" encoding="utf-8"?>
<DataMashup xmlns="http://schemas.microsoft.com/DataMashup">AAAAAGwDAABQSwMECgAAAAAAh07iQAAAAAAAAAAAAAAAAAcAAABDb25maWcvUEsDBBQAAAAIAIdO4kASOP6YnwAAAPMAAAASAAAAQ29uZmlnL1BhY2thZ2UueG1shY9NC4IwHMa/iuzuNmdRyN958JoRBNF1zDVHOsPNJn36jDK6dXtefofngWLq2uiuBmd6m6MEUxQpK/vaWJ2j0V/iLSo4HIS8Cq2iGbYum1ydo8b7W0ZICAGHFPeDJozShJyr3VE2qhPoC5v/cGys88JKhTic3mM4w8lqg9N1iimQJYTK2EUzzOa9r/YnhHJs/Tgo/mjicg9ksUA+H/gTUEsDBAoAAAAAAIdO4kAAAAAAAAAAAAAAAAAJAAAARm9ybXVsYXMvUEsDBBQAAAAIAIdO4kAoike4DgAAABEAAAATAAAARm9ybXVsYXMvU2VjdGlvbjEubStOTS7JzM9TCIbQhtYAUEsDBBQAAAAIAIdO4kB/v9PKnQAAAOQAAAATAAAAW0NvbnRlbnRfVHlwZXNdLnhtbG2PSw7CMAxErxJ5n7qwQAg17aJwAy4QBfcjmo8aF4Xbk9AdYunxPM+46ZJdxIvWOHun4FDVIMgZ/5jdqGDjQZ6ha5v7O1AU2eqigok5XBCjmcjqWPlALm8Gv1rNeVxHDNo89Uh4rOsTGu+YHEsuN6BtrjTobWFxS1neYzMOot99JUoBU2IsMv4F7I9dh7DMRnN+ApO0UdoC4rd2+wFQSwECFAAUAAAACACHTuJAf7/Typ0AAADkAAAAEwAAAAAAAAABACAAAABaAQAAW0NvbnRlbnRfVHlwZXNdLnhtbFBLAQIUAAoAAAAAAIdO4kAAAAAAAAAAAAAAAAAHAAAAAAAAAAAAEAAAAAAAAABDb25maWcvUEsBAhQAFAAAAAgAh07iQBI4/pifAAAA8wAAABIAAAAAAAAAAQAgAAAAJQAAAENvbmZpZy9QYWNrYWdlLnhtbFBLAQIUAAoAAAAAAIdO4kAAAAAAAAAAAAAAAAAJAAAAAAAAAAAAEAAAAPQAAABGb3JtdWxhcy9QSwECFAAUAAAACACHTuJAKIpHuA4AAAARAAAAEwAAAAAAAAABACAAAAAbAQAARm9ybXVsYXMvU2VjdGlvbjEubVBLBQYAAAAABQAFAC4BAAAoAgAAAAAOAQAAPD94bWwgdmVyc2lvbj0iMS4wIiBlbmNvZGluZz0idXRmLTgiID8+PFBlcm1pc3Npb25MaXN0IHhtbG5zOnhzZD0iaHR0cDovL3d3dy53My5vcmcvMjAwMS9YTUxTY2hlbWEiIHhtbG5zOnhzaT0iaHR0cDovL3d3dy53My5vcmcvMjAwMS9YTUxTY2hlbWEtaW5zdGFuY2UiPjxDYW5FdmFsdWF0ZUZ1dHVyZVBhY2thZ2VzPmZhbHNlPC9DYW5FdmFsdWF0ZUZ1dHVyZVBhY2thZ2VzPjxGaXJld2FsbEVuYWJsZWQ+dHJ1ZTwvRmlyZXdhbGxFbmFibGVkPjwvUGVybWlzc2lvbkxpc3Q+lQEAAAAAAABzAQAAPD94bWwgdmVyc2lvbj0iMS4wIiBlbmNvZGluZz0idXRmLTgiID8+PExvY2FsUGFja2FnZU1ldGFkYXRhRmlsZSB4bWxuczp4c2Q9Imh0dHA6Ly93d3cudzMub3JnLzIwMDEvWE1MU2NoZW1hIiB4bWxuczp4c2k9Imh0dHA6Ly93d3cudzMub3JnLzIwMDEvWE1MU2NoZW1hLWluc3RhbmNlIj48SXRlbXM+PEl0ZW0+PEl0ZW1Mb2NhdGlvbj48SXRlbVR5cGU+QWxsRm9ybXVsYXM8L0l0ZW1UeXBlPjxJdGVtUGF0aCAvPjwvSXRlbUxvY2F0aW9uPjxTdGFibGVFbnRyaWVzPjxFbnRyeSBUeXBlPSJSZWxhdGlvbnNoaXBzIiBWYWx1ZT0ic0FBQUFBQT09IiAvPjwvU3RhYmxlRW50cmllcz48L0l0ZW0+PC9JdGVtcz48L0xvY2FsUGFja2FnZU1ldGFkYXRhRmlsZT4WAAAAUEsFBgAAAAAAAAAAAAAAAAAAAAAAACYBAAABAAAA0Iyd3wEV0RGMegDAT8KX6wEAAABk9eMsPiRURb3A9WjfMLGlAAAAAAIAAAAAABBmAAAAAQAAIAAAACCeN1FDhR/xhRs9LWbii5JVTN0cjTpFHreIayz2HFLQAAAAAA6AAAAAAgAAIAAAALFsG8R0hCclE3tWRcO36sOG64Ddi5hi+JDSAFqitj6XUAAAAHbBq+r1P9uqzBrSTPW1a77tQcuI6BeGSoMpEmAyQTVF2JACmlWavGoCHygPLGjIREwjdcVvXKRfSi3l72H98qHoOrTaCCc22eDDwzhasXYkQAAAAM6NotEWrBzt8p3CBCuN0i7UDF8EWnlx+5Mgl2Ad2vWr+Tgo3DG5firY5NmpwK8fzIJYT+vrXpHGqFUsBPKjT88=</DataMashup>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customXml/itemProps2.xml><?xml version="1.0" encoding="utf-8"?>
<ds:datastoreItem xmlns:ds="http://schemas.openxmlformats.org/officeDocument/2006/customXml" ds:itemID="{7E6285DB-CE7F-434C-9EBC-9E00BC915C9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20</vt:i4>
      </vt:variant>
    </vt:vector>
  </HeadingPairs>
  <TitlesOfParts>
    <vt:vector size="20" baseType="lpstr">
      <vt:lpstr>BD</vt:lpstr>
      <vt:lpstr>CPUs INTERNAS</vt:lpstr>
      <vt:lpstr>BANCO - EQP</vt:lpstr>
      <vt:lpstr>INSTRUÇÕES DE USO</vt:lpstr>
      <vt:lpstr>RESUMO DA VIABILIDADE</vt:lpstr>
      <vt:lpstr>DIMENSIONAMENTO DE EQUIPES</vt:lpstr>
      <vt:lpstr>CUSTO INDIRETO</vt:lpstr>
      <vt:lpstr>CUSTO DIRETO</vt:lpstr>
      <vt:lpstr>Anexo X - Planilha Orientativa</vt:lpstr>
      <vt:lpstr>INDICE CIVIL</vt:lpstr>
      <vt:lpstr>PLANILHA</vt:lpstr>
      <vt:lpstr>ABC</vt:lpstr>
      <vt:lpstr>ABC INSUMO</vt:lpstr>
      <vt:lpstr>COTAÇÃO</vt:lpstr>
      <vt:lpstr>ABC SERVIÇO</vt:lpstr>
      <vt:lpstr>ANALITICA</vt:lpstr>
      <vt:lpstr>CPU</vt:lpstr>
      <vt:lpstr>PLAN VENDA</vt:lpstr>
      <vt:lpstr>Planilha3</vt:lpstr>
      <vt:lpstr>ABC INSUMOS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Usuário do Windows</dc:creator>
  <cp:lastModifiedBy>Usuário</cp:lastModifiedBy>
  <dcterms:created xsi:type="dcterms:W3CDTF">2019-06-17T13:44:00Z</dcterms:created>
  <cp:lastPrinted>2026-04-02T12:46:00Z</cp:lastPrinted>
  <dcterms:modified xsi:type="dcterms:W3CDTF">2026-07-01T02:34:17Z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FCA43B2E332046BFA10B6B64795081D5_13</vt:lpwstr>
  </property>
  <property fmtid="{D5CDD505-2E9C-101B-9397-08002B2CF9AE}" pid="3" name="KSOProductBuildVer">
    <vt:lpwstr>1046-12.1.0.26880</vt:lpwstr>
  </property>
  <property fmtid="{D5CDD505-2E9C-101B-9397-08002B2CF9AE}" pid="4" name="CalculationRule">
    <vt:i4>0</vt:i4>
  </property>
</Properties>
</file>